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125" tabRatio="938" firstSheet="17" activeTab="5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收益法" sheetId="15" r:id="rId23"/>
    <sheet name="收益法 (2)" sheetId="84" r:id="rId24"/>
    <sheet name="酒店收入计算" sheetId="66" state="hidden" r:id="rId25"/>
    <sheet name="比较法-住宅" sheetId="21" state="hidden" r:id="rId26"/>
    <sheet name="比较法-商业" sheetId="33" r:id="rId27"/>
    <sheet name="收益法 (元)" sheetId="67" state="hidden" r:id="rId28"/>
    <sheet name="典型户型修正" sheetId="31" r:id="rId29"/>
    <sheet name="结果表 (2)" sheetId="85" r:id="rId30"/>
    <sheet name="比较法-办公" sheetId="34" r:id="rId31"/>
    <sheet name="比较法-工业" sheetId="37" state="hidden" r:id="rId32"/>
    <sheet name="收益法 (3)" sheetId="86" r:id="rId33"/>
    <sheet name="收益法 (元) (2)" sheetId="78" state="hidden" r:id="rId34"/>
    <sheet name="结果表 (3)" sheetId="88" r:id="rId35"/>
    <sheet name="比较法-车位" sheetId="35"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收益法 (元) (3)" sheetId="79" state="hidden" r:id="rId50"/>
    <sheet name="收益法 (4)" sheetId="87" r:id="rId51"/>
    <sheet name="商业" sheetId="77" r:id="rId52"/>
    <sheet name="Sheet1" sheetId="83" r:id="rId53"/>
  </sheets>
  <externalReferences>
    <externalReference r:id="rId54"/>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22">收益法!$A$1:$AK$69</definedName>
    <definedName name="_xlnm.Print_Area" localSheetId="23">'收益法 (2)'!$A$1:$AK$69</definedName>
    <definedName name="_xlnm.Print_Area" localSheetId="32">'收益法 (3)'!$A$1:$AK$69</definedName>
    <definedName name="_xlnm.Print_Area" localSheetId="50">'收益法 (4)'!$A$1:$AK$69</definedName>
    <definedName name="_xlnm.Print_Area" localSheetId="27">'收益法 (元)'!$A$1:$AK$69</definedName>
    <definedName name="_xlnm.Print_Area" localSheetId="33">'收益法 (元) (2)'!$A$1:$AK$69</definedName>
    <definedName name="_xlnm.Print_Area" localSheetId="49">'收益法 (元) (3)'!$A$1:$AK$69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73" i="77"/>
  <c r="D73"/>
  <c r="E72"/>
  <c r="E71"/>
  <c r="E70"/>
  <c r="E69"/>
  <c r="E68"/>
  <c r="E67"/>
  <c r="E66"/>
  <c r="D72"/>
  <c r="D71"/>
  <c r="D70"/>
  <c r="D69"/>
  <c r="D68"/>
  <c r="D67"/>
  <c r="D66"/>
  <c r="D15"/>
  <c r="D17"/>
  <c r="D16"/>
  <c r="E61"/>
  <c r="D61"/>
  <c r="F59"/>
  <c r="F58"/>
  <c r="F61" s="1"/>
  <c r="E57"/>
  <c r="D57"/>
  <c r="F55"/>
  <c r="F54"/>
  <c r="F53"/>
  <c r="F57" s="1"/>
  <c r="E52"/>
  <c r="E62" s="1"/>
  <c r="D52"/>
  <c r="D62" s="1"/>
  <c r="F50"/>
  <c r="F49"/>
  <c r="F52" s="1"/>
  <c r="I37" i="35"/>
  <c r="G37"/>
  <c r="A126" i="88"/>
  <c r="A124"/>
  <c r="A122"/>
  <c r="A120"/>
  <c r="E111"/>
  <c r="H112" s="1"/>
  <c r="E109"/>
  <c r="H109" s="1"/>
  <c r="E107"/>
  <c r="H106"/>
  <c r="H105"/>
  <c r="H104"/>
  <c r="H103"/>
  <c r="D120" s="1"/>
  <c r="D101"/>
  <c r="C101"/>
  <c r="D93"/>
  <c r="C91"/>
  <c r="E90"/>
  <c r="D89"/>
  <c r="C89" s="1"/>
  <c r="C87" s="1"/>
  <c r="D78"/>
  <c r="H77"/>
  <c r="D77"/>
  <c r="C77"/>
  <c r="C76"/>
  <c r="C74"/>
  <c r="D68"/>
  <c r="F59"/>
  <c r="E59"/>
  <c r="D59"/>
  <c r="N56"/>
  <c r="M56"/>
  <c r="K56"/>
  <c r="J56"/>
  <c r="F56"/>
  <c r="O55"/>
  <c r="N55"/>
  <c r="M55"/>
  <c r="K55"/>
  <c r="J55"/>
  <c r="J57" s="1"/>
  <c r="J59" s="1"/>
  <c r="J61" s="1"/>
  <c r="I55"/>
  <c r="F55"/>
  <c r="O53" s="1"/>
  <c r="O54"/>
  <c r="N54"/>
  <c r="F54"/>
  <c r="N53"/>
  <c r="F53"/>
  <c r="F52"/>
  <c r="K49"/>
  <c r="F48"/>
  <c r="O52" s="1"/>
  <c r="E48"/>
  <c r="N52" s="1"/>
  <c r="D48"/>
  <c r="M52" s="1"/>
  <c r="M47"/>
  <c r="D35"/>
  <c r="F62" i="77" l="1"/>
  <c r="M49" i="88"/>
  <c r="D124"/>
  <c r="D125" s="1"/>
  <c r="H110"/>
  <c r="C94"/>
  <c r="C92"/>
  <c r="D121"/>
  <c r="K120"/>
  <c r="H111"/>
  <c r="D126" s="1"/>
  <c r="D127" s="1"/>
  <c r="D34"/>
  <c r="L68" l="1"/>
  <c r="M68" s="1"/>
  <c r="L67"/>
  <c r="M67" s="1"/>
  <c r="L63"/>
  <c r="M63" s="1"/>
  <c r="M69" s="1"/>
  <c r="N69" s="1"/>
  <c r="L66"/>
  <c r="M66" s="1"/>
  <c r="L65"/>
  <c r="M65" s="1"/>
  <c r="L64"/>
  <c r="M64" s="1"/>
  <c r="F33"/>
  <c r="B30"/>
  <c r="D27"/>
  <c r="D30" s="1"/>
  <c r="C30" s="1"/>
  <c r="C25"/>
  <c r="C24"/>
  <c r="D17" l="1"/>
  <c r="C17"/>
  <c r="L4"/>
  <c r="K4"/>
  <c r="H1"/>
  <c r="Q72" i="87"/>
  <c r="Q59"/>
  <c r="F59"/>
  <c r="Q58"/>
  <c r="Q51"/>
  <c r="J50"/>
  <c r="J51" s="1"/>
  <c r="M47"/>
  <c r="C18" i="88" l="1"/>
  <c r="D18" s="1"/>
  <c r="D46" i="87"/>
  <c r="F34"/>
  <c r="F62" s="1"/>
  <c r="F33"/>
  <c r="F61" s="1"/>
  <c r="F32"/>
  <c r="F60" s="1"/>
  <c r="F31"/>
  <c r="F28"/>
  <c r="C28" s="1"/>
  <c r="F23"/>
  <c r="D24" s="1"/>
  <c r="D23"/>
  <c r="D22"/>
  <c r="F21"/>
  <c r="M20"/>
  <c r="F20"/>
  <c r="M19"/>
  <c r="M18"/>
  <c r="F18"/>
  <c r="M17"/>
  <c r="F17"/>
  <c r="F15"/>
  <c r="G1"/>
  <c r="E37" i="35"/>
  <c r="C29"/>
  <c r="M6" i="87"/>
  <c r="F8"/>
  <c r="F9"/>
  <c r="F13"/>
  <c r="J15"/>
  <c r="M22"/>
  <c r="M24"/>
  <c r="M26"/>
  <c r="M28"/>
  <c r="F36"/>
  <c r="F38"/>
  <c r="F42"/>
  <c r="L47"/>
  <c r="C76"/>
  <c r="F6"/>
  <c r="F7"/>
  <c r="M8"/>
  <c r="M9"/>
  <c r="F16"/>
  <c r="M23"/>
  <c r="F26"/>
  <c r="M27"/>
  <c r="F37"/>
  <c r="F40"/>
  <c r="L48"/>
  <c r="Q71" l="1"/>
  <c r="L57"/>
  <c r="L56"/>
  <c r="J57"/>
  <c r="J55" s="1"/>
  <c r="J58" s="1"/>
  <c r="Q50" s="1"/>
  <c r="L60"/>
  <c r="K53"/>
  <c r="J53"/>
  <c r="L59"/>
  <c r="L58"/>
  <c r="F68"/>
  <c r="F66"/>
  <c r="F65"/>
  <c r="F64"/>
  <c r="C27"/>
  <c r="F51"/>
  <c r="F50"/>
  <c r="M7"/>
  <c r="J6" s="1"/>
  <c r="C6"/>
  <c r="C49" l="1"/>
  <c r="Q74"/>
  <c r="Q61"/>
  <c r="Q52"/>
  <c r="F1"/>
  <c r="Q57"/>
  <c r="Q66"/>
  <c r="Q73"/>
  <c r="Q60"/>
  <c r="Q72" i="86" l="1"/>
  <c r="Q59"/>
  <c r="F59"/>
  <c r="Q58"/>
  <c r="Q51"/>
  <c r="J50"/>
  <c r="J51" s="1"/>
  <c r="M47"/>
  <c r="D46" l="1"/>
  <c r="F34"/>
  <c r="F62" s="1"/>
  <c r="F33"/>
  <c r="F61" s="1"/>
  <c r="F32"/>
  <c r="F60" s="1"/>
  <c r="F31"/>
  <c r="F28"/>
  <c r="C28" s="1"/>
  <c r="F23"/>
  <c r="D24" s="1"/>
  <c r="D23"/>
  <c r="D22"/>
  <c r="F21"/>
  <c r="M20"/>
  <c r="F20"/>
  <c r="M19"/>
  <c r="M18"/>
  <c r="F18"/>
  <c r="M17"/>
  <c r="F17"/>
  <c r="F15"/>
  <c r="G1"/>
  <c r="A126" i="85"/>
  <c r="A124"/>
  <c r="A122"/>
  <c r="A120"/>
  <c r="E111"/>
  <c r="H112" s="1"/>
  <c r="E109"/>
  <c r="H109" s="1"/>
  <c r="E107"/>
  <c r="H106"/>
  <c r="H105"/>
  <c r="H104"/>
  <c r="H103"/>
  <c r="D120" s="1"/>
  <c r="D101"/>
  <c r="C101"/>
  <c r="D93"/>
  <c r="C91"/>
  <c r="E90"/>
  <c r="D89"/>
  <c r="C89" s="1"/>
  <c r="C87" s="1"/>
  <c r="D78"/>
  <c r="H77"/>
  <c r="D77"/>
  <c r="C77"/>
  <c r="C76"/>
  <c r="C74"/>
  <c r="D68"/>
  <c r="F59"/>
  <c r="E59"/>
  <c r="D59"/>
  <c r="N56"/>
  <c r="M56"/>
  <c r="K56"/>
  <c r="J56"/>
  <c r="F56"/>
  <c r="O55"/>
  <c r="N55"/>
  <c r="M55"/>
  <c r="K55"/>
  <c r="J55"/>
  <c r="J57" s="1"/>
  <c r="J59" s="1"/>
  <c r="J61" s="1"/>
  <c r="I55"/>
  <c r="F55"/>
  <c r="O53" s="1"/>
  <c r="O54"/>
  <c r="N54"/>
  <c r="F54"/>
  <c r="N53"/>
  <c r="F53"/>
  <c r="F52"/>
  <c r="K49"/>
  <c r="F48"/>
  <c r="O52" s="1"/>
  <c r="E48"/>
  <c r="N52" s="1"/>
  <c r="D48"/>
  <c r="M52" s="1"/>
  <c r="M47"/>
  <c r="F6" i="86"/>
  <c r="M8"/>
  <c r="M9"/>
  <c r="F16"/>
  <c r="M23"/>
  <c r="F26"/>
  <c r="M27"/>
  <c r="F37"/>
  <c r="F40"/>
  <c r="L48"/>
  <c r="D35" i="85"/>
  <c r="M6" i="86"/>
  <c r="F8"/>
  <c r="F9"/>
  <c r="F13"/>
  <c r="J15"/>
  <c r="M22"/>
  <c r="M24"/>
  <c r="M26"/>
  <c r="M28"/>
  <c r="F36"/>
  <c r="F38"/>
  <c r="F42"/>
  <c r="L47"/>
  <c r="C76"/>
  <c r="Q71" l="1"/>
  <c r="L57"/>
  <c r="L56"/>
  <c r="J57"/>
  <c r="J55" s="1"/>
  <c r="J58" s="1"/>
  <c r="Q50" s="1"/>
  <c r="J53"/>
  <c r="L60"/>
  <c r="K53"/>
  <c r="L59"/>
  <c r="L58"/>
  <c r="F68"/>
  <c r="F66"/>
  <c r="F65"/>
  <c r="F64"/>
  <c r="C27"/>
  <c r="F51"/>
  <c r="M49" i="85"/>
  <c r="D124"/>
  <c r="D125" s="1"/>
  <c r="H110"/>
  <c r="C94"/>
  <c r="C92"/>
  <c r="D121"/>
  <c r="K120"/>
  <c r="H111"/>
  <c r="D126" s="1"/>
  <c r="D127" s="1"/>
  <c r="D34"/>
  <c r="Q74" i="86" l="1"/>
  <c r="Q61"/>
  <c r="Q73"/>
  <c r="Q60"/>
  <c r="Q57"/>
  <c r="Q66"/>
  <c r="Q52"/>
  <c r="F1"/>
  <c r="L68" i="85"/>
  <c r="M68" s="1"/>
  <c r="L67"/>
  <c r="M67" s="1"/>
  <c r="L63"/>
  <c r="M63" s="1"/>
  <c r="M69" s="1"/>
  <c r="N69" s="1"/>
  <c r="L66"/>
  <c r="M66" s="1"/>
  <c r="L65"/>
  <c r="M65" s="1"/>
  <c r="L64"/>
  <c r="M64" s="1"/>
  <c r="F33"/>
  <c r="D30"/>
  <c r="C30" s="1"/>
  <c r="B30"/>
  <c r="C24" s="1"/>
  <c r="D27"/>
  <c r="C25"/>
  <c r="D17" l="1"/>
  <c r="C17"/>
  <c r="C18" s="1"/>
  <c r="D18" s="1"/>
  <c r="L4"/>
  <c r="K4"/>
  <c r="H1"/>
  <c r="I48" i="34"/>
  <c r="G48"/>
  <c r="E48"/>
  <c r="C37"/>
  <c r="B27" i="31"/>
  <c r="B26"/>
  <c r="B25"/>
  <c r="B24"/>
  <c r="D42" i="77"/>
  <c r="D41"/>
  <c r="G41" s="1"/>
  <c r="C41"/>
  <c r="D43"/>
  <c r="E43"/>
  <c r="F43"/>
  <c r="C43"/>
  <c r="G24"/>
  <c r="G25"/>
  <c r="G26"/>
  <c r="G27"/>
  <c r="G28"/>
  <c r="G29"/>
  <c r="G30"/>
  <c r="G31"/>
  <c r="G32"/>
  <c r="G33"/>
  <c r="G34"/>
  <c r="G35"/>
  <c r="G36"/>
  <c r="G37"/>
  <c r="G38"/>
  <c r="G39"/>
  <c r="G40"/>
  <c r="G23"/>
  <c r="K5"/>
  <c r="E139" i="33"/>
  <c r="E140"/>
  <c r="E137"/>
  <c r="D141"/>
  <c r="Q72" i="84"/>
  <c r="Q59"/>
  <c r="F59"/>
  <c r="Q58"/>
  <c r="Q51"/>
  <c r="J50"/>
  <c r="J51" s="1"/>
  <c r="M47"/>
  <c r="G42" i="77" l="1"/>
  <c r="D46" i="84"/>
  <c r="F34"/>
  <c r="F62" s="1"/>
  <c r="F33"/>
  <c r="F61" s="1"/>
  <c r="F32"/>
  <c r="F60" s="1"/>
  <c r="F31"/>
  <c r="F28"/>
  <c r="C28" s="1"/>
  <c r="F23"/>
  <c r="D24" s="1"/>
  <c r="D23"/>
  <c r="D22"/>
  <c r="F21"/>
  <c r="M20"/>
  <c r="F20"/>
  <c r="M19"/>
  <c r="M18"/>
  <c r="F18"/>
  <c r="M17"/>
  <c r="F17"/>
  <c r="F15"/>
  <c r="G1"/>
  <c r="E47" i="33"/>
  <c r="G47"/>
  <c r="I47"/>
  <c r="AD9" i="1"/>
  <c r="Y9"/>
  <c r="Y8"/>
  <c r="Y7"/>
  <c r="N9"/>
  <c r="F22" i="6"/>
  <c r="I13" i="3"/>
  <c r="O16"/>
  <c r="AH244" i="83"/>
  <c r="AJ244" s="1"/>
  <c r="AG244"/>
  <c r="X244"/>
  <c r="Y244" s="1"/>
  <c r="Z244" s="1"/>
  <c r="AH243"/>
  <c r="AI243" s="1"/>
  <c r="AG243"/>
  <c r="Y243"/>
  <c r="Z243" s="1"/>
  <c r="X243"/>
  <c r="AI242"/>
  <c r="AH242"/>
  <c r="AJ242" s="1"/>
  <c r="AG242"/>
  <c r="X242"/>
  <c r="Y242" s="1"/>
  <c r="Z242" s="1"/>
  <c r="AH241"/>
  <c r="AI241" s="1"/>
  <c r="AG241"/>
  <c r="Y241"/>
  <c r="Z241" s="1"/>
  <c r="X241"/>
  <c r="AI240"/>
  <c r="AH240"/>
  <c r="AJ240" s="1"/>
  <c r="AG240"/>
  <c r="X240"/>
  <c r="Y240" s="1"/>
  <c r="Z240" s="1"/>
  <c r="AH239"/>
  <c r="AI239" s="1"/>
  <c r="AG239"/>
  <c r="Y239"/>
  <c r="Z239" s="1"/>
  <c r="X239"/>
  <c r="AI238"/>
  <c r="AH238"/>
  <c r="AJ238" s="1"/>
  <c r="AG238"/>
  <c r="X238"/>
  <c r="Y238" s="1"/>
  <c r="Z238" s="1"/>
  <c r="AJ237"/>
  <c r="AK237" s="1"/>
  <c r="AI237"/>
  <c r="Y237"/>
  <c r="Z237" s="1"/>
  <c r="X237"/>
  <c r="AK236"/>
  <c r="AJ236"/>
  <c r="AL236" s="1"/>
  <c r="AM236" s="1"/>
  <c r="AI236"/>
  <c r="X236"/>
  <c r="Y236" s="1"/>
  <c r="Z236" s="1"/>
  <c r="AJ235"/>
  <c r="AK235" s="1"/>
  <c r="AI235"/>
  <c r="Y235"/>
  <c r="Z235" s="1"/>
  <c r="X235"/>
  <c r="AK234"/>
  <c r="AJ234"/>
  <c r="AL234" s="1"/>
  <c r="AM234" s="1"/>
  <c r="AI234"/>
  <c r="X234"/>
  <c r="Y234" s="1"/>
  <c r="Z234" s="1"/>
  <c r="AJ233"/>
  <c r="AK233" s="1"/>
  <c r="AI233"/>
  <c r="Y233"/>
  <c r="Z233" s="1"/>
  <c r="X233"/>
  <c r="AK232"/>
  <c r="AJ232"/>
  <c r="AL232" s="1"/>
  <c r="AM232" s="1"/>
  <c r="AI232"/>
  <c r="X232"/>
  <c r="Y232" s="1"/>
  <c r="Z232" s="1"/>
  <c r="AJ231"/>
  <c r="AK231" s="1"/>
  <c r="AI231"/>
  <c r="Y231"/>
  <c r="Z231" s="1"/>
  <c r="X231"/>
  <c r="AK230"/>
  <c r="AJ230"/>
  <c r="AL230" s="1"/>
  <c r="AM230" s="1"/>
  <c r="AI230"/>
  <c r="X230"/>
  <c r="Y230" s="1"/>
  <c r="Z230" s="1"/>
  <c r="AJ229"/>
  <c r="AK229" s="1"/>
  <c r="AI229"/>
  <c r="Y229"/>
  <c r="Z229" s="1"/>
  <c r="X229"/>
  <c r="AK228"/>
  <c r="AJ228"/>
  <c r="AL228" s="1"/>
  <c r="AM228" s="1"/>
  <c r="AI228"/>
  <c r="X228"/>
  <c r="Y228" s="1"/>
  <c r="Z228" s="1"/>
  <c r="AJ227"/>
  <c r="AK227" s="1"/>
  <c r="AI227"/>
  <c r="Y227"/>
  <c r="Z227" s="1"/>
  <c r="X227"/>
  <c r="AK226"/>
  <c r="AJ226"/>
  <c r="AL226" s="1"/>
  <c r="AM226" s="1"/>
  <c r="AI226"/>
  <c r="X226"/>
  <c r="Y226" s="1"/>
  <c r="Z226" s="1"/>
  <c r="AJ225"/>
  <c r="AK225" s="1"/>
  <c r="AI225"/>
  <c r="Y225"/>
  <c r="Z225" s="1"/>
  <c r="X225"/>
  <c r="AK224"/>
  <c r="AJ224"/>
  <c r="AL224" s="1"/>
  <c r="AM224" s="1"/>
  <c r="AI224"/>
  <c r="X224"/>
  <c r="Y224" s="1"/>
  <c r="Z224" s="1"/>
  <c r="AJ223"/>
  <c r="AK223" s="1"/>
  <c r="AI223"/>
  <c r="Y223"/>
  <c r="Z223" s="1"/>
  <c r="X223"/>
  <c r="AK222"/>
  <c r="AJ222"/>
  <c r="AL222" s="1"/>
  <c r="AM222" s="1"/>
  <c r="AI222"/>
  <c r="X222"/>
  <c r="Y222" s="1"/>
  <c r="Z222" s="1"/>
  <c r="AJ221"/>
  <c r="AK221" s="1"/>
  <c r="AI221"/>
  <c r="Y221"/>
  <c r="Z221" s="1"/>
  <c r="X221"/>
  <c r="AK220"/>
  <c r="AJ220"/>
  <c r="AL220" s="1"/>
  <c r="AM220" s="1"/>
  <c r="AI220"/>
  <c r="X220"/>
  <c r="Y220" s="1"/>
  <c r="Z220" s="1"/>
  <c r="AJ219"/>
  <c r="AK219" s="1"/>
  <c r="AI219"/>
  <c r="Y219"/>
  <c r="Z219" s="1"/>
  <c r="X219"/>
  <c r="AK218"/>
  <c r="AJ218"/>
  <c r="AL218" s="1"/>
  <c r="AM218" s="1"/>
  <c r="AI218"/>
  <c r="X218"/>
  <c r="Y218" s="1"/>
  <c r="Z218" s="1"/>
  <c r="AJ217"/>
  <c r="AK217" s="1"/>
  <c r="AI217"/>
  <c r="Y217"/>
  <c r="Z217" s="1"/>
  <c r="X217"/>
  <c r="AK216"/>
  <c r="AJ216"/>
  <c r="AL216" s="1"/>
  <c r="AM216" s="1"/>
  <c r="AI216"/>
  <c r="X216"/>
  <c r="Y216" s="1"/>
  <c r="Z216" s="1"/>
  <c r="AJ215"/>
  <c r="AK215" s="1"/>
  <c r="AI215"/>
  <c r="Y215"/>
  <c r="Z215" s="1"/>
  <c r="X215"/>
  <c r="AK214"/>
  <c r="AJ214"/>
  <c r="AL214" s="1"/>
  <c r="AM214" s="1"/>
  <c r="AI214"/>
  <c r="X214"/>
  <c r="Y214" s="1"/>
  <c r="Z214" s="1"/>
  <c r="AJ213"/>
  <c r="AK213" s="1"/>
  <c r="AI213"/>
  <c r="Y213"/>
  <c r="Z213" s="1"/>
  <c r="X213"/>
  <c r="AK212"/>
  <c r="AJ212"/>
  <c r="AL212" s="1"/>
  <c r="AM212" s="1"/>
  <c r="AI212"/>
  <c r="X212"/>
  <c r="Y212" s="1"/>
  <c r="Z212" s="1"/>
  <c r="AJ211"/>
  <c r="AK211" s="1"/>
  <c r="AI211"/>
  <c r="Y211"/>
  <c r="Z211" s="1"/>
  <c r="X211"/>
  <c r="AK210"/>
  <c r="AJ210"/>
  <c r="AL210" s="1"/>
  <c r="AM210" s="1"/>
  <c r="AI210"/>
  <c r="X210"/>
  <c r="Y210" s="1"/>
  <c r="Z210" s="1"/>
  <c r="AJ209"/>
  <c r="AK209" s="1"/>
  <c r="AI209"/>
  <c r="Y209"/>
  <c r="Z209" s="1"/>
  <c r="X209"/>
  <c r="AK208"/>
  <c r="AJ208"/>
  <c r="AL208" s="1"/>
  <c r="AM208" s="1"/>
  <c r="AI208"/>
  <c r="Z208"/>
  <c r="AA208" s="1"/>
  <c r="X208"/>
  <c r="Y208" s="1"/>
  <c r="AL207"/>
  <c r="AM207" s="1"/>
  <c r="AJ207"/>
  <c r="AK207" s="1"/>
  <c r="AI207"/>
  <c r="AE207"/>
  <c r="AA207"/>
  <c r="Y207"/>
  <c r="Z207" s="1"/>
  <c r="AB207" s="1"/>
  <c r="AD207" s="1"/>
  <c r="AF207" s="1"/>
  <c r="AG207" s="1"/>
  <c r="X207"/>
  <c r="AK206"/>
  <c r="AJ206"/>
  <c r="AL206" s="1"/>
  <c r="AM206" s="1"/>
  <c r="AI206"/>
  <c r="Z206"/>
  <c r="AA206" s="1"/>
  <c r="X206"/>
  <c r="Y206" s="1"/>
  <c r="AL205"/>
  <c r="AM205" s="1"/>
  <c r="AJ205"/>
  <c r="AK205" s="1"/>
  <c r="AI205"/>
  <c r="AE205"/>
  <c r="AA205"/>
  <c r="Y205"/>
  <c r="Z205" s="1"/>
  <c r="AB205" s="1"/>
  <c r="AD205" s="1"/>
  <c r="AF205" s="1"/>
  <c r="AG205" s="1"/>
  <c r="X205"/>
  <c r="AK204"/>
  <c r="AJ204"/>
  <c r="AL204" s="1"/>
  <c r="AM204" s="1"/>
  <c r="AI204"/>
  <c r="Z204"/>
  <c r="AA204" s="1"/>
  <c r="X204"/>
  <c r="Y204" s="1"/>
  <c r="Z203"/>
  <c r="AA203" s="1"/>
  <c r="X203"/>
  <c r="Y203" s="1"/>
  <c r="Y202"/>
  <c r="Z202" s="1"/>
  <c r="X202"/>
  <c r="AK201"/>
  <c r="AJ201"/>
  <c r="AL201" s="1"/>
  <c r="AM201" s="1"/>
  <c r="AI201"/>
  <c r="X201"/>
  <c r="Y201" s="1"/>
  <c r="Z201" s="1"/>
  <c r="AJ200"/>
  <c r="AK200" s="1"/>
  <c r="AI200"/>
  <c r="Y200"/>
  <c r="Z200" s="1"/>
  <c r="X200"/>
  <c r="AK199"/>
  <c r="AJ199"/>
  <c r="AL199" s="1"/>
  <c r="AM199" s="1"/>
  <c r="AI199"/>
  <c r="X199"/>
  <c r="Y199" s="1"/>
  <c r="Z199" s="1"/>
  <c r="AJ198"/>
  <c r="AK198" s="1"/>
  <c r="AI198"/>
  <c r="Y198"/>
  <c r="Z198" s="1"/>
  <c r="X198"/>
  <c r="AK197"/>
  <c r="AJ197"/>
  <c r="AL197" s="1"/>
  <c r="AM197" s="1"/>
  <c r="AI197"/>
  <c r="X197"/>
  <c r="Y197" s="1"/>
  <c r="Z197" s="1"/>
  <c r="AJ196"/>
  <c r="AK196" s="1"/>
  <c r="AI196"/>
  <c r="Y196"/>
  <c r="Z196" s="1"/>
  <c r="X196"/>
  <c r="AK195"/>
  <c r="AJ195"/>
  <c r="AL195" s="1"/>
  <c r="AM195" s="1"/>
  <c r="AI195"/>
  <c r="X195"/>
  <c r="Y195" s="1"/>
  <c r="Z195" s="1"/>
  <c r="AJ194"/>
  <c r="AK194" s="1"/>
  <c r="AI194"/>
  <c r="Y194"/>
  <c r="Z194" s="1"/>
  <c r="X194"/>
  <c r="AK193"/>
  <c r="AJ193"/>
  <c r="AL193" s="1"/>
  <c r="AM193" s="1"/>
  <c r="AI193"/>
  <c r="X193"/>
  <c r="Y193" s="1"/>
  <c r="Z193" s="1"/>
  <c r="AJ192"/>
  <c r="AK192" s="1"/>
  <c r="AI192"/>
  <c r="Y192"/>
  <c r="Z192" s="1"/>
  <c r="X192"/>
  <c r="Y191"/>
  <c r="Z191" s="1"/>
  <c r="X191"/>
  <c r="Y190"/>
  <c r="Z190" s="1"/>
  <c r="X190"/>
  <c r="AK189"/>
  <c r="AJ189"/>
  <c r="AL189" s="1"/>
  <c r="AM189" s="1"/>
  <c r="AI189"/>
  <c r="X189"/>
  <c r="Y189" s="1"/>
  <c r="Z189" s="1"/>
  <c r="AJ188"/>
  <c r="AK188" s="1"/>
  <c r="AI188"/>
  <c r="Y188"/>
  <c r="Z188" s="1"/>
  <c r="X188"/>
  <c r="AK187"/>
  <c r="AJ187"/>
  <c r="AL187" s="1"/>
  <c r="AM187" s="1"/>
  <c r="AI187"/>
  <c r="X187"/>
  <c r="Y187" s="1"/>
  <c r="Z187" s="1"/>
  <c r="AJ186"/>
  <c r="AK186" s="1"/>
  <c r="AI186"/>
  <c r="Y186"/>
  <c r="Z186" s="1"/>
  <c r="X186"/>
  <c r="AK185"/>
  <c r="AJ185"/>
  <c r="AL185" s="1"/>
  <c r="AM185" s="1"/>
  <c r="AI185"/>
  <c r="X185"/>
  <c r="Y185" s="1"/>
  <c r="Z185" s="1"/>
  <c r="AJ184"/>
  <c r="AK184" s="1"/>
  <c r="AI184"/>
  <c r="Y184"/>
  <c r="Z184" s="1"/>
  <c r="X184"/>
  <c r="AA183"/>
  <c r="Z183"/>
  <c r="AB183" s="1"/>
  <c r="X183"/>
  <c r="Z182"/>
  <c r="AA182" s="1"/>
  <c r="X182"/>
  <c r="AK181"/>
  <c r="AJ181"/>
  <c r="AL181" s="1"/>
  <c r="AM181" s="1"/>
  <c r="AI181"/>
  <c r="X181"/>
  <c r="Y181" s="1"/>
  <c r="Z181" s="1"/>
  <c r="AJ180"/>
  <c r="AK180" s="1"/>
  <c r="AI180"/>
  <c r="Y180"/>
  <c r="Z180" s="1"/>
  <c r="X180"/>
  <c r="AI179"/>
  <c r="AH179"/>
  <c r="AJ179" s="1"/>
  <c r="AG179"/>
  <c r="X179"/>
  <c r="Y179" s="1"/>
  <c r="Z179" s="1"/>
  <c r="AH178"/>
  <c r="AI178" s="1"/>
  <c r="AG178"/>
  <c r="Y178"/>
  <c r="Z178" s="1"/>
  <c r="X178"/>
  <c r="AK177"/>
  <c r="AJ177"/>
  <c r="AL177" s="1"/>
  <c r="AM177" s="1"/>
  <c r="AI177"/>
  <c r="X177"/>
  <c r="Y177" s="1"/>
  <c r="Z177" s="1"/>
  <c r="AJ176"/>
  <c r="AK176" s="1"/>
  <c r="AI176"/>
  <c r="Y176"/>
  <c r="Z176" s="1"/>
  <c r="X176"/>
  <c r="AK175"/>
  <c r="AJ175"/>
  <c r="AL175" s="1"/>
  <c r="AM175" s="1"/>
  <c r="AI175"/>
  <c r="X175"/>
  <c r="Y175" s="1"/>
  <c r="Z175" s="1"/>
  <c r="AJ174"/>
  <c r="AK174" s="1"/>
  <c r="AI174"/>
  <c r="Y174"/>
  <c r="Z174" s="1"/>
  <c r="X174"/>
  <c r="AK173"/>
  <c r="AJ173"/>
  <c r="AL173" s="1"/>
  <c r="AM173" s="1"/>
  <c r="AI173"/>
  <c r="X173"/>
  <c r="Y173" s="1"/>
  <c r="Z173" s="1"/>
  <c r="AJ172"/>
  <c r="AK172" s="1"/>
  <c r="AI172"/>
  <c r="Y172"/>
  <c r="Z172" s="1"/>
  <c r="X172"/>
  <c r="AK171"/>
  <c r="AJ171"/>
  <c r="AL171" s="1"/>
  <c r="AM171" s="1"/>
  <c r="AI171"/>
  <c r="X171"/>
  <c r="Y171" s="1"/>
  <c r="Z171" s="1"/>
  <c r="AJ170"/>
  <c r="AK170" s="1"/>
  <c r="AI170"/>
  <c r="Y170"/>
  <c r="Z170" s="1"/>
  <c r="X170"/>
  <c r="AK169"/>
  <c r="AJ169"/>
  <c r="AL169" s="1"/>
  <c r="AM169" s="1"/>
  <c r="AI169"/>
  <c r="X169"/>
  <c r="Y169" s="1"/>
  <c r="Z169" s="1"/>
  <c r="AJ168"/>
  <c r="AK168" s="1"/>
  <c r="AI168"/>
  <c r="Y168"/>
  <c r="Z168" s="1"/>
  <c r="X168"/>
  <c r="AK167"/>
  <c r="AJ167"/>
  <c r="AL167" s="1"/>
  <c r="AM167" s="1"/>
  <c r="AI167"/>
  <c r="X167"/>
  <c r="Y167" s="1"/>
  <c r="Z167" s="1"/>
  <c r="AJ166"/>
  <c r="AK166" s="1"/>
  <c r="AI166"/>
  <c r="Y166"/>
  <c r="Z166" s="1"/>
  <c r="X166"/>
  <c r="AK165"/>
  <c r="AJ165"/>
  <c r="AL165" s="1"/>
  <c r="AM165" s="1"/>
  <c r="AI165"/>
  <c r="X165"/>
  <c r="Y165" s="1"/>
  <c r="Z165" s="1"/>
  <c r="AJ164"/>
  <c r="AK164" s="1"/>
  <c r="AI164"/>
  <c r="Y164"/>
  <c r="Z164" s="1"/>
  <c r="X164"/>
  <c r="AK163"/>
  <c r="AJ163"/>
  <c r="AL163" s="1"/>
  <c r="AM163" s="1"/>
  <c r="AI163"/>
  <c r="X163"/>
  <c r="Y163" s="1"/>
  <c r="Z163" s="1"/>
  <c r="AJ162"/>
  <c r="AK162" s="1"/>
  <c r="AI162"/>
  <c r="Y162"/>
  <c r="Z162" s="1"/>
  <c r="X162"/>
  <c r="AK161"/>
  <c r="AJ161"/>
  <c r="AL161" s="1"/>
  <c r="AM161" s="1"/>
  <c r="AI161"/>
  <c r="X161"/>
  <c r="Y161" s="1"/>
  <c r="Z161" s="1"/>
  <c r="AJ160"/>
  <c r="AK160" s="1"/>
  <c r="AI160"/>
  <c r="Y160"/>
  <c r="Z160" s="1"/>
  <c r="X160"/>
  <c r="AK159"/>
  <c r="AJ159"/>
  <c r="AL159" s="1"/>
  <c r="AM159" s="1"/>
  <c r="AI159"/>
  <c r="X159"/>
  <c r="Y159" s="1"/>
  <c r="Z159" s="1"/>
  <c r="AJ158"/>
  <c r="AK158" s="1"/>
  <c r="AI158"/>
  <c r="Y158"/>
  <c r="Z158" s="1"/>
  <c r="X158"/>
  <c r="AK157"/>
  <c r="AJ157"/>
  <c r="AL157" s="1"/>
  <c r="AM157" s="1"/>
  <c r="AI157"/>
  <c r="X157"/>
  <c r="Y157" s="1"/>
  <c r="Z157" s="1"/>
  <c r="AH156"/>
  <c r="AI156" s="1"/>
  <c r="AG156"/>
  <c r="Y156"/>
  <c r="Z156" s="1"/>
  <c r="X156"/>
  <c r="AI155"/>
  <c r="AH155"/>
  <c r="AJ155" s="1"/>
  <c r="AG155"/>
  <c r="X155"/>
  <c r="Y155" s="1"/>
  <c r="Z155" s="1"/>
  <c r="AJ154"/>
  <c r="AK154" s="1"/>
  <c r="AI154"/>
  <c r="Y154"/>
  <c r="Z154" s="1"/>
  <c r="AB154" s="1"/>
  <c r="AD154" s="1"/>
  <c r="X154"/>
  <c r="AK153"/>
  <c r="AJ153"/>
  <c r="AL153" s="1"/>
  <c r="AM153" s="1"/>
  <c r="AI153"/>
  <c r="X153"/>
  <c r="Y153" s="1"/>
  <c r="Z153" s="1"/>
  <c r="AH152"/>
  <c r="AI152" s="1"/>
  <c r="AG152"/>
  <c r="AA152"/>
  <c r="Y152"/>
  <c r="Z152" s="1"/>
  <c r="AB152" s="1"/>
  <c r="AD152" s="1"/>
  <c r="AE152" s="1"/>
  <c r="X152"/>
  <c r="AI151"/>
  <c r="AH151"/>
  <c r="AJ151" s="1"/>
  <c r="AL151" s="1"/>
  <c r="AM151" s="1"/>
  <c r="AG151"/>
  <c r="X151"/>
  <c r="Y151" s="1"/>
  <c r="Z151" s="1"/>
  <c r="AJ150"/>
  <c r="AK150" s="1"/>
  <c r="AH150"/>
  <c r="AI150" s="1"/>
  <c r="AG150"/>
  <c r="Y150"/>
  <c r="Z150" s="1"/>
  <c r="AB150" s="1"/>
  <c r="AD150" s="1"/>
  <c r="AE150" s="1"/>
  <c r="X150"/>
  <c r="AM149"/>
  <c r="AI149"/>
  <c r="AH149"/>
  <c r="AJ149" s="1"/>
  <c r="AL149" s="1"/>
  <c r="AG149"/>
  <c r="X149"/>
  <c r="Y149" s="1"/>
  <c r="Z149" s="1"/>
  <c r="AJ148"/>
  <c r="AK148" s="1"/>
  <c r="AH148"/>
  <c r="AI148" s="1"/>
  <c r="AG148"/>
  <c r="Y148"/>
  <c r="Z148" s="1"/>
  <c r="AB148" s="1"/>
  <c r="AD148" s="1"/>
  <c r="AE148" s="1"/>
  <c r="X148"/>
  <c r="AM147"/>
  <c r="AI147"/>
  <c r="AH147"/>
  <c r="AJ147" s="1"/>
  <c r="AL147" s="1"/>
  <c r="AG147"/>
  <c r="X147"/>
  <c r="Y147" s="1"/>
  <c r="Z147" s="1"/>
  <c r="AJ146"/>
  <c r="AK146" s="1"/>
  <c r="AH146"/>
  <c r="AI146" s="1"/>
  <c r="AG146"/>
  <c r="Y146"/>
  <c r="Z146" s="1"/>
  <c r="AB146" s="1"/>
  <c r="AD146" s="1"/>
  <c r="AE146" s="1"/>
  <c r="X146"/>
  <c r="AI145"/>
  <c r="AH145"/>
  <c r="AJ145" s="1"/>
  <c r="AG145"/>
  <c r="X145"/>
  <c r="Y145" s="1"/>
  <c r="Z145" s="1"/>
  <c r="AH144"/>
  <c r="AJ144" s="1"/>
  <c r="AG144"/>
  <c r="Y144"/>
  <c r="Z144" s="1"/>
  <c r="X144"/>
  <c r="AI143"/>
  <c r="AH143"/>
  <c r="AJ143" s="1"/>
  <c r="AG143"/>
  <c r="X143"/>
  <c r="Y143" s="1"/>
  <c r="Z143" s="1"/>
  <c r="AH142"/>
  <c r="AJ142" s="1"/>
  <c r="AG142"/>
  <c r="Y142"/>
  <c r="Z142" s="1"/>
  <c r="X142"/>
  <c r="AI141"/>
  <c r="AH141"/>
  <c r="AJ141" s="1"/>
  <c r="AG141"/>
  <c r="X141"/>
  <c r="Y141" s="1"/>
  <c r="Z141" s="1"/>
  <c r="AH140"/>
  <c r="AJ140" s="1"/>
  <c r="AG140"/>
  <c r="Y140"/>
  <c r="Z140" s="1"/>
  <c r="X140"/>
  <c r="AI139"/>
  <c r="AH139"/>
  <c r="AJ139" s="1"/>
  <c r="AG139"/>
  <c r="X139"/>
  <c r="Y139" s="1"/>
  <c r="Z139" s="1"/>
  <c r="AH138"/>
  <c r="AJ138" s="1"/>
  <c r="AG138"/>
  <c r="Y138"/>
  <c r="Z138" s="1"/>
  <c r="X138"/>
  <c r="AI137"/>
  <c r="AH137"/>
  <c r="AJ137" s="1"/>
  <c r="AG137"/>
  <c r="X137"/>
  <c r="Y137" s="1"/>
  <c r="Z137" s="1"/>
  <c r="AH136"/>
  <c r="AJ136" s="1"/>
  <c r="AG136"/>
  <c r="Y136"/>
  <c r="Z136" s="1"/>
  <c r="X136"/>
  <c r="AI135"/>
  <c r="AH135"/>
  <c r="AJ135" s="1"/>
  <c r="AG135"/>
  <c r="X135"/>
  <c r="Y135" s="1"/>
  <c r="Z135" s="1"/>
  <c r="AH134"/>
  <c r="AJ134" s="1"/>
  <c r="AG134"/>
  <c r="Y134"/>
  <c r="Z134" s="1"/>
  <c r="X134"/>
  <c r="AI133"/>
  <c r="AH133"/>
  <c r="AJ133" s="1"/>
  <c r="AG133"/>
  <c r="X133"/>
  <c r="Y133" s="1"/>
  <c r="Z133" s="1"/>
  <c r="AH132"/>
  <c r="AJ132" s="1"/>
  <c r="AG132"/>
  <c r="Y132"/>
  <c r="Z132" s="1"/>
  <c r="X132"/>
  <c r="AI131"/>
  <c r="AH131"/>
  <c r="AJ131" s="1"/>
  <c r="AG131"/>
  <c r="X131"/>
  <c r="Y131" s="1"/>
  <c r="Z131" s="1"/>
  <c r="AH130"/>
  <c r="AJ130" s="1"/>
  <c r="AG130"/>
  <c r="Y130"/>
  <c r="Z130" s="1"/>
  <c r="X130"/>
  <c r="AI129"/>
  <c r="AH129"/>
  <c r="AJ129" s="1"/>
  <c r="AG129"/>
  <c r="X129"/>
  <c r="Y129" s="1"/>
  <c r="Z129" s="1"/>
  <c r="AH128"/>
  <c r="AJ128" s="1"/>
  <c r="AG128"/>
  <c r="Y128"/>
  <c r="Z128" s="1"/>
  <c r="X128"/>
  <c r="AI127"/>
  <c r="AH127"/>
  <c r="AJ127" s="1"/>
  <c r="AG127"/>
  <c r="X127"/>
  <c r="Y127" s="1"/>
  <c r="Z127" s="1"/>
  <c r="AH126"/>
  <c r="AJ126" s="1"/>
  <c r="AG126"/>
  <c r="Y126"/>
  <c r="Z126" s="1"/>
  <c r="X126"/>
  <c r="AI125"/>
  <c r="AH125"/>
  <c r="AJ125" s="1"/>
  <c r="AG125"/>
  <c r="X125"/>
  <c r="Y125" s="1"/>
  <c r="Z125" s="1"/>
  <c r="AH124"/>
  <c r="AJ124" s="1"/>
  <c r="AG124"/>
  <c r="Y124"/>
  <c r="Z124" s="1"/>
  <c r="X124"/>
  <c r="AI123"/>
  <c r="AH123"/>
  <c r="AJ123" s="1"/>
  <c r="AG123"/>
  <c r="X123"/>
  <c r="Y123" s="1"/>
  <c r="Z123" s="1"/>
  <c r="AH122"/>
  <c r="AJ122" s="1"/>
  <c r="AG122"/>
  <c r="Y122"/>
  <c r="Z122" s="1"/>
  <c r="X122"/>
  <c r="AI121"/>
  <c r="AH121"/>
  <c r="AJ121" s="1"/>
  <c r="AG121"/>
  <c r="X121"/>
  <c r="Y121" s="1"/>
  <c r="Z121" s="1"/>
  <c r="AH120"/>
  <c r="AJ120" s="1"/>
  <c r="AG120"/>
  <c r="Y120"/>
  <c r="Z120" s="1"/>
  <c r="X120"/>
  <c r="AI119"/>
  <c r="AH119"/>
  <c r="AJ119" s="1"/>
  <c r="AG119"/>
  <c r="X119"/>
  <c r="Y119" s="1"/>
  <c r="Z119" s="1"/>
  <c r="AH118"/>
  <c r="AJ118" s="1"/>
  <c r="AG118"/>
  <c r="Y118"/>
  <c r="Z118" s="1"/>
  <c r="X118"/>
  <c r="AI117"/>
  <c r="AH117"/>
  <c r="AJ117" s="1"/>
  <c r="AG117"/>
  <c r="X117"/>
  <c r="Y117" s="1"/>
  <c r="Z117" s="1"/>
  <c r="AH116"/>
  <c r="AJ116" s="1"/>
  <c r="AG116"/>
  <c r="Y116"/>
  <c r="Z116" s="1"/>
  <c r="X116"/>
  <c r="AI115"/>
  <c r="AH115"/>
  <c r="AJ115" s="1"/>
  <c r="AG115"/>
  <c r="X115"/>
  <c r="Y115" s="1"/>
  <c r="Z115" s="1"/>
  <c r="AH114"/>
  <c r="AJ114" s="1"/>
  <c r="AG114"/>
  <c r="Y114"/>
  <c r="Z114" s="1"/>
  <c r="X114"/>
  <c r="AI113"/>
  <c r="AH113"/>
  <c r="AJ113" s="1"/>
  <c r="AG113"/>
  <c r="X113"/>
  <c r="Y113" s="1"/>
  <c r="Z113" s="1"/>
  <c r="AH112"/>
  <c r="AJ112" s="1"/>
  <c r="AG112"/>
  <c r="Y112"/>
  <c r="Z112" s="1"/>
  <c r="X112"/>
  <c r="AI111"/>
  <c r="AH111"/>
  <c r="AJ111" s="1"/>
  <c r="AG111"/>
  <c r="X111"/>
  <c r="Y111" s="1"/>
  <c r="Z111" s="1"/>
  <c r="AH110"/>
  <c r="AJ110" s="1"/>
  <c r="AG110"/>
  <c r="Y110"/>
  <c r="Z110" s="1"/>
  <c r="X110"/>
  <c r="AI109"/>
  <c r="AH109"/>
  <c r="AJ109" s="1"/>
  <c r="AG109"/>
  <c r="X109"/>
  <c r="Y109" s="1"/>
  <c r="Z109" s="1"/>
  <c r="AH108"/>
  <c r="AJ108" s="1"/>
  <c r="AG108"/>
  <c r="Y108"/>
  <c r="Z108" s="1"/>
  <c r="X108"/>
  <c r="AI107"/>
  <c r="AH107"/>
  <c r="AJ107" s="1"/>
  <c r="AG107"/>
  <c r="X107"/>
  <c r="Y107" s="1"/>
  <c r="Z107" s="1"/>
  <c r="AH106"/>
  <c r="AJ106" s="1"/>
  <c r="AG106"/>
  <c r="Y106"/>
  <c r="Z106" s="1"/>
  <c r="X106"/>
  <c r="AI105"/>
  <c r="AH105"/>
  <c r="AJ105" s="1"/>
  <c r="AG105"/>
  <c r="X105"/>
  <c r="Y105" s="1"/>
  <c r="Z105" s="1"/>
  <c r="AH104"/>
  <c r="AJ104" s="1"/>
  <c r="AG104"/>
  <c r="Y104"/>
  <c r="Z104" s="1"/>
  <c r="X104"/>
  <c r="AI103"/>
  <c r="AH103"/>
  <c r="AJ103" s="1"/>
  <c r="AG103"/>
  <c r="X103"/>
  <c r="Y103" s="1"/>
  <c r="Z103" s="1"/>
  <c r="AH102"/>
  <c r="AJ102" s="1"/>
  <c r="AG102"/>
  <c r="Y102"/>
  <c r="Z102" s="1"/>
  <c r="X102"/>
  <c r="AI101"/>
  <c r="AH101"/>
  <c r="AJ101" s="1"/>
  <c r="AG101"/>
  <c r="X101"/>
  <c r="Y101" s="1"/>
  <c r="Z101" s="1"/>
  <c r="AH100"/>
  <c r="AJ100" s="1"/>
  <c r="AG100"/>
  <c r="Y100"/>
  <c r="Z100" s="1"/>
  <c r="X100"/>
  <c r="AI99"/>
  <c r="AH99"/>
  <c r="AJ99" s="1"/>
  <c r="AG99"/>
  <c r="X99"/>
  <c r="Y99" s="1"/>
  <c r="Z99" s="1"/>
  <c r="AH98"/>
  <c r="AJ98" s="1"/>
  <c r="AG98"/>
  <c r="Y98"/>
  <c r="Z98" s="1"/>
  <c r="X98"/>
  <c r="AI97"/>
  <c r="AH97"/>
  <c r="AJ97" s="1"/>
  <c r="AG97"/>
  <c r="X97"/>
  <c r="Y97" s="1"/>
  <c r="Z97" s="1"/>
  <c r="AH96"/>
  <c r="AJ96" s="1"/>
  <c r="AG96"/>
  <c r="Y96"/>
  <c r="Z96" s="1"/>
  <c r="X96"/>
  <c r="AI95"/>
  <c r="AH95"/>
  <c r="AJ95" s="1"/>
  <c r="AG95"/>
  <c r="X95"/>
  <c r="Y95" s="1"/>
  <c r="Z95" s="1"/>
  <c r="AH94"/>
  <c r="AJ94" s="1"/>
  <c r="AG94"/>
  <c r="Y94"/>
  <c r="Z94" s="1"/>
  <c r="X94"/>
  <c r="AI93"/>
  <c r="AH93"/>
  <c r="AJ93" s="1"/>
  <c r="AG93"/>
  <c r="X93"/>
  <c r="Y93" s="1"/>
  <c r="Z93" s="1"/>
  <c r="AH92"/>
  <c r="AJ92" s="1"/>
  <c r="AG92"/>
  <c r="Y92"/>
  <c r="Z92" s="1"/>
  <c r="X92"/>
  <c r="AI91"/>
  <c r="AH91"/>
  <c r="AJ91" s="1"/>
  <c r="AG91"/>
  <c r="X91"/>
  <c r="Y91" s="1"/>
  <c r="Z91" s="1"/>
  <c r="AH90"/>
  <c r="AJ90" s="1"/>
  <c r="AG90"/>
  <c r="Y90"/>
  <c r="Z90" s="1"/>
  <c r="X90"/>
  <c r="AI89"/>
  <c r="AH89"/>
  <c r="AJ89" s="1"/>
  <c r="AG89"/>
  <c r="X89"/>
  <c r="Y89" s="1"/>
  <c r="Z89" s="1"/>
  <c r="AH88"/>
  <c r="AJ88" s="1"/>
  <c r="AG88"/>
  <c r="Y88"/>
  <c r="Z88" s="1"/>
  <c r="X88"/>
  <c r="AI87"/>
  <c r="AH87"/>
  <c r="AJ87" s="1"/>
  <c r="AG87"/>
  <c r="X87"/>
  <c r="Y87" s="1"/>
  <c r="Z87" s="1"/>
  <c r="AH86"/>
  <c r="AJ86" s="1"/>
  <c r="AG86"/>
  <c r="Y86"/>
  <c r="Z86" s="1"/>
  <c r="X86"/>
  <c r="AI85"/>
  <c r="AH85"/>
  <c r="AJ85" s="1"/>
  <c r="AG85"/>
  <c r="X85"/>
  <c r="Y85" s="1"/>
  <c r="Z85" s="1"/>
  <c r="AH84"/>
  <c r="AJ84" s="1"/>
  <c r="AG84"/>
  <c r="Y84"/>
  <c r="Z84" s="1"/>
  <c r="X84"/>
  <c r="AI83"/>
  <c r="AH83"/>
  <c r="AJ83" s="1"/>
  <c r="AG83"/>
  <c r="X83"/>
  <c r="Y83" s="1"/>
  <c r="Z83" s="1"/>
  <c r="AH82"/>
  <c r="AJ82" s="1"/>
  <c r="AG82"/>
  <c r="Y82"/>
  <c r="Z82" s="1"/>
  <c r="X82"/>
  <c r="AI81"/>
  <c r="AH81"/>
  <c r="AJ81" s="1"/>
  <c r="AG81"/>
  <c r="X81"/>
  <c r="Y81" s="1"/>
  <c r="Z81" s="1"/>
  <c r="AH80"/>
  <c r="AJ80" s="1"/>
  <c r="AG80"/>
  <c r="Y80"/>
  <c r="Z80" s="1"/>
  <c r="X80"/>
  <c r="AI79"/>
  <c r="AH79"/>
  <c r="AJ79" s="1"/>
  <c r="AG79"/>
  <c r="X79"/>
  <c r="Y79" s="1"/>
  <c r="Z79" s="1"/>
  <c r="AH78"/>
  <c r="AJ78" s="1"/>
  <c r="AG78"/>
  <c r="Y78"/>
  <c r="Z78" s="1"/>
  <c r="X78"/>
  <c r="AI77"/>
  <c r="AH77"/>
  <c r="AJ77" s="1"/>
  <c r="AG77"/>
  <c r="X77"/>
  <c r="Y77" s="1"/>
  <c r="Z77" s="1"/>
  <c r="AH76"/>
  <c r="AJ76" s="1"/>
  <c r="AG76"/>
  <c r="Y76"/>
  <c r="Z76" s="1"/>
  <c r="AB76" s="1"/>
  <c r="AD76" s="1"/>
  <c r="AE76" s="1"/>
  <c r="X76"/>
  <c r="AM75"/>
  <c r="AI75"/>
  <c r="AH75"/>
  <c r="AJ75" s="1"/>
  <c r="AL75" s="1"/>
  <c r="AG75"/>
  <c r="X75"/>
  <c r="Y75" s="1"/>
  <c r="Z75" s="1"/>
  <c r="AJ74"/>
  <c r="AK74" s="1"/>
  <c r="AH74"/>
  <c r="AI74" s="1"/>
  <c r="AG74"/>
  <c r="Y74"/>
  <c r="Z74" s="1"/>
  <c r="AB74" s="1"/>
  <c r="AD74" s="1"/>
  <c r="AE74" s="1"/>
  <c r="X74"/>
  <c r="AM73"/>
  <c r="AI73"/>
  <c r="AH73"/>
  <c r="AJ73" s="1"/>
  <c r="AL73" s="1"/>
  <c r="AG73"/>
  <c r="X73"/>
  <c r="Y73" s="1"/>
  <c r="Z73" s="1"/>
  <c r="AJ72"/>
  <c r="AK72" s="1"/>
  <c r="AH72"/>
  <c r="AI72" s="1"/>
  <c r="AG72"/>
  <c r="Y72"/>
  <c r="Z72" s="1"/>
  <c r="AB72" s="1"/>
  <c r="AD72" s="1"/>
  <c r="AE72" s="1"/>
  <c r="X72"/>
  <c r="AM71"/>
  <c r="AI71"/>
  <c r="AH71"/>
  <c r="AJ71" s="1"/>
  <c r="AL71" s="1"/>
  <c r="AG71"/>
  <c r="X71"/>
  <c r="Y71" s="1"/>
  <c r="Z71" s="1"/>
  <c r="AJ70"/>
  <c r="AK70" s="1"/>
  <c r="AH70"/>
  <c r="AI70" s="1"/>
  <c r="AG70"/>
  <c r="Y70"/>
  <c r="Z70" s="1"/>
  <c r="AB70" s="1"/>
  <c r="AD70" s="1"/>
  <c r="AE70" s="1"/>
  <c r="X70"/>
  <c r="AM69"/>
  <c r="AI69"/>
  <c r="AH69"/>
  <c r="AJ69" s="1"/>
  <c r="AL69" s="1"/>
  <c r="AG69"/>
  <c r="X69"/>
  <c r="Y69" s="1"/>
  <c r="Z69" s="1"/>
  <c r="AJ68"/>
  <c r="AK68" s="1"/>
  <c r="AH68"/>
  <c r="AI68" s="1"/>
  <c r="AG68"/>
  <c r="Y68"/>
  <c r="Z68" s="1"/>
  <c r="AB68" s="1"/>
  <c r="AD68" s="1"/>
  <c r="AE68" s="1"/>
  <c r="X68"/>
  <c r="AM67"/>
  <c r="AI67"/>
  <c r="AH67"/>
  <c r="AJ67" s="1"/>
  <c r="AL67" s="1"/>
  <c r="AG67"/>
  <c r="X67"/>
  <c r="Y67" s="1"/>
  <c r="Z67" s="1"/>
  <c r="AJ66"/>
  <c r="AK66" s="1"/>
  <c r="AH66"/>
  <c r="AI66" s="1"/>
  <c r="AG66"/>
  <c r="Y66"/>
  <c r="Z66" s="1"/>
  <c r="AB66" s="1"/>
  <c r="AD66" s="1"/>
  <c r="AE66" s="1"/>
  <c r="X66"/>
  <c r="AM65"/>
  <c r="AI65"/>
  <c r="AH65"/>
  <c r="AJ65" s="1"/>
  <c r="AL65" s="1"/>
  <c r="AG65"/>
  <c r="X65"/>
  <c r="Y65" s="1"/>
  <c r="Z65" s="1"/>
  <c r="AJ64"/>
  <c r="AK64" s="1"/>
  <c r="AH64"/>
  <c r="AI64" s="1"/>
  <c r="AG64"/>
  <c r="X64"/>
  <c r="Y64" s="1"/>
  <c r="Z64" s="1"/>
  <c r="AH63"/>
  <c r="AI63" s="1"/>
  <c r="AG63"/>
  <c r="Y63"/>
  <c r="Z63" s="1"/>
  <c r="X63"/>
  <c r="AI62"/>
  <c r="AH62"/>
  <c r="AJ62" s="1"/>
  <c r="AG62"/>
  <c r="X62"/>
  <c r="Y62" s="1"/>
  <c r="Z62" s="1"/>
  <c r="AH61"/>
  <c r="AI61" s="1"/>
  <c r="AG61"/>
  <c r="Y61"/>
  <c r="Z61" s="1"/>
  <c r="X61"/>
  <c r="AG60"/>
  <c r="AF60"/>
  <c r="AH60" s="1"/>
  <c r="AE60"/>
  <c r="X60"/>
  <c r="Y60" s="1"/>
  <c r="Z60" s="1"/>
  <c r="AF59"/>
  <c r="AG59" s="1"/>
  <c r="AE59"/>
  <c r="Y59"/>
  <c r="Z59" s="1"/>
  <c r="X59"/>
  <c r="AG58"/>
  <c r="AF58"/>
  <c r="AH58" s="1"/>
  <c r="AE58"/>
  <c r="X58"/>
  <c r="Y58" s="1"/>
  <c r="Z58" s="1"/>
  <c r="AF57"/>
  <c r="AG57" s="1"/>
  <c r="AE57"/>
  <c r="Y57"/>
  <c r="Z57" s="1"/>
  <c r="X57"/>
  <c r="AG56"/>
  <c r="AF56"/>
  <c r="AH56" s="1"/>
  <c r="AE56"/>
  <c r="X56"/>
  <c r="Y56" s="1"/>
  <c r="Z56" s="1"/>
  <c r="AF55"/>
  <c r="AG55" s="1"/>
  <c r="AE55"/>
  <c r="Y55"/>
  <c r="Z55" s="1"/>
  <c r="X55"/>
  <c r="AG54"/>
  <c r="AF54"/>
  <c r="AH54" s="1"/>
  <c r="AE54"/>
  <c r="X54"/>
  <c r="Y54" s="1"/>
  <c r="Z54" s="1"/>
  <c r="AF53"/>
  <c r="AG53" s="1"/>
  <c r="AE53"/>
  <c r="Y53"/>
  <c r="Z53" s="1"/>
  <c r="X53"/>
  <c r="AG52"/>
  <c r="AF52"/>
  <c r="AH52" s="1"/>
  <c r="AE52"/>
  <c r="X52"/>
  <c r="Y52" s="1"/>
  <c r="Z52" s="1"/>
  <c r="AF51"/>
  <c r="AG51" s="1"/>
  <c r="AE51"/>
  <c r="Y51"/>
  <c r="Z51" s="1"/>
  <c r="X51"/>
  <c r="AG50"/>
  <c r="AF50"/>
  <c r="AH50" s="1"/>
  <c r="AE50"/>
  <c r="X50"/>
  <c r="Y50" s="1"/>
  <c r="Z50" s="1"/>
  <c r="AF49"/>
  <c r="AG49" s="1"/>
  <c r="AE49"/>
  <c r="Y49"/>
  <c r="Z49" s="1"/>
  <c r="X49"/>
  <c r="AG48"/>
  <c r="AF48"/>
  <c r="AH48" s="1"/>
  <c r="AE48"/>
  <c r="X48"/>
  <c r="Y48" s="1"/>
  <c r="Z48" s="1"/>
  <c r="AF47"/>
  <c r="AG47" s="1"/>
  <c r="AE47"/>
  <c r="Y47"/>
  <c r="Z47" s="1"/>
  <c r="X47"/>
  <c r="AG46"/>
  <c r="AF46"/>
  <c r="AH46" s="1"/>
  <c r="AE46"/>
  <c r="X46"/>
  <c r="Y46" s="1"/>
  <c r="Z46" s="1"/>
  <c r="AF45"/>
  <c r="AG45" s="1"/>
  <c r="AE45"/>
  <c r="Y45"/>
  <c r="Z45" s="1"/>
  <c r="X45"/>
  <c r="AG44"/>
  <c r="AF44"/>
  <c r="AH44" s="1"/>
  <c r="AE44"/>
  <c r="X44"/>
  <c r="Y44" s="1"/>
  <c r="Z44" s="1"/>
  <c r="AF43"/>
  <c r="AG43" s="1"/>
  <c r="AE43"/>
  <c r="Y43"/>
  <c r="Z43" s="1"/>
  <c r="X43"/>
  <c r="AG42"/>
  <c r="AF42"/>
  <c r="AH42" s="1"/>
  <c r="AE42"/>
  <c r="X42"/>
  <c r="Y42" s="1"/>
  <c r="Z42" s="1"/>
  <c r="AF41"/>
  <c r="AG41" s="1"/>
  <c r="AE41"/>
  <c r="Y41"/>
  <c r="Z41" s="1"/>
  <c r="X41"/>
  <c r="AG40"/>
  <c r="AF40"/>
  <c r="AH40" s="1"/>
  <c r="AE40"/>
  <c r="X40"/>
  <c r="Y40" s="1"/>
  <c r="Z40" s="1"/>
  <c r="AF39"/>
  <c r="AG39" s="1"/>
  <c r="AE39"/>
  <c r="Y39"/>
  <c r="Z39" s="1"/>
  <c r="X39"/>
  <c r="AG38"/>
  <c r="AF38"/>
  <c r="AH38" s="1"/>
  <c r="AE38"/>
  <c r="X38"/>
  <c r="Y38" s="1"/>
  <c r="Z38" s="1"/>
  <c r="AF37"/>
  <c r="AG37" s="1"/>
  <c r="AE37"/>
  <c r="Y37"/>
  <c r="Z37" s="1"/>
  <c r="X37"/>
  <c r="AG36"/>
  <c r="AF36"/>
  <c r="AH36" s="1"/>
  <c r="AE36"/>
  <c r="X36"/>
  <c r="Y36" s="1"/>
  <c r="Z36" s="1"/>
  <c r="AJ35"/>
  <c r="AK35" s="1"/>
  <c r="AI35"/>
  <c r="Y35"/>
  <c r="Z35" s="1"/>
  <c r="X35"/>
  <c r="AK34"/>
  <c r="AJ34"/>
  <c r="AL34" s="1"/>
  <c r="AM34" s="1"/>
  <c r="AI34"/>
  <c r="X34"/>
  <c r="Y34" s="1"/>
  <c r="Z34" s="1"/>
  <c r="AJ33"/>
  <c r="AK33" s="1"/>
  <c r="AI33"/>
  <c r="Y33"/>
  <c r="Z33" s="1"/>
  <c r="X33"/>
  <c r="AK32"/>
  <c r="AJ32"/>
  <c r="AL32" s="1"/>
  <c r="AM32" s="1"/>
  <c r="AI32"/>
  <c r="X32"/>
  <c r="Y32" s="1"/>
  <c r="Z32" s="1"/>
  <c r="AF31"/>
  <c r="AG31" s="1"/>
  <c r="AE31"/>
  <c r="Y31"/>
  <c r="Z31" s="1"/>
  <c r="X31"/>
  <c r="AK30"/>
  <c r="AJ30"/>
  <c r="AL30" s="1"/>
  <c r="AM30" s="1"/>
  <c r="AI30"/>
  <c r="X30"/>
  <c r="Y30" s="1"/>
  <c r="Z30" s="1"/>
  <c r="AJ29"/>
  <c r="AK29" s="1"/>
  <c r="AI29"/>
  <c r="Y29"/>
  <c r="Z29" s="1"/>
  <c r="X29"/>
  <c r="AK28"/>
  <c r="AJ28"/>
  <c r="AL28" s="1"/>
  <c r="AM28" s="1"/>
  <c r="AI28"/>
  <c r="X28"/>
  <c r="Y28" s="1"/>
  <c r="Z28" s="1"/>
  <c r="AJ27"/>
  <c r="AK27" s="1"/>
  <c r="AI27"/>
  <c r="Y27"/>
  <c r="Z27" s="1"/>
  <c r="X27"/>
  <c r="AK26"/>
  <c r="AJ26"/>
  <c r="AL26" s="1"/>
  <c r="AM26" s="1"/>
  <c r="AI26"/>
  <c r="X26"/>
  <c r="Y26" s="1"/>
  <c r="Z26" s="1"/>
  <c r="AJ25"/>
  <c r="AK25" s="1"/>
  <c r="AI25"/>
  <c r="Y25"/>
  <c r="Z25" s="1"/>
  <c r="X25"/>
  <c r="AG24"/>
  <c r="AF24"/>
  <c r="AH24" s="1"/>
  <c r="AE24"/>
  <c r="X24"/>
  <c r="Y24" s="1"/>
  <c r="Z24" s="1"/>
  <c r="AF23"/>
  <c r="AG23" s="1"/>
  <c r="AE23"/>
  <c r="Y23"/>
  <c r="Z23" s="1"/>
  <c r="X23"/>
  <c r="AG22"/>
  <c r="AF22"/>
  <c r="AH22" s="1"/>
  <c r="AE22"/>
  <c r="X22"/>
  <c r="Y22" s="1"/>
  <c r="Z22" s="1"/>
  <c r="AF21"/>
  <c r="AG21" s="1"/>
  <c r="AE21"/>
  <c r="Y21"/>
  <c r="Z21" s="1"/>
  <c r="X21"/>
  <c r="AK20"/>
  <c r="AJ20"/>
  <c r="AL20" s="1"/>
  <c r="AM20" s="1"/>
  <c r="AI20"/>
  <c r="X20"/>
  <c r="Y20" s="1"/>
  <c r="Z20" s="1"/>
  <c r="AJ19"/>
  <c r="AK19" s="1"/>
  <c r="AI19"/>
  <c r="Y19"/>
  <c r="Z19" s="1"/>
  <c r="X19"/>
  <c r="AG18"/>
  <c r="AF18"/>
  <c r="AH18" s="1"/>
  <c r="AE18"/>
  <c r="X18"/>
  <c r="Y18" s="1"/>
  <c r="Z18" s="1"/>
  <c r="AF17"/>
  <c r="AG17" s="1"/>
  <c r="AE17"/>
  <c r="Y17"/>
  <c r="Z17" s="1"/>
  <c r="X17"/>
  <c r="AG16"/>
  <c r="AF16"/>
  <c r="AH16" s="1"/>
  <c r="AE16"/>
  <c r="X16"/>
  <c r="Y16" s="1"/>
  <c r="Z16" s="1"/>
  <c r="AF15"/>
  <c r="AG15" s="1"/>
  <c r="AE15"/>
  <c r="Y15"/>
  <c r="Z15" s="1"/>
  <c r="X15"/>
  <c r="AG14"/>
  <c r="AF14"/>
  <c r="AH14" s="1"/>
  <c r="AE14"/>
  <c r="X14"/>
  <c r="Y14" s="1"/>
  <c r="Z14" s="1"/>
  <c r="AH13"/>
  <c r="AI13" s="1"/>
  <c r="AG13"/>
  <c r="AC13"/>
  <c r="AB13"/>
  <c r="AD13" s="1"/>
  <c r="AE13" s="1"/>
  <c r="AA13"/>
  <c r="X13"/>
  <c r="Y13" s="1"/>
  <c r="AF12"/>
  <c r="AG12" s="1"/>
  <c r="AE12"/>
  <c r="Y12"/>
  <c r="Z12" s="1"/>
  <c r="X12"/>
  <c r="AK11"/>
  <c r="AJ11"/>
  <c r="AL11" s="1"/>
  <c r="AM11" s="1"/>
  <c r="AI11"/>
  <c r="AB11"/>
  <c r="AC11" s="1"/>
  <c r="AA11"/>
  <c r="Y11"/>
  <c r="X11"/>
  <c r="AK10"/>
  <c r="AJ10"/>
  <c r="AL10" s="1"/>
  <c r="AM10" s="1"/>
  <c r="AI10"/>
  <c r="AB10"/>
  <c r="AC10" s="1"/>
  <c r="AA10"/>
  <c r="Y10"/>
  <c r="X10"/>
  <c r="AK9"/>
  <c r="AJ9"/>
  <c r="AL9" s="1"/>
  <c r="AM9" s="1"/>
  <c r="AI9"/>
  <c r="AB9"/>
  <c r="AC9" s="1"/>
  <c r="AA9"/>
  <c r="Y9"/>
  <c r="X9"/>
  <c r="AK8"/>
  <c r="AJ8"/>
  <c r="AL8" s="1"/>
  <c r="AM8" s="1"/>
  <c r="AI8"/>
  <c r="X8"/>
  <c r="Y8" s="1"/>
  <c r="Z8" s="1"/>
  <c r="AH7"/>
  <c r="AI7" s="1"/>
  <c r="AG7"/>
  <c r="Y7"/>
  <c r="Z7" s="1"/>
  <c r="X7"/>
  <c r="Y6"/>
  <c r="Z6" s="1"/>
  <c r="X6"/>
  <c r="T5"/>
  <c r="T4"/>
  <c r="AO2"/>
  <c r="AO1"/>
  <c r="Y6" i="1"/>
  <c r="F6" i="84"/>
  <c r="M9"/>
  <c r="M23"/>
  <c r="M28"/>
  <c r="F38"/>
  <c r="L47"/>
  <c r="L48"/>
  <c r="F8"/>
  <c r="F13"/>
  <c r="M22"/>
  <c r="M26"/>
  <c r="F40"/>
  <c r="M8"/>
  <c r="F16"/>
  <c r="F26"/>
  <c r="F36"/>
  <c r="F42"/>
  <c r="C76"/>
  <c r="M6"/>
  <c r="F9"/>
  <c r="J15"/>
  <c r="M24"/>
  <c r="F37"/>
  <c r="Q71" l="1"/>
  <c r="L57"/>
  <c r="L56"/>
  <c r="J57"/>
  <c r="J55" s="1"/>
  <c r="J58" s="1"/>
  <c r="Q50" s="1"/>
  <c r="L60"/>
  <c r="K53"/>
  <c r="J53"/>
  <c r="L59"/>
  <c r="L58"/>
  <c r="F68"/>
  <c r="F66"/>
  <c r="F65"/>
  <c r="F64"/>
  <c r="C27"/>
  <c r="F51"/>
  <c r="AA8" i="83"/>
  <c r="AB8"/>
  <c r="AB12"/>
  <c r="AC12" s="1"/>
  <c r="AA12"/>
  <c r="AB15"/>
  <c r="AC15" s="1"/>
  <c r="AA15"/>
  <c r="AB17"/>
  <c r="AC17" s="1"/>
  <c r="AA17"/>
  <c r="AB19"/>
  <c r="AA19"/>
  <c r="AB21"/>
  <c r="AC21" s="1"/>
  <c r="AA21"/>
  <c r="AB23"/>
  <c r="AC23" s="1"/>
  <c r="AA23"/>
  <c r="AB25"/>
  <c r="AA25"/>
  <c r="AB27"/>
  <c r="AA27"/>
  <c r="AB29"/>
  <c r="AA29"/>
  <c r="AB31"/>
  <c r="AC31" s="1"/>
  <c r="AA31"/>
  <c r="AB33"/>
  <c r="AA33"/>
  <c r="AB35"/>
  <c r="AA35"/>
  <c r="AB37"/>
  <c r="AC37" s="1"/>
  <c r="AA37"/>
  <c r="AB39"/>
  <c r="AC39" s="1"/>
  <c r="AA39"/>
  <c r="AB41"/>
  <c r="AC41" s="1"/>
  <c r="AA41"/>
  <c r="AB43"/>
  <c r="AC43" s="1"/>
  <c r="AA43"/>
  <c r="AB45"/>
  <c r="AC45" s="1"/>
  <c r="AA45"/>
  <c r="AB47"/>
  <c r="AC47" s="1"/>
  <c r="AA47"/>
  <c r="AB49"/>
  <c r="AC49" s="1"/>
  <c r="AA49"/>
  <c r="AB51"/>
  <c r="AC51" s="1"/>
  <c r="AA51"/>
  <c r="AB53"/>
  <c r="AC53" s="1"/>
  <c r="AA53"/>
  <c r="AB55"/>
  <c r="AC55" s="1"/>
  <c r="AA55"/>
  <c r="AB57"/>
  <c r="AC57" s="1"/>
  <c r="AA57"/>
  <c r="AB59"/>
  <c r="AC59" s="1"/>
  <c r="AA59"/>
  <c r="AB61"/>
  <c r="AA61"/>
  <c r="AB63"/>
  <c r="AA63"/>
  <c r="AB6"/>
  <c r="AA6"/>
  <c r="AB7"/>
  <c r="AA7"/>
  <c r="AA14"/>
  <c r="AB14"/>
  <c r="AC14" s="1"/>
  <c r="AJ14"/>
  <c r="AI14"/>
  <c r="AA16"/>
  <c r="AB16"/>
  <c r="AC16" s="1"/>
  <c r="AJ16"/>
  <c r="AI16"/>
  <c r="AA18"/>
  <c r="AB18"/>
  <c r="AC18" s="1"/>
  <c r="AJ18"/>
  <c r="AI18"/>
  <c r="AA20"/>
  <c r="AB20"/>
  <c r="AA22"/>
  <c r="AB22"/>
  <c r="AC22" s="1"/>
  <c r="AJ22"/>
  <c r="AI22"/>
  <c r="AA24"/>
  <c r="AB24"/>
  <c r="AC24" s="1"/>
  <c r="AJ24"/>
  <c r="AI24"/>
  <c r="AA26"/>
  <c r="AB26"/>
  <c r="AA28"/>
  <c r="AB28"/>
  <c r="AA30"/>
  <c r="AB30"/>
  <c r="AA32"/>
  <c r="AB32"/>
  <c r="AA34"/>
  <c r="AB34"/>
  <c r="AA36"/>
  <c r="AB36"/>
  <c r="AC36" s="1"/>
  <c r="AJ36"/>
  <c r="AI36"/>
  <c r="AA38"/>
  <c r="AB38"/>
  <c r="AC38" s="1"/>
  <c r="AJ38"/>
  <c r="AI38"/>
  <c r="AA40"/>
  <c r="AB40"/>
  <c r="AC40" s="1"/>
  <c r="AJ40"/>
  <c r="AI40"/>
  <c r="AA42"/>
  <c r="AB42"/>
  <c r="AC42" s="1"/>
  <c r="AJ42"/>
  <c r="AI42"/>
  <c r="AA44"/>
  <c r="AB44"/>
  <c r="AC44" s="1"/>
  <c r="AJ44"/>
  <c r="AI44"/>
  <c r="AA46"/>
  <c r="AB46"/>
  <c r="AC46" s="1"/>
  <c r="AJ46"/>
  <c r="AI46"/>
  <c r="AA48"/>
  <c r="AB48"/>
  <c r="AC48" s="1"/>
  <c r="AJ48"/>
  <c r="AI48"/>
  <c r="AA50"/>
  <c r="AB50"/>
  <c r="AC50" s="1"/>
  <c r="AJ50"/>
  <c r="AI50"/>
  <c r="AA52"/>
  <c r="AB52"/>
  <c r="AC52" s="1"/>
  <c r="AJ52"/>
  <c r="AI52"/>
  <c r="AA54"/>
  <c r="AB54"/>
  <c r="AC54" s="1"/>
  <c r="AJ54"/>
  <c r="AI54"/>
  <c r="AA56"/>
  <c r="AB56"/>
  <c r="AC56" s="1"/>
  <c r="AJ56"/>
  <c r="AI56"/>
  <c r="AA58"/>
  <c r="AB58"/>
  <c r="AC58" s="1"/>
  <c r="AJ58"/>
  <c r="AI58"/>
  <c r="AA60"/>
  <c r="AB60"/>
  <c r="AC60" s="1"/>
  <c r="AJ60"/>
  <c r="AI60"/>
  <c r="AA62"/>
  <c r="AB62"/>
  <c r="AL62"/>
  <c r="AM62" s="1"/>
  <c r="AK62"/>
  <c r="AA64"/>
  <c r="AB64"/>
  <c r="AA65"/>
  <c r="AB65"/>
  <c r="AA67"/>
  <c r="AB67"/>
  <c r="AA69"/>
  <c r="AB69"/>
  <c r="AA71"/>
  <c r="AB71"/>
  <c r="AA73"/>
  <c r="AB73"/>
  <c r="AA75"/>
  <c r="AB75"/>
  <c r="AB77"/>
  <c r="AA77"/>
  <c r="AK77"/>
  <c r="AL77"/>
  <c r="AM77" s="1"/>
  <c r="AB79"/>
  <c r="AA79"/>
  <c r="AK79"/>
  <c r="AL79"/>
  <c r="AM79" s="1"/>
  <c r="AB81"/>
  <c r="AA81"/>
  <c r="AK81"/>
  <c r="AL81"/>
  <c r="AM81" s="1"/>
  <c r="AB83"/>
  <c r="AA83"/>
  <c r="AK83"/>
  <c r="AL83"/>
  <c r="AM83" s="1"/>
  <c r="AB85"/>
  <c r="AA85"/>
  <c r="AK85"/>
  <c r="AL85"/>
  <c r="AM85" s="1"/>
  <c r="AB87"/>
  <c r="AA87"/>
  <c r="AK87"/>
  <c r="AL87"/>
  <c r="AM87" s="1"/>
  <c r="AB89"/>
  <c r="AA89"/>
  <c r="AK89"/>
  <c r="AL89"/>
  <c r="AM89" s="1"/>
  <c r="AB91"/>
  <c r="AA91"/>
  <c r="AK91"/>
  <c r="AL91"/>
  <c r="AM91" s="1"/>
  <c r="AB93"/>
  <c r="AA93"/>
  <c r="AK93"/>
  <c r="AL93"/>
  <c r="AM93" s="1"/>
  <c r="AB95"/>
  <c r="AA95"/>
  <c r="AK95"/>
  <c r="AL95"/>
  <c r="AM95" s="1"/>
  <c r="AB97"/>
  <c r="AA97"/>
  <c r="AK97"/>
  <c r="AL97"/>
  <c r="AM97" s="1"/>
  <c r="AB99"/>
  <c r="AA99"/>
  <c r="AK99"/>
  <c r="AL99"/>
  <c r="AM99" s="1"/>
  <c r="AB101"/>
  <c r="AA101"/>
  <c r="AK101"/>
  <c r="AL101"/>
  <c r="AM101" s="1"/>
  <c r="AB103"/>
  <c r="AA103"/>
  <c r="AK103"/>
  <c r="AL103"/>
  <c r="AM103" s="1"/>
  <c r="AB105"/>
  <c r="AA105"/>
  <c r="AK105"/>
  <c r="AL105"/>
  <c r="AM105" s="1"/>
  <c r="AB107"/>
  <c r="AA107"/>
  <c r="AK107"/>
  <c r="AL107"/>
  <c r="AM107" s="1"/>
  <c r="AB109"/>
  <c r="AA109"/>
  <c r="AK109"/>
  <c r="AL109"/>
  <c r="AM109" s="1"/>
  <c r="AB111"/>
  <c r="AA111"/>
  <c r="AK111"/>
  <c r="AL111"/>
  <c r="AM111" s="1"/>
  <c r="AB113"/>
  <c r="AA113"/>
  <c r="AK113"/>
  <c r="AL113"/>
  <c r="AM113" s="1"/>
  <c r="AB115"/>
  <c r="AA115"/>
  <c r="AK115"/>
  <c r="AL115"/>
  <c r="AM115" s="1"/>
  <c r="AB117"/>
  <c r="AA117"/>
  <c r="AK117"/>
  <c r="AL117"/>
  <c r="AM117" s="1"/>
  <c r="AB119"/>
  <c r="AA119"/>
  <c r="AK119"/>
  <c r="AL119"/>
  <c r="AM119" s="1"/>
  <c r="AB121"/>
  <c r="AA121"/>
  <c r="AK121"/>
  <c r="AL121"/>
  <c r="AM121" s="1"/>
  <c r="AB123"/>
  <c r="AA123"/>
  <c r="AK123"/>
  <c r="AL123"/>
  <c r="AM123" s="1"/>
  <c r="AB125"/>
  <c r="AA125"/>
  <c r="AK125"/>
  <c r="AL125"/>
  <c r="AM125" s="1"/>
  <c r="AB127"/>
  <c r="AA127"/>
  <c r="AK127"/>
  <c r="AL127"/>
  <c r="AM127" s="1"/>
  <c r="AB129"/>
  <c r="AA129"/>
  <c r="AK129"/>
  <c r="AL129"/>
  <c r="AM129" s="1"/>
  <c r="AB131"/>
  <c r="AA131"/>
  <c r="AK131"/>
  <c r="AL131"/>
  <c r="AM131" s="1"/>
  <c r="AB133"/>
  <c r="AA133"/>
  <c r="AK133"/>
  <c r="AL133"/>
  <c r="AM133" s="1"/>
  <c r="AB135"/>
  <c r="AA135"/>
  <c r="AK135"/>
  <c r="AL135"/>
  <c r="AM135" s="1"/>
  <c r="AB137"/>
  <c r="AA137"/>
  <c r="AK137"/>
  <c r="AL137"/>
  <c r="AM137" s="1"/>
  <c r="AB139"/>
  <c r="AA139"/>
  <c r="AK139"/>
  <c r="AL139"/>
  <c r="AM139" s="1"/>
  <c r="AB141"/>
  <c r="AA141"/>
  <c r="AK141"/>
  <c r="AL141"/>
  <c r="AM141" s="1"/>
  <c r="AB143"/>
  <c r="AA143"/>
  <c r="AK143"/>
  <c r="AL143"/>
  <c r="AM143" s="1"/>
  <c r="AB145"/>
  <c r="AA145"/>
  <c r="AK145"/>
  <c r="AL145"/>
  <c r="AM145" s="1"/>
  <c r="AA153"/>
  <c r="AB153"/>
  <c r="AJ7"/>
  <c r="AD9"/>
  <c r="AD10"/>
  <c r="AD11"/>
  <c r="AH12"/>
  <c r="AJ13"/>
  <c r="AH15"/>
  <c r="AH17"/>
  <c r="AL19"/>
  <c r="AM19" s="1"/>
  <c r="AH21"/>
  <c r="AH23"/>
  <c r="AL25"/>
  <c r="AM25" s="1"/>
  <c r="AL27"/>
  <c r="AM27" s="1"/>
  <c r="AL29"/>
  <c r="AM29" s="1"/>
  <c r="AH31"/>
  <c r="AL33"/>
  <c r="AM33" s="1"/>
  <c r="AL35"/>
  <c r="AM35" s="1"/>
  <c r="AH37"/>
  <c r="AH39"/>
  <c r="AH41"/>
  <c r="AH43"/>
  <c r="AH45"/>
  <c r="AH47"/>
  <c r="AH49"/>
  <c r="AH51"/>
  <c r="AH53"/>
  <c r="AH55"/>
  <c r="AH57"/>
  <c r="AH59"/>
  <c r="AJ61"/>
  <c r="AJ63"/>
  <c r="AC66"/>
  <c r="AC68"/>
  <c r="AC70"/>
  <c r="AC72"/>
  <c r="AC74"/>
  <c r="AC76"/>
  <c r="AL76"/>
  <c r="AM76" s="1"/>
  <c r="AK76"/>
  <c r="AA78"/>
  <c r="AB78"/>
  <c r="AL78"/>
  <c r="AM78" s="1"/>
  <c r="AK78"/>
  <c r="AA80"/>
  <c r="AB80"/>
  <c r="AL80"/>
  <c r="AM80" s="1"/>
  <c r="AK80"/>
  <c r="AA82"/>
  <c r="AB82"/>
  <c r="AL82"/>
  <c r="AM82" s="1"/>
  <c r="AK82"/>
  <c r="AA84"/>
  <c r="AB84"/>
  <c r="AL84"/>
  <c r="AM84" s="1"/>
  <c r="AK84"/>
  <c r="AA86"/>
  <c r="AB86"/>
  <c r="AL86"/>
  <c r="AM86" s="1"/>
  <c r="AK86"/>
  <c r="AA88"/>
  <c r="AB88"/>
  <c r="AL88"/>
  <c r="AM88" s="1"/>
  <c r="AK88"/>
  <c r="AA90"/>
  <c r="AB90"/>
  <c r="AL90"/>
  <c r="AM90" s="1"/>
  <c r="AK90"/>
  <c r="AA92"/>
  <c r="AB92"/>
  <c r="AL92"/>
  <c r="AM92" s="1"/>
  <c r="AK92"/>
  <c r="AA94"/>
  <c r="AB94"/>
  <c r="AL94"/>
  <c r="AM94" s="1"/>
  <c r="AK94"/>
  <c r="AA96"/>
  <c r="AB96"/>
  <c r="AL96"/>
  <c r="AM96" s="1"/>
  <c r="AK96"/>
  <c r="AA98"/>
  <c r="AB98"/>
  <c r="AL98"/>
  <c r="AM98" s="1"/>
  <c r="AK98"/>
  <c r="AA100"/>
  <c r="AB100"/>
  <c r="AL100"/>
  <c r="AM100" s="1"/>
  <c r="AK100"/>
  <c r="AA102"/>
  <c r="AB102"/>
  <c r="AL102"/>
  <c r="AM102" s="1"/>
  <c r="AK102"/>
  <c r="AA104"/>
  <c r="AB104"/>
  <c r="AL104"/>
  <c r="AM104" s="1"/>
  <c r="AK104"/>
  <c r="AA106"/>
  <c r="AB106"/>
  <c r="AL106"/>
  <c r="AM106" s="1"/>
  <c r="AK106"/>
  <c r="AA108"/>
  <c r="AB108"/>
  <c r="AL108"/>
  <c r="AM108" s="1"/>
  <c r="AK108"/>
  <c r="AA110"/>
  <c r="AB110"/>
  <c r="AL110"/>
  <c r="AM110" s="1"/>
  <c r="AK110"/>
  <c r="AA112"/>
  <c r="AB112"/>
  <c r="AL112"/>
  <c r="AM112" s="1"/>
  <c r="AK112"/>
  <c r="AA114"/>
  <c r="AB114"/>
  <c r="AL114"/>
  <c r="AM114" s="1"/>
  <c r="AK114"/>
  <c r="AA116"/>
  <c r="AB116"/>
  <c r="AL116"/>
  <c r="AM116" s="1"/>
  <c r="AK116"/>
  <c r="AA118"/>
  <c r="AB118"/>
  <c r="AL118"/>
  <c r="AM118" s="1"/>
  <c r="AK118"/>
  <c r="AA120"/>
  <c r="AB120"/>
  <c r="AL120"/>
  <c r="AM120" s="1"/>
  <c r="AK120"/>
  <c r="AA122"/>
  <c r="AB122"/>
  <c r="AL122"/>
  <c r="AM122" s="1"/>
  <c r="AK122"/>
  <c r="AA124"/>
  <c r="AB124"/>
  <c r="AL124"/>
  <c r="AM124" s="1"/>
  <c r="AK124"/>
  <c r="AA126"/>
  <c r="AB126"/>
  <c r="AL126"/>
  <c r="AM126" s="1"/>
  <c r="AK126"/>
  <c r="AA128"/>
  <c r="AB128"/>
  <c r="AL128"/>
  <c r="AM128" s="1"/>
  <c r="AK128"/>
  <c r="AA130"/>
  <c r="AB130"/>
  <c r="AL130"/>
  <c r="AM130" s="1"/>
  <c r="AK130"/>
  <c r="AA132"/>
  <c r="AB132"/>
  <c r="AL132"/>
  <c r="AM132" s="1"/>
  <c r="AK132"/>
  <c r="AA134"/>
  <c r="AB134"/>
  <c r="AL134"/>
  <c r="AM134" s="1"/>
  <c r="AK134"/>
  <c r="AA136"/>
  <c r="AB136"/>
  <c r="AL136"/>
  <c r="AM136" s="1"/>
  <c r="AK136"/>
  <c r="AA138"/>
  <c r="AB138"/>
  <c r="AL138"/>
  <c r="AM138" s="1"/>
  <c r="AK138"/>
  <c r="AA140"/>
  <c r="AB140"/>
  <c r="AL140"/>
  <c r="AM140" s="1"/>
  <c r="AK140"/>
  <c r="AA142"/>
  <c r="AB142"/>
  <c r="AL142"/>
  <c r="AM142" s="1"/>
  <c r="AK142"/>
  <c r="AA144"/>
  <c r="AB144"/>
  <c r="AL144"/>
  <c r="AM144" s="1"/>
  <c r="AK144"/>
  <c r="AA147"/>
  <c r="AB147"/>
  <c r="AA149"/>
  <c r="AB149"/>
  <c r="AA151"/>
  <c r="AB151"/>
  <c r="AL64"/>
  <c r="AM64" s="1"/>
  <c r="AK65"/>
  <c r="AA66"/>
  <c r="AL66"/>
  <c r="AM66" s="1"/>
  <c r="AK67"/>
  <c r="AA68"/>
  <c r="AL68"/>
  <c r="AM68" s="1"/>
  <c r="AK69"/>
  <c r="AA70"/>
  <c r="AL70"/>
  <c r="AM70" s="1"/>
  <c r="AK71"/>
  <c r="AA72"/>
  <c r="AL72"/>
  <c r="AM72" s="1"/>
  <c r="AK73"/>
  <c r="AA74"/>
  <c r="AL74"/>
  <c r="AM74" s="1"/>
  <c r="AK75"/>
  <c r="AA76"/>
  <c r="AA155"/>
  <c r="AB155"/>
  <c r="AL155"/>
  <c r="AM155" s="1"/>
  <c r="AK155"/>
  <c r="AA157"/>
  <c r="AB157"/>
  <c r="AA159"/>
  <c r="AB159"/>
  <c r="AA161"/>
  <c r="AB161"/>
  <c r="AA163"/>
  <c r="AB163"/>
  <c r="AA165"/>
  <c r="AB165"/>
  <c r="AA167"/>
  <c r="AB167"/>
  <c r="AA169"/>
  <c r="AB169"/>
  <c r="AA171"/>
  <c r="AB171"/>
  <c r="AA173"/>
  <c r="AB173"/>
  <c r="AA175"/>
  <c r="AB175"/>
  <c r="AA177"/>
  <c r="AB177"/>
  <c r="AA179"/>
  <c r="AB179"/>
  <c r="AL179"/>
  <c r="AM179" s="1"/>
  <c r="AK179"/>
  <c r="AA181"/>
  <c r="AB181"/>
  <c r="AB184"/>
  <c r="AA184"/>
  <c r="AB186"/>
  <c r="AA186"/>
  <c r="AB188"/>
  <c r="AA188"/>
  <c r="AB190"/>
  <c r="AA190"/>
  <c r="AB191"/>
  <c r="AA191"/>
  <c r="AB192"/>
  <c r="AA192"/>
  <c r="AB194"/>
  <c r="AA194"/>
  <c r="AB196"/>
  <c r="AA196"/>
  <c r="AB198"/>
  <c r="AA198"/>
  <c r="AB200"/>
  <c r="AA200"/>
  <c r="AB202"/>
  <c r="AA202"/>
  <c r="AI76"/>
  <c r="AI78"/>
  <c r="AI80"/>
  <c r="AI82"/>
  <c r="AI84"/>
  <c r="AI86"/>
  <c r="AI88"/>
  <c r="AI90"/>
  <c r="AI92"/>
  <c r="AI94"/>
  <c r="AI96"/>
  <c r="AI98"/>
  <c r="AI100"/>
  <c r="AI102"/>
  <c r="AI104"/>
  <c r="AI106"/>
  <c r="AI108"/>
  <c r="AI110"/>
  <c r="AI112"/>
  <c r="AI114"/>
  <c r="AI116"/>
  <c r="AI118"/>
  <c r="AI120"/>
  <c r="AI122"/>
  <c r="AI124"/>
  <c r="AI126"/>
  <c r="AI128"/>
  <c r="AI130"/>
  <c r="AI132"/>
  <c r="AI134"/>
  <c r="AI136"/>
  <c r="AI138"/>
  <c r="AI140"/>
  <c r="AI142"/>
  <c r="AI144"/>
  <c r="AA146"/>
  <c r="AL146"/>
  <c r="AM146" s="1"/>
  <c r="AK147"/>
  <c r="AA148"/>
  <c r="AL148"/>
  <c r="AM148" s="1"/>
  <c r="AK149"/>
  <c r="AA150"/>
  <c r="AL150"/>
  <c r="AM150" s="1"/>
  <c r="AK151"/>
  <c r="AA154"/>
  <c r="AF154"/>
  <c r="AG154" s="1"/>
  <c r="AE154"/>
  <c r="AB156"/>
  <c r="AA156"/>
  <c r="AB158"/>
  <c r="AA158"/>
  <c r="AB160"/>
  <c r="AA160"/>
  <c r="AB162"/>
  <c r="AA162"/>
  <c r="AB164"/>
  <c r="AA164"/>
  <c r="AB166"/>
  <c r="AA166"/>
  <c r="AB168"/>
  <c r="AA168"/>
  <c r="AB170"/>
  <c r="AA170"/>
  <c r="AB172"/>
  <c r="AA172"/>
  <c r="AB174"/>
  <c r="AA174"/>
  <c r="AB176"/>
  <c r="AA176"/>
  <c r="AB178"/>
  <c r="AA178"/>
  <c r="AB180"/>
  <c r="AA180"/>
  <c r="AD183"/>
  <c r="AC183"/>
  <c r="AA185"/>
  <c r="AB185"/>
  <c r="AA187"/>
  <c r="AB187"/>
  <c r="AA189"/>
  <c r="AB189"/>
  <c r="AA193"/>
  <c r="AB193"/>
  <c r="AA195"/>
  <c r="AB195"/>
  <c r="AA197"/>
  <c r="AB197"/>
  <c r="AA199"/>
  <c r="AB199"/>
  <c r="AA201"/>
  <c r="AB201"/>
  <c r="AC146"/>
  <c r="AC148"/>
  <c r="AC150"/>
  <c r="AC152"/>
  <c r="AJ152"/>
  <c r="AC154"/>
  <c r="AA210"/>
  <c r="AB210"/>
  <c r="AA212"/>
  <c r="AB212"/>
  <c r="AA214"/>
  <c r="AB214"/>
  <c r="AA216"/>
  <c r="AB216"/>
  <c r="AA218"/>
  <c r="AB218"/>
  <c r="AA220"/>
  <c r="AB220"/>
  <c r="AA222"/>
  <c r="AB222"/>
  <c r="AA224"/>
  <c r="AB224"/>
  <c r="AA226"/>
  <c r="AB226"/>
  <c r="AA228"/>
  <c r="AB228"/>
  <c r="AA230"/>
  <c r="AB230"/>
  <c r="AA232"/>
  <c r="AB232"/>
  <c r="AA234"/>
  <c r="AB234"/>
  <c r="AA236"/>
  <c r="AB236"/>
  <c r="AA238"/>
  <c r="AB238"/>
  <c r="AL238"/>
  <c r="AM238" s="1"/>
  <c r="AK238"/>
  <c r="AA240"/>
  <c r="AB240"/>
  <c r="AL240"/>
  <c r="AM240" s="1"/>
  <c r="AK240"/>
  <c r="AA242"/>
  <c r="AB242"/>
  <c r="AL242"/>
  <c r="AM242" s="1"/>
  <c r="AK242"/>
  <c r="AA244"/>
  <c r="AB244"/>
  <c r="AL244"/>
  <c r="AM244" s="1"/>
  <c r="AK244"/>
  <c r="AL154"/>
  <c r="AM154" s="1"/>
  <c r="AJ156"/>
  <c r="AL158"/>
  <c r="AM158" s="1"/>
  <c r="AL160"/>
  <c r="AM160" s="1"/>
  <c r="AL162"/>
  <c r="AM162" s="1"/>
  <c r="AL164"/>
  <c r="AM164" s="1"/>
  <c r="AL166"/>
  <c r="AM166" s="1"/>
  <c r="AL168"/>
  <c r="AM168" s="1"/>
  <c r="AL170"/>
  <c r="AM170" s="1"/>
  <c r="AL172"/>
  <c r="AM172" s="1"/>
  <c r="AL174"/>
  <c r="AM174" s="1"/>
  <c r="AL176"/>
  <c r="AM176" s="1"/>
  <c r="AJ178"/>
  <c r="AL180"/>
  <c r="AM180" s="1"/>
  <c r="AB182"/>
  <c r="AL184"/>
  <c r="AM184" s="1"/>
  <c r="AL186"/>
  <c r="AM186" s="1"/>
  <c r="AL188"/>
  <c r="AM188" s="1"/>
  <c r="AL192"/>
  <c r="AM192" s="1"/>
  <c r="AL194"/>
  <c r="AM194" s="1"/>
  <c r="AL196"/>
  <c r="AM196" s="1"/>
  <c r="AL198"/>
  <c r="AM198" s="1"/>
  <c r="AL200"/>
  <c r="AM200" s="1"/>
  <c r="AB209"/>
  <c r="AA209"/>
  <c r="AB211"/>
  <c r="AA211"/>
  <c r="AB213"/>
  <c r="AA213"/>
  <c r="AB215"/>
  <c r="AA215"/>
  <c r="AB217"/>
  <c r="AA217"/>
  <c r="AB219"/>
  <c r="AA219"/>
  <c r="AB221"/>
  <c r="AA221"/>
  <c r="AB223"/>
  <c r="AA223"/>
  <c r="AB225"/>
  <c r="AA225"/>
  <c r="AB227"/>
  <c r="AA227"/>
  <c r="AB229"/>
  <c r="AA229"/>
  <c r="AB231"/>
  <c r="AA231"/>
  <c r="AB233"/>
  <c r="AA233"/>
  <c r="AB235"/>
  <c r="AA235"/>
  <c r="AB237"/>
  <c r="AA237"/>
  <c r="AB239"/>
  <c r="AA239"/>
  <c r="AB241"/>
  <c r="AA241"/>
  <c r="AB243"/>
  <c r="AA243"/>
  <c r="AB203"/>
  <c r="AB204"/>
  <c r="AC205"/>
  <c r="AB206"/>
  <c r="AC207"/>
  <c r="AB208"/>
  <c r="AL209"/>
  <c r="AM209" s="1"/>
  <c r="AL211"/>
  <c r="AM211" s="1"/>
  <c r="AL213"/>
  <c r="AM213" s="1"/>
  <c r="AL215"/>
  <c r="AM215" s="1"/>
  <c r="AL217"/>
  <c r="AM217" s="1"/>
  <c r="AL219"/>
  <c r="AM219" s="1"/>
  <c r="AL221"/>
  <c r="AM221" s="1"/>
  <c r="AL223"/>
  <c r="AM223" s="1"/>
  <c r="AL225"/>
  <c r="AM225" s="1"/>
  <c r="AL227"/>
  <c r="AM227" s="1"/>
  <c r="AL229"/>
  <c r="AM229" s="1"/>
  <c r="AL231"/>
  <c r="AM231" s="1"/>
  <c r="AL233"/>
  <c r="AM233" s="1"/>
  <c r="AL235"/>
  <c r="AM235" s="1"/>
  <c r="AL237"/>
  <c r="AM237" s="1"/>
  <c r="AJ239"/>
  <c r="AJ241"/>
  <c r="AJ243"/>
  <c r="AI244"/>
  <c r="E138" i="33" l="1"/>
  <c r="G43" i="77"/>
  <c r="Q74" i="84"/>
  <c r="Q61"/>
  <c r="Q52"/>
  <c r="F1"/>
  <c r="Q57"/>
  <c r="Q66"/>
  <c r="Q73"/>
  <c r="Q60"/>
  <c r="AK241" i="83"/>
  <c r="AL241"/>
  <c r="AM241" s="1"/>
  <c r="AC203"/>
  <c r="AD203"/>
  <c r="AD241"/>
  <c r="AE241" s="1"/>
  <c r="AC241"/>
  <c r="AD239"/>
  <c r="AE239" s="1"/>
  <c r="AC239"/>
  <c r="AD235"/>
  <c r="AC235"/>
  <c r="AD231"/>
  <c r="AC231"/>
  <c r="AD229"/>
  <c r="AC229"/>
  <c r="AD225"/>
  <c r="AC225"/>
  <c r="AD221"/>
  <c r="AC221"/>
  <c r="AD217"/>
  <c r="AC217"/>
  <c r="AD215"/>
  <c r="AC215"/>
  <c r="AD211"/>
  <c r="AC211"/>
  <c r="AD209"/>
  <c r="AC209"/>
  <c r="AC244"/>
  <c r="AD244"/>
  <c r="AE244" s="1"/>
  <c r="AC242"/>
  <c r="AD242"/>
  <c r="AE242" s="1"/>
  <c r="AC236"/>
  <c r="AD236"/>
  <c r="AC232"/>
  <c r="AD232"/>
  <c r="AC228"/>
  <c r="AD228"/>
  <c r="AC224"/>
  <c r="AD224"/>
  <c r="AC222"/>
  <c r="AD222"/>
  <c r="AC218"/>
  <c r="AD218"/>
  <c r="AC214"/>
  <c r="AD214"/>
  <c r="AC212"/>
  <c r="AD212"/>
  <c r="AC210"/>
  <c r="AD210"/>
  <c r="AC201"/>
  <c r="AD201"/>
  <c r="AC197"/>
  <c r="AD197"/>
  <c r="AC193"/>
  <c r="AD193"/>
  <c r="AK243"/>
  <c r="AL243"/>
  <c r="AM243" s="1"/>
  <c r="AK239"/>
  <c r="AL239"/>
  <c r="AM239" s="1"/>
  <c r="AC208"/>
  <c r="AD208"/>
  <c r="AC206"/>
  <c r="AD206"/>
  <c r="AC204"/>
  <c r="AD204"/>
  <c r="AC182"/>
  <c r="AD182"/>
  <c r="AK178"/>
  <c r="AL178"/>
  <c r="AM178" s="1"/>
  <c r="AK152"/>
  <c r="AL152"/>
  <c r="AM152" s="1"/>
  <c r="AF183"/>
  <c r="AE183"/>
  <c r="AD180"/>
  <c r="AC180"/>
  <c r="AD178"/>
  <c r="AE178" s="1"/>
  <c r="AC178"/>
  <c r="AD176"/>
  <c r="AC176"/>
  <c r="AD174"/>
  <c r="AC174"/>
  <c r="AD172"/>
  <c r="AC172"/>
  <c r="AD170"/>
  <c r="AC170"/>
  <c r="AD168"/>
  <c r="AC168"/>
  <c r="AD166"/>
  <c r="AC166"/>
  <c r="AD164"/>
  <c r="AC164"/>
  <c r="AD162"/>
  <c r="AC162"/>
  <c r="AD160"/>
  <c r="AC160"/>
  <c r="AD158"/>
  <c r="AC158"/>
  <c r="AD156"/>
  <c r="AE156" s="1"/>
  <c r="AC156"/>
  <c r="AC181"/>
  <c r="AD181"/>
  <c r="AC179"/>
  <c r="AD179"/>
  <c r="AE179" s="1"/>
  <c r="AC177"/>
  <c r="AD177"/>
  <c r="AC175"/>
  <c r="AD175"/>
  <c r="AC173"/>
  <c r="AD173"/>
  <c r="AC171"/>
  <c r="AD171"/>
  <c r="AC169"/>
  <c r="AD169"/>
  <c r="AC167"/>
  <c r="AD167"/>
  <c r="AC165"/>
  <c r="AD165"/>
  <c r="AC163"/>
  <c r="AD163"/>
  <c r="AC161"/>
  <c r="AD161"/>
  <c r="AC159"/>
  <c r="AD159"/>
  <c r="AC157"/>
  <c r="AD157"/>
  <c r="AC155"/>
  <c r="AD155"/>
  <c r="AE155" s="1"/>
  <c r="AC151"/>
  <c r="AD151"/>
  <c r="AE151" s="1"/>
  <c r="AC149"/>
  <c r="AD149"/>
  <c r="AE149" s="1"/>
  <c r="AC147"/>
  <c r="AD147"/>
  <c r="AE147" s="1"/>
  <c r="AC144"/>
  <c r="AD144"/>
  <c r="AE144" s="1"/>
  <c r="AC142"/>
  <c r="AD142"/>
  <c r="AE142" s="1"/>
  <c r="AC140"/>
  <c r="AD140"/>
  <c r="AE140" s="1"/>
  <c r="AC138"/>
  <c r="AD138"/>
  <c r="AE138" s="1"/>
  <c r="AC136"/>
  <c r="AD136"/>
  <c r="AE136" s="1"/>
  <c r="AC134"/>
  <c r="AD134"/>
  <c r="AE134" s="1"/>
  <c r="AC132"/>
  <c r="AD132"/>
  <c r="AE132" s="1"/>
  <c r="AC130"/>
  <c r="AD130"/>
  <c r="AE130" s="1"/>
  <c r="AC128"/>
  <c r="AD128"/>
  <c r="AE128" s="1"/>
  <c r="AC126"/>
  <c r="AD126"/>
  <c r="AE126" s="1"/>
  <c r="AC124"/>
  <c r="AD124"/>
  <c r="AE124" s="1"/>
  <c r="AC122"/>
  <c r="AD122"/>
  <c r="AE122" s="1"/>
  <c r="AC120"/>
  <c r="AD120"/>
  <c r="AE120" s="1"/>
  <c r="AC118"/>
  <c r="AD118"/>
  <c r="AE118" s="1"/>
  <c r="AC116"/>
  <c r="AD116"/>
  <c r="AE116" s="1"/>
  <c r="AC114"/>
  <c r="AD114"/>
  <c r="AE114" s="1"/>
  <c r="AC112"/>
  <c r="AD112"/>
  <c r="AE112" s="1"/>
  <c r="AC110"/>
  <c r="AD110"/>
  <c r="AE110" s="1"/>
  <c r="AC108"/>
  <c r="AD108"/>
  <c r="AE108" s="1"/>
  <c r="AC106"/>
  <c r="AD106"/>
  <c r="AE106" s="1"/>
  <c r="AC104"/>
  <c r="AD104"/>
  <c r="AE104" s="1"/>
  <c r="AC102"/>
  <c r="AD102"/>
  <c r="AE102" s="1"/>
  <c r="AC100"/>
  <c r="AD100"/>
  <c r="AE100" s="1"/>
  <c r="AC98"/>
  <c r="AD98"/>
  <c r="AE98" s="1"/>
  <c r="AC96"/>
  <c r="AD96"/>
  <c r="AE96" s="1"/>
  <c r="AC94"/>
  <c r="AD94"/>
  <c r="AE94" s="1"/>
  <c r="AC92"/>
  <c r="AD92"/>
  <c r="AE92" s="1"/>
  <c r="AC90"/>
  <c r="AD90"/>
  <c r="AE90" s="1"/>
  <c r="AC88"/>
  <c r="AD88"/>
  <c r="AE88" s="1"/>
  <c r="AC86"/>
  <c r="AD86"/>
  <c r="AE86" s="1"/>
  <c r="AC84"/>
  <c r="AD84"/>
  <c r="AE84" s="1"/>
  <c r="AC82"/>
  <c r="AD82"/>
  <c r="AE82" s="1"/>
  <c r="AC80"/>
  <c r="AD80"/>
  <c r="AE80" s="1"/>
  <c r="AC78"/>
  <c r="AD78"/>
  <c r="AE78" s="1"/>
  <c r="AK63"/>
  <c r="AL63"/>
  <c r="AM63" s="1"/>
  <c r="AI59"/>
  <c r="AJ59"/>
  <c r="AI55"/>
  <c r="AJ55"/>
  <c r="AI51"/>
  <c r="AJ51"/>
  <c r="AI47"/>
  <c r="AJ47"/>
  <c r="AI43"/>
  <c r="AJ43"/>
  <c r="AI39"/>
  <c r="AJ39"/>
  <c r="AI31"/>
  <c r="AJ31"/>
  <c r="AI23"/>
  <c r="AJ23"/>
  <c r="AI15"/>
  <c r="AJ15"/>
  <c r="AI12"/>
  <c r="AJ12"/>
  <c r="AE10"/>
  <c r="AF10"/>
  <c r="AG10" s="1"/>
  <c r="AK7"/>
  <c r="AL7"/>
  <c r="AM7" s="1"/>
  <c r="AD145"/>
  <c r="AE145" s="1"/>
  <c r="AC145"/>
  <c r="AD143"/>
  <c r="AE143" s="1"/>
  <c r="AC143"/>
  <c r="AD141"/>
  <c r="AE141" s="1"/>
  <c r="AC141"/>
  <c r="AD139"/>
  <c r="AE139" s="1"/>
  <c r="AC139"/>
  <c r="AD137"/>
  <c r="AE137" s="1"/>
  <c r="AC137"/>
  <c r="AD135"/>
  <c r="AE135" s="1"/>
  <c r="AC135"/>
  <c r="AD133"/>
  <c r="AE133" s="1"/>
  <c r="AC133"/>
  <c r="AD131"/>
  <c r="AE131" s="1"/>
  <c r="AC131"/>
  <c r="AD129"/>
  <c r="AE129" s="1"/>
  <c r="AC129"/>
  <c r="AD127"/>
  <c r="AE127" s="1"/>
  <c r="AC127"/>
  <c r="AD125"/>
  <c r="AE125" s="1"/>
  <c r="AC125"/>
  <c r="AD123"/>
  <c r="AE123" s="1"/>
  <c r="AC123"/>
  <c r="AD121"/>
  <c r="AE121" s="1"/>
  <c r="AC121"/>
  <c r="AD119"/>
  <c r="AE119" s="1"/>
  <c r="AC119"/>
  <c r="AD117"/>
  <c r="AE117" s="1"/>
  <c r="AC117"/>
  <c r="AD115"/>
  <c r="AE115" s="1"/>
  <c r="AC115"/>
  <c r="AD113"/>
  <c r="AE113" s="1"/>
  <c r="AC113"/>
  <c r="AD111"/>
  <c r="AE111" s="1"/>
  <c r="AC111"/>
  <c r="AD109"/>
  <c r="AE109" s="1"/>
  <c r="AC109"/>
  <c r="AD107"/>
  <c r="AE107" s="1"/>
  <c r="AC107"/>
  <c r="AD105"/>
  <c r="AE105" s="1"/>
  <c r="AC105"/>
  <c r="AD103"/>
  <c r="AE103" s="1"/>
  <c r="AC103"/>
  <c r="AD101"/>
  <c r="AE101" s="1"/>
  <c r="AC101"/>
  <c r="AD99"/>
  <c r="AE99" s="1"/>
  <c r="AC99"/>
  <c r="AD97"/>
  <c r="AE97" s="1"/>
  <c r="AC97"/>
  <c r="AD95"/>
  <c r="AE95" s="1"/>
  <c r="AC95"/>
  <c r="AD93"/>
  <c r="AE93" s="1"/>
  <c r="AC93"/>
  <c r="AD91"/>
  <c r="AE91" s="1"/>
  <c r="AC91"/>
  <c r="AD89"/>
  <c r="AE89" s="1"/>
  <c r="AC89"/>
  <c r="AD87"/>
  <c r="AE87" s="1"/>
  <c r="AC87"/>
  <c r="AD85"/>
  <c r="AE85" s="1"/>
  <c r="AC85"/>
  <c r="AD83"/>
  <c r="AE83" s="1"/>
  <c r="AC83"/>
  <c r="AD81"/>
  <c r="AE81" s="1"/>
  <c r="AC81"/>
  <c r="AD79"/>
  <c r="AE79" s="1"/>
  <c r="AC79"/>
  <c r="AD77"/>
  <c r="AE77" s="1"/>
  <c r="AC77"/>
  <c r="AL60"/>
  <c r="AM60" s="1"/>
  <c r="AK60"/>
  <c r="AL58"/>
  <c r="AM58" s="1"/>
  <c r="AK58"/>
  <c r="AL56"/>
  <c r="AM56" s="1"/>
  <c r="AK56"/>
  <c r="AL54"/>
  <c r="AM54" s="1"/>
  <c r="AK54"/>
  <c r="AL52"/>
  <c r="AM52" s="1"/>
  <c r="AK52"/>
  <c r="AL50"/>
  <c r="AM50" s="1"/>
  <c r="AK50"/>
  <c r="AL48"/>
  <c r="AM48" s="1"/>
  <c r="AK48"/>
  <c r="AL46"/>
  <c r="AM46" s="1"/>
  <c r="AK46"/>
  <c r="AL44"/>
  <c r="AM44" s="1"/>
  <c r="AK44"/>
  <c r="AL42"/>
  <c r="AM42" s="1"/>
  <c r="AK42"/>
  <c r="AL40"/>
  <c r="AM40" s="1"/>
  <c r="AK40"/>
  <c r="AL38"/>
  <c r="AM38" s="1"/>
  <c r="AK38"/>
  <c r="AL36"/>
  <c r="AM36" s="1"/>
  <c r="AK36"/>
  <c r="AL24"/>
  <c r="AM24" s="1"/>
  <c r="AK24"/>
  <c r="AL22"/>
  <c r="AM22" s="1"/>
  <c r="AK22"/>
  <c r="AL18"/>
  <c r="AM18" s="1"/>
  <c r="AK18"/>
  <c r="AL16"/>
  <c r="AM16" s="1"/>
  <c r="AK16"/>
  <c r="AL14"/>
  <c r="AM14" s="1"/>
  <c r="AK14"/>
  <c r="AD7"/>
  <c r="AE7" s="1"/>
  <c r="AC7"/>
  <c r="AD6"/>
  <c r="AC6"/>
  <c r="AD63"/>
  <c r="AE63" s="1"/>
  <c r="AC63"/>
  <c r="AD61"/>
  <c r="AE61" s="1"/>
  <c r="AC61"/>
  <c r="AD35"/>
  <c r="AC35"/>
  <c r="AD33"/>
  <c r="AC33"/>
  <c r="AD29"/>
  <c r="AC29"/>
  <c r="AD27"/>
  <c r="AC27"/>
  <c r="AD25"/>
  <c r="AC25"/>
  <c r="AD19"/>
  <c r="AC19"/>
  <c r="AD243"/>
  <c r="AE243" s="1"/>
  <c r="AC243"/>
  <c r="AD237"/>
  <c r="AC237"/>
  <c r="AD233"/>
  <c r="AC233"/>
  <c r="AD227"/>
  <c r="AC227"/>
  <c r="AD223"/>
  <c r="AC223"/>
  <c r="AD219"/>
  <c r="AC219"/>
  <c r="AD213"/>
  <c r="AC213"/>
  <c r="AK156"/>
  <c r="AL156"/>
  <c r="AM156" s="1"/>
  <c r="AC240"/>
  <c r="AD240"/>
  <c r="AE240" s="1"/>
  <c r="AC238"/>
  <c r="AD238"/>
  <c r="AE238" s="1"/>
  <c r="AC234"/>
  <c r="AD234"/>
  <c r="AC230"/>
  <c r="AD230"/>
  <c r="AC226"/>
  <c r="AD226"/>
  <c r="AC220"/>
  <c r="AD220"/>
  <c r="AC216"/>
  <c r="AD216"/>
  <c r="AC199"/>
  <c r="AD199"/>
  <c r="AC195"/>
  <c r="AD195"/>
  <c r="AC189"/>
  <c r="AD189"/>
  <c r="AC187"/>
  <c r="AD187"/>
  <c r="AC185"/>
  <c r="AD185"/>
  <c r="AD202"/>
  <c r="AC202"/>
  <c r="AD200"/>
  <c r="AC200"/>
  <c r="AD198"/>
  <c r="AC198"/>
  <c r="AD196"/>
  <c r="AC196"/>
  <c r="AD194"/>
  <c r="AC194"/>
  <c r="AD192"/>
  <c r="AC192"/>
  <c r="AD191"/>
  <c r="AC191"/>
  <c r="AD190"/>
  <c r="AC190"/>
  <c r="AD188"/>
  <c r="AC188"/>
  <c r="AD186"/>
  <c r="AC186"/>
  <c r="AD184"/>
  <c r="AC184"/>
  <c r="AK61"/>
  <c r="AL61"/>
  <c r="AM61" s="1"/>
  <c r="AI57"/>
  <c r="AJ57"/>
  <c r="AI53"/>
  <c r="AJ53"/>
  <c r="AI49"/>
  <c r="AJ49"/>
  <c r="AI45"/>
  <c r="AJ45"/>
  <c r="AI41"/>
  <c r="AJ41"/>
  <c r="AI37"/>
  <c r="AJ37"/>
  <c r="AI21"/>
  <c r="AJ21"/>
  <c r="AI17"/>
  <c r="AJ17"/>
  <c r="AK13"/>
  <c r="AL13"/>
  <c r="AM13" s="1"/>
  <c r="AE11"/>
  <c r="AF11"/>
  <c r="AG11" s="1"/>
  <c r="AE9"/>
  <c r="AF9"/>
  <c r="AG9" s="1"/>
  <c r="AC153"/>
  <c r="AD153"/>
  <c r="AC75"/>
  <c r="AD75"/>
  <c r="AE75" s="1"/>
  <c r="AC73"/>
  <c r="AD73"/>
  <c r="AE73" s="1"/>
  <c r="AC71"/>
  <c r="AD71"/>
  <c r="AE71" s="1"/>
  <c r="AC69"/>
  <c r="AD69"/>
  <c r="AE69" s="1"/>
  <c r="AC67"/>
  <c r="AD67"/>
  <c r="AE67" s="1"/>
  <c r="AC65"/>
  <c r="AD65"/>
  <c r="AE65" s="1"/>
  <c r="AC64"/>
  <c r="AD64"/>
  <c r="AE64" s="1"/>
  <c r="AC62"/>
  <c r="AD62"/>
  <c r="AE62" s="1"/>
  <c r="AC34"/>
  <c r="AD34"/>
  <c r="AC32"/>
  <c r="AD32"/>
  <c r="AC30"/>
  <c r="AD30"/>
  <c r="AC28"/>
  <c r="AD28"/>
  <c r="AC26"/>
  <c r="AD26"/>
  <c r="AC20"/>
  <c r="AD20"/>
  <c r="AC8"/>
  <c r="AD8"/>
  <c r="AA4"/>
  <c r="E141" i="33" l="1"/>
  <c r="T3" i="83"/>
  <c r="AF184"/>
  <c r="AG184" s="1"/>
  <c r="AE184"/>
  <c r="AF186"/>
  <c r="AG186" s="1"/>
  <c r="AE186"/>
  <c r="AF188"/>
  <c r="AG188" s="1"/>
  <c r="AE188"/>
  <c r="AF190"/>
  <c r="AE190"/>
  <c r="AF191"/>
  <c r="AE191"/>
  <c r="AF192"/>
  <c r="AG192" s="1"/>
  <c r="AE192"/>
  <c r="AF194"/>
  <c r="AG194" s="1"/>
  <c r="AE194"/>
  <c r="AF196"/>
  <c r="AG196" s="1"/>
  <c r="AE196"/>
  <c r="AF198"/>
  <c r="AG198" s="1"/>
  <c r="AE198"/>
  <c r="AF200"/>
  <c r="AG200" s="1"/>
  <c r="AE200"/>
  <c r="AF202"/>
  <c r="AE202"/>
  <c r="AF213"/>
  <c r="AG213" s="1"/>
  <c r="AE213"/>
  <c r="AF219"/>
  <c r="AG219" s="1"/>
  <c r="AE219"/>
  <c r="AF223"/>
  <c r="AG223" s="1"/>
  <c r="AE223"/>
  <c r="AF227"/>
  <c r="AG227" s="1"/>
  <c r="AE227"/>
  <c r="AF233"/>
  <c r="AG233" s="1"/>
  <c r="AE233"/>
  <c r="AF237"/>
  <c r="AG237" s="1"/>
  <c r="AE237"/>
  <c r="AF19"/>
  <c r="AG19" s="1"/>
  <c r="AE19"/>
  <c r="AF25"/>
  <c r="AG25" s="1"/>
  <c r="AE25"/>
  <c r="AF27"/>
  <c r="AG27" s="1"/>
  <c r="AE27"/>
  <c r="AF29"/>
  <c r="AG29" s="1"/>
  <c r="AE29"/>
  <c r="AF33"/>
  <c r="AG33" s="1"/>
  <c r="AE33"/>
  <c r="AF35"/>
  <c r="AG35" s="1"/>
  <c r="AE35"/>
  <c r="AF6"/>
  <c r="AE6"/>
  <c r="AF158"/>
  <c r="AG158" s="1"/>
  <c r="AE158"/>
  <c r="AF160"/>
  <c r="AG160" s="1"/>
  <c r="AE160"/>
  <c r="AF162"/>
  <c r="AG162" s="1"/>
  <c r="AE162"/>
  <c r="AF164"/>
  <c r="AG164" s="1"/>
  <c r="AE164"/>
  <c r="AF166"/>
  <c r="AG166" s="1"/>
  <c r="AE166"/>
  <c r="AF168"/>
  <c r="AG168" s="1"/>
  <c r="AE168"/>
  <c r="AF170"/>
  <c r="AG170" s="1"/>
  <c r="AE170"/>
  <c r="AF172"/>
  <c r="AG172" s="1"/>
  <c r="AE172"/>
  <c r="AF174"/>
  <c r="AG174" s="1"/>
  <c r="AE174"/>
  <c r="AF176"/>
  <c r="AG176" s="1"/>
  <c r="AE176"/>
  <c r="AF180"/>
  <c r="AG180" s="1"/>
  <c r="AE180"/>
  <c r="AH183"/>
  <c r="AG183"/>
  <c r="AF209"/>
  <c r="AG209" s="1"/>
  <c r="AE209"/>
  <c r="AF211"/>
  <c r="AG211" s="1"/>
  <c r="AE211"/>
  <c r="AF215"/>
  <c r="AG215" s="1"/>
  <c r="AE215"/>
  <c r="AF217"/>
  <c r="AG217" s="1"/>
  <c r="AE217"/>
  <c r="AF221"/>
  <c r="AG221" s="1"/>
  <c r="AE221"/>
  <c r="AF225"/>
  <c r="AG225" s="1"/>
  <c r="AE225"/>
  <c r="AF229"/>
  <c r="AG229" s="1"/>
  <c r="AE229"/>
  <c r="AF231"/>
  <c r="AG231" s="1"/>
  <c r="AE231"/>
  <c r="AF235"/>
  <c r="AG235" s="1"/>
  <c r="AE235"/>
  <c r="AE8"/>
  <c r="AF8"/>
  <c r="AG8" s="1"/>
  <c r="AE20"/>
  <c r="AF20"/>
  <c r="AG20" s="1"/>
  <c r="AE26"/>
  <c r="AF26"/>
  <c r="AG26" s="1"/>
  <c r="AE28"/>
  <c r="AF28"/>
  <c r="AG28" s="1"/>
  <c r="AE30"/>
  <c r="AF30"/>
  <c r="AG30" s="1"/>
  <c r="AE32"/>
  <c r="AF32"/>
  <c r="AG32" s="1"/>
  <c r="AE34"/>
  <c r="AF34"/>
  <c r="AG34" s="1"/>
  <c r="AE153"/>
  <c r="AF153"/>
  <c r="AG153" s="1"/>
  <c r="AK17"/>
  <c r="AL17"/>
  <c r="AM17" s="1"/>
  <c r="AK21"/>
  <c r="AL21"/>
  <c r="AM21" s="1"/>
  <c r="AK37"/>
  <c r="AL37"/>
  <c r="AM37" s="1"/>
  <c r="AK41"/>
  <c r="AL41"/>
  <c r="AM41" s="1"/>
  <c r="AK45"/>
  <c r="AL45"/>
  <c r="AM45" s="1"/>
  <c r="AK49"/>
  <c r="AL49"/>
  <c r="AM49" s="1"/>
  <c r="AK53"/>
  <c r="AL53"/>
  <c r="AM53" s="1"/>
  <c r="AK57"/>
  <c r="AL57"/>
  <c r="AM57" s="1"/>
  <c r="AE185"/>
  <c r="AF185"/>
  <c r="AG185" s="1"/>
  <c r="AE187"/>
  <c r="AF187"/>
  <c r="AG187" s="1"/>
  <c r="AE189"/>
  <c r="AF189"/>
  <c r="AG189" s="1"/>
  <c r="AE195"/>
  <c r="AF195"/>
  <c r="AG195" s="1"/>
  <c r="AE199"/>
  <c r="AF199"/>
  <c r="AG199" s="1"/>
  <c r="AE216"/>
  <c r="AF216"/>
  <c r="AG216" s="1"/>
  <c r="AE220"/>
  <c r="AF220"/>
  <c r="AG220" s="1"/>
  <c r="AE226"/>
  <c r="AF226"/>
  <c r="AG226" s="1"/>
  <c r="AE230"/>
  <c r="AF230"/>
  <c r="AG230" s="1"/>
  <c r="AE234"/>
  <c r="AF234"/>
  <c r="AG234" s="1"/>
  <c r="AK12"/>
  <c r="AL12"/>
  <c r="AM12" s="1"/>
  <c r="AK15"/>
  <c r="AL15"/>
  <c r="AM15" s="1"/>
  <c r="AK23"/>
  <c r="AL23"/>
  <c r="AM23" s="1"/>
  <c r="AK31"/>
  <c r="AL31"/>
  <c r="AM31" s="1"/>
  <c r="AK39"/>
  <c r="AL39"/>
  <c r="AM39" s="1"/>
  <c r="AK43"/>
  <c r="AL43"/>
  <c r="AM43" s="1"/>
  <c r="AK47"/>
  <c r="AL47"/>
  <c r="AM47" s="1"/>
  <c r="AK51"/>
  <c r="AL51"/>
  <c r="AM51" s="1"/>
  <c r="AK55"/>
  <c r="AL55"/>
  <c r="AM55" s="1"/>
  <c r="AK59"/>
  <c r="AL59"/>
  <c r="AM59" s="1"/>
  <c r="AE157"/>
  <c r="AF157"/>
  <c r="AG157" s="1"/>
  <c r="AE159"/>
  <c r="AF159"/>
  <c r="AG159" s="1"/>
  <c r="AE161"/>
  <c r="AF161"/>
  <c r="AG161" s="1"/>
  <c r="AE163"/>
  <c r="AF163"/>
  <c r="AG163" s="1"/>
  <c r="AE165"/>
  <c r="AF165"/>
  <c r="AG165" s="1"/>
  <c r="AE167"/>
  <c r="AF167"/>
  <c r="AG167" s="1"/>
  <c r="AE169"/>
  <c r="AF169"/>
  <c r="AG169" s="1"/>
  <c r="AE171"/>
  <c r="AF171"/>
  <c r="AG171" s="1"/>
  <c r="AE173"/>
  <c r="AF173"/>
  <c r="AG173" s="1"/>
  <c r="AE175"/>
  <c r="AF175"/>
  <c r="AG175" s="1"/>
  <c r="AE177"/>
  <c r="AF177"/>
  <c r="AG177" s="1"/>
  <c r="AE181"/>
  <c r="AF181"/>
  <c r="AG181" s="1"/>
  <c r="AE182"/>
  <c r="AF182"/>
  <c r="AE204"/>
  <c r="AF204"/>
  <c r="AG204" s="1"/>
  <c r="AE206"/>
  <c r="AF206"/>
  <c r="AG206" s="1"/>
  <c r="AE208"/>
  <c r="AF208"/>
  <c r="AG208" s="1"/>
  <c r="AE193"/>
  <c r="AF193"/>
  <c r="AG193" s="1"/>
  <c r="AE197"/>
  <c r="AF197"/>
  <c r="AG197" s="1"/>
  <c r="AE201"/>
  <c r="AF201"/>
  <c r="AG201" s="1"/>
  <c r="AE210"/>
  <c r="AF210"/>
  <c r="AG210" s="1"/>
  <c r="AE212"/>
  <c r="AF212"/>
  <c r="AG212" s="1"/>
  <c r="AE214"/>
  <c r="AF214"/>
  <c r="AG214" s="1"/>
  <c r="AE218"/>
  <c r="AF218"/>
  <c r="AG218" s="1"/>
  <c r="AE222"/>
  <c r="AF222"/>
  <c r="AG222" s="1"/>
  <c r="AE224"/>
  <c r="AF224"/>
  <c r="AG224" s="1"/>
  <c r="AE228"/>
  <c r="AF228"/>
  <c r="AG228" s="1"/>
  <c r="AE232"/>
  <c r="AF232"/>
  <c r="AG232" s="1"/>
  <c r="AE236"/>
  <c r="AF236"/>
  <c r="AG236" s="1"/>
  <c r="AE203"/>
  <c r="AF203"/>
  <c r="AC4"/>
  <c r="F139" i="33" l="1"/>
  <c r="F137"/>
  <c r="F140"/>
  <c r="F138"/>
  <c r="AJ183" i="83"/>
  <c r="AI183"/>
  <c r="AH6"/>
  <c r="AG6"/>
  <c r="AH202"/>
  <c r="AG202"/>
  <c r="AH191"/>
  <c r="AG191"/>
  <c r="AH190"/>
  <c r="AG190"/>
  <c r="AG203"/>
  <c r="AH203"/>
  <c r="AG182"/>
  <c r="AH182"/>
  <c r="AE4"/>
  <c r="N7" i="1"/>
  <c r="N8"/>
  <c r="N6"/>
  <c r="AI182" i="83" l="1"/>
  <c r="AJ182"/>
  <c r="AI203"/>
  <c r="AJ203"/>
  <c r="AG4"/>
  <c r="AJ190"/>
  <c r="AI190"/>
  <c r="AJ191"/>
  <c r="AI191"/>
  <c r="AJ202"/>
  <c r="AI202"/>
  <c r="AJ6"/>
  <c r="AI6"/>
  <c r="AI4" s="1"/>
  <c r="AL183"/>
  <c r="AM183" s="1"/>
  <c r="AK183"/>
  <c r="AL6" l="1"/>
  <c r="AM6" s="1"/>
  <c r="AK6"/>
  <c r="AK202"/>
  <c r="AL202"/>
  <c r="AM202" s="1"/>
  <c r="AL191"/>
  <c r="AM191" s="1"/>
  <c r="AK191"/>
  <c r="AL190"/>
  <c r="AM190" s="1"/>
  <c r="AK190"/>
  <c r="AK203"/>
  <c r="AL203"/>
  <c r="AM203" s="1"/>
  <c r="AK182"/>
  <c r="AL182"/>
  <c r="AM182" s="1"/>
  <c r="AM4" l="1"/>
  <c r="AK4"/>
  <c r="AA3" l="1"/>
  <c r="AO3" s="1"/>
  <c r="F19" i="6" l="1"/>
  <c r="N5" i="77"/>
  <c r="G13"/>
  <c r="G12"/>
  <c r="G9"/>
  <c r="G8"/>
  <c r="G7"/>
  <c r="G11" s="1"/>
  <c r="G4"/>
  <c r="G3"/>
  <c r="G6" s="1"/>
  <c r="Q72" i="79"/>
  <c r="Q59"/>
  <c r="Q58"/>
  <c r="Q51"/>
  <c r="J50"/>
  <c r="J51" s="1"/>
  <c r="G15" i="77" l="1"/>
  <c r="G16"/>
  <c r="A3" i="3" s="1"/>
  <c r="M47" i="79"/>
  <c r="D46" l="1"/>
  <c r="F33"/>
  <c r="F61" s="1"/>
  <c r="F23"/>
  <c r="D24" s="1"/>
  <c r="F21"/>
  <c r="F20"/>
  <c r="M19"/>
  <c r="F18"/>
  <c r="D22" l="1"/>
  <c r="D23"/>
  <c r="F17"/>
  <c r="F15"/>
  <c r="Q72" i="78"/>
  <c r="Q59"/>
  <c r="Q58"/>
  <c r="Q51"/>
  <c r="J50"/>
  <c r="J51" s="1"/>
  <c r="M47" l="1"/>
  <c r="D46" l="1"/>
  <c r="F33"/>
  <c r="F61" s="1"/>
  <c r="F23"/>
  <c r="D24" s="1"/>
  <c r="D23" l="1"/>
  <c r="D22"/>
  <c r="F21"/>
  <c r="F20"/>
  <c r="M19"/>
  <c r="F18"/>
  <c r="F17" l="1"/>
  <c r="F15"/>
  <c r="F15" i="77"/>
  <c r="E15"/>
  <c r="I13"/>
  <c r="I12"/>
  <c r="F11"/>
  <c r="E11"/>
  <c r="D11"/>
  <c r="I9"/>
  <c r="I8"/>
  <c r="I7"/>
  <c r="F6"/>
  <c r="F16" s="1"/>
  <c r="E6"/>
  <c r="E16" s="1"/>
  <c r="D6"/>
  <c r="M5"/>
  <c r="L5"/>
  <c r="K14" i="3" s="1"/>
  <c r="F20" i="6" s="1"/>
  <c r="L27" i="9" s="1"/>
  <c r="I4" i="77"/>
  <c r="I3"/>
  <c r="M15" i="3" l="1"/>
  <c r="G21" i="6" s="1"/>
  <c r="L28" i="9" s="1"/>
  <c r="A21" i="62"/>
  <c r="A20"/>
  <c r="A22" i="51"/>
  <c r="A21"/>
  <c r="A20"/>
  <c r="A18" i="62" l="1"/>
  <c r="A15"/>
  <c r="A14"/>
  <c r="A13"/>
  <c r="A2" i="53"/>
  <c r="A19" i="62" l="1"/>
  <c r="A12"/>
  <c r="A126" i="9"/>
  <c r="A124"/>
  <c r="A122"/>
  <c r="A8" i="52" s="1"/>
  <c r="A120" i="9"/>
  <c r="H2" i="52"/>
  <c r="A1"/>
  <c r="A3" i="53"/>
  <c r="B6" i="71" l="1"/>
  <c r="B5" s="1"/>
  <c r="C6"/>
  <c r="C5" s="1"/>
  <c r="D5" s="1"/>
  <c r="D6"/>
  <c r="E6"/>
  <c r="E5" s="1"/>
  <c r="F6"/>
  <c r="F5" s="1"/>
  <c r="L5" l="1"/>
  <c r="Q5" s="1"/>
  <c r="K5"/>
  <c r="P5" s="1"/>
  <c r="J5"/>
  <c r="O5" s="1"/>
  <c r="I5"/>
  <c r="N5" s="1"/>
  <c r="D5" i="43" l="1"/>
  <c r="E10" i="70" l="1"/>
  <c r="E11"/>
  <c r="E12"/>
  <c r="E13"/>
  <c r="B13" i="76"/>
  <c r="E10"/>
  <c r="E13"/>
  <c r="E8"/>
  <c r="B11"/>
  <c r="B7"/>
  <c r="B8"/>
  <c r="B9"/>
  <c r="E7"/>
  <c r="B12"/>
  <c r="E11"/>
  <c r="E12"/>
  <c r="B10"/>
  <c r="E9"/>
  <c r="A15" i="51" l="1"/>
  <c r="C76" i="9" l="1"/>
  <c r="I107" i="40" l="1"/>
  <c r="K6" i="4" l="1"/>
  <c r="B22" i="31" l="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F18" s="1"/>
  <c r="AD18"/>
  <c r="AD19"/>
  <c r="AE19"/>
  <c r="AF19"/>
  <c r="AG19"/>
  <c r="AH19"/>
  <c r="X8"/>
  <c r="Y8"/>
  <c r="Z8" s="1"/>
  <c r="AA8"/>
  <c r="AB8"/>
  <c r="X9"/>
  <c r="Y9"/>
  <c r="Z9"/>
  <c r="AA9"/>
  <c r="AB9"/>
  <c r="X10"/>
  <c r="Y10"/>
  <c r="Z10" s="1"/>
  <c r="AA10"/>
  <c r="AB10"/>
  <c r="X11"/>
  <c r="Y11"/>
  <c r="Z11"/>
  <c r="AA11"/>
  <c r="AB11"/>
  <c r="X12"/>
  <c r="Y12"/>
  <c r="Z12" s="1"/>
  <c r="AA12"/>
  <c r="AB12"/>
  <c r="X13"/>
  <c r="Y13"/>
  <c r="Z13"/>
  <c r="AA13"/>
  <c r="AB13"/>
  <c r="X14"/>
  <c r="Y14"/>
  <c r="Z14" s="1"/>
  <c r="AA14"/>
  <c r="AB14"/>
  <c r="X15"/>
  <c r="Y15"/>
  <c r="Z15"/>
  <c r="AA15"/>
  <c r="AB15"/>
  <c r="X16"/>
  <c r="Y16"/>
  <c r="Z16" s="1"/>
  <c r="AA16"/>
  <c r="AB16"/>
  <c r="Y17"/>
  <c r="AB17"/>
  <c r="AA17"/>
  <c r="X17"/>
  <c r="S2" i="31" l="1"/>
  <c r="M2"/>
  <c r="N2"/>
  <c r="O2"/>
  <c r="P2"/>
  <c r="Q2"/>
  <c r="R2"/>
  <c r="C1" i="73" l="1"/>
  <c r="L1" s="1"/>
  <c r="F7"/>
  <c r="J1" l="1"/>
  <c r="B74" i="72"/>
  <c r="D6" i="73"/>
  <c r="D5"/>
  <c r="F5"/>
  <c r="D4"/>
  <c r="F6"/>
  <c r="F4"/>
  <c r="F3"/>
  <c r="D3"/>
  <c r="D7"/>
  <c r="E20" i="43" l="1"/>
  <c r="I1" i="73"/>
  <c r="B39" i="1" s="1"/>
  <c r="M11" i="87" l="1"/>
  <c r="J10" s="1"/>
  <c r="J5" s="1"/>
  <c r="F11"/>
  <c r="M11" i="86"/>
  <c r="F11"/>
  <c r="M11" i="84"/>
  <c r="F11"/>
  <c r="M11" i="79"/>
  <c r="J10" s="1"/>
  <c r="F11"/>
  <c r="M11" i="78"/>
  <c r="J10" s="1"/>
  <c r="F11"/>
  <c r="Y12" i="43"/>
  <c r="Y10"/>
  <c r="AJ9"/>
  <c r="AJ12" s="1"/>
  <c r="AI9"/>
  <c r="AI12" s="1"/>
  <c r="AH9"/>
  <c r="AH12" s="1"/>
  <c r="AG9"/>
  <c r="AG12" s="1"/>
  <c r="AF9"/>
  <c r="AF12" s="1"/>
  <c r="AE9"/>
  <c r="AE12" s="1"/>
  <c r="AD9"/>
  <c r="AD12" s="1"/>
  <c r="AC9"/>
  <c r="AC12" s="1"/>
  <c r="AB9"/>
  <c r="AB12" s="1"/>
  <c r="AA9"/>
  <c r="AA12" s="1"/>
  <c r="Z9"/>
  <c r="Z12" s="1"/>
  <c r="J26" i="87" l="1"/>
  <c r="J24"/>
  <c r="J18"/>
  <c r="C53"/>
  <c r="C48" s="1"/>
  <c r="C10"/>
  <c r="C5" s="1"/>
  <c r="C53" i="86"/>
  <c r="C53" i="84"/>
  <c r="C53" i="79"/>
  <c r="C10"/>
  <c r="C53" i="78"/>
  <c r="C10"/>
  <c r="AA10" i="43"/>
  <c r="AC10"/>
  <c r="AE10"/>
  <c r="AG10"/>
  <c r="AI10"/>
  <c r="Z10"/>
  <c r="AB10"/>
  <c r="AD10"/>
  <c r="AF10"/>
  <c r="AH10"/>
  <c r="AJ10"/>
  <c r="C60" i="87" l="1"/>
  <c r="C66"/>
  <c r="C38"/>
  <c r="C32"/>
  <c r="K49" i="9"/>
  <c r="E107"/>
  <c r="E111"/>
  <c r="E109"/>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U51" s="1"/>
  <c r="C51"/>
  <c r="T51" s="1"/>
  <c r="B51"/>
  <c r="Q50"/>
  <c r="P50"/>
  <c r="O50"/>
  <c r="N50"/>
  <c r="F50"/>
  <c r="F49" s="1"/>
  <c r="B50"/>
  <c r="B49" s="1"/>
  <c r="Q49"/>
  <c r="P49"/>
  <c r="O49"/>
  <c r="N49"/>
  <c r="Q48"/>
  <c r="P48"/>
  <c r="O48"/>
  <c r="N48"/>
  <c r="D48"/>
  <c r="S47"/>
  <c r="P47"/>
  <c r="N47"/>
  <c r="F47"/>
  <c r="V47" s="1"/>
  <c r="E47"/>
  <c r="C47"/>
  <c r="B47"/>
  <c r="F46"/>
  <c r="F45" s="1"/>
  <c r="Q45" s="1"/>
  <c r="B46"/>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S7" l="1"/>
  <c r="F7"/>
  <c r="AB3"/>
  <c r="AB4"/>
  <c r="AB5"/>
  <c r="AB6"/>
  <c r="AB7"/>
  <c r="E7"/>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V7" l="1"/>
  <c r="P44"/>
  <c r="P45"/>
  <c r="O45"/>
  <c r="D45"/>
  <c r="O44"/>
  <c r="T11"/>
  <c r="D11"/>
  <c r="T15"/>
  <c r="D15"/>
  <c r="T19"/>
  <c r="D19"/>
  <c r="T23"/>
  <c r="D23"/>
  <c r="T31"/>
  <c r="D31"/>
  <c r="T35"/>
  <c r="D35"/>
  <c r="T39"/>
  <c r="D39"/>
  <c r="T43"/>
  <c r="D43"/>
  <c r="R10" i="1" l="1"/>
  <c r="R11"/>
  <c r="R12"/>
  <c r="R13"/>
  <c r="O27" i="6" l="1"/>
  <c r="N27"/>
  <c r="P20"/>
  <c r="P21"/>
  <c r="P22"/>
  <c r="P23"/>
  <c r="P24"/>
  <c r="P25"/>
  <c r="P26"/>
  <c r="P19"/>
  <c r="AP8" i="1"/>
  <c r="AP9"/>
  <c r="AP10"/>
  <c r="AP11"/>
  <c r="AP12"/>
  <c r="AP13"/>
  <c r="L21" i="6"/>
  <c r="L22"/>
  <c r="L23"/>
  <c r="L24"/>
  <c r="L25"/>
  <c r="L26"/>
  <c r="P27" l="1"/>
  <c r="A7" i="70"/>
  <c r="E7" s="1"/>
  <c r="A8"/>
  <c r="E8" s="1"/>
  <c r="A9"/>
  <c r="A10"/>
  <c r="A11"/>
  <c r="A12"/>
  <c r="A13"/>
  <c r="A6"/>
  <c r="B86" i="43" l="1"/>
  <c r="B75"/>
  <c r="B66"/>
  <c r="B55"/>
  <c r="AO12" i="1"/>
  <c r="AO11"/>
  <c r="AO13"/>
  <c r="AO10"/>
  <c r="B10" i="70" l="1"/>
  <c r="B11"/>
  <c r="B13"/>
  <c r="B12"/>
  <c r="Z25" i="40"/>
  <c r="Q25"/>
  <c r="D94"/>
  <c r="E94" s="1"/>
  <c r="F25"/>
  <c r="AA25" s="1"/>
  <c r="C25"/>
  <c r="Z29" i="39"/>
  <c r="Q29"/>
  <c r="D103"/>
  <c r="E103" s="1"/>
  <c r="F29"/>
  <c r="AA29" s="1"/>
  <c r="C29"/>
  <c r="Z18" i="36"/>
  <c r="Q18"/>
  <c r="E66"/>
  <c r="F66" s="1"/>
  <c r="D66"/>
  <c r="H18"/>
  <c r="AB18" s="1"/>
  <c r="F18"/>
  <c r="AA18" s="1"/>
  <c r="C18"/>
  <c r="Z18" i="35"/>
  <c r="Q18"/>
  <c r="D68"/>
  <c r="E68" s="1"/>
  <c r="F18"/>
  <c r="AA18" s="1"/>
  <c r="C18"/>
  <c r="Z21" i="37"/>
  <c r="Q21"/>
  <c r="D77"/>
  <c r="E77" s="1"/>
  <c r="C21"/>
  <c r="Z21" i="34"/>
  <c r="Q21"/>
  <c r="D84"/>
  <c r="E84" s="1"/>
  <c r="F21"/>
  <c r="AA21" s="1"/>
  <c r="C21"/>
  <c r="Z21" i="33"/>
  <c r="Q21"/>
  <c r="D83"/>
  <c r="E83" s="1"/>
  <c r="C21"/>
  <c r="C21" i="21"/>
  <c r="Z21"/>
  <c r="Q21"/>
  <c r="H19"/>
  <c r="D83"/>
  <c r="F21" s="1"/>
  <c r="AA21" s="1"/>
  <c r="D81"/>
  <c r="G20" i="20"/>
  <c r="C22"/>
  <c r="S25" i="40" l="1"/>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2" i="66"/>
  <c r="C31"/>
  <c r="C30"/>
  <c r="C27"/>
  <c r="E26"/>
  <c r="I23"/>
  <c r="D20"/>
  <c r="I19"/>
  <c r="I18"/>
  <c r="I17"/>
  <c r="I20"/>
  <c r="E15"/>
  <c r="I14"/>
  <c r="I13"/>
  <c r="I12"/>
  <c r="I15"/>
  <c r="I9"/>
  <c r="I8"/>
  <c r="I7"/>
  <c r="I6"/>
  <c r="I5"/>
  <c r="I4"/>
  <c r="I3"/>
  <c r="I10"/>
  <c r="I21"/>
  <c r="D1"/>
  <c r="E10"/>
  <c r="M11" i="15"/>
  <c r="D1" i="43"/>
  <c r="F113"/>
  <c r="N99"/>
  <c r="N108" s="1"/>
  <c r="D99"/>
  <c r="D108" s="1"/>
  <c r="E99"/>
  <c r="E108" s="1"/>
  <c r="F99"/>
  <c r="F108" s="1"/>
  <c r="G99"/>
  <c r="G108" s="1"/>
  <c r="H99"/>
  <c r="H108" s="1"/>
  <c r="I99"/>
  <c r="I108" s="1"/>
  <c r="J99"/>
  <c r="J108" s="1"/>
  <c r="K99"/>
  <c r="K108" s="1"/>
  <c r="L99"/>
  <c r="L108" s="1"/>
  <c r="M99"/>
  <c r="M108" s="1"/>
  <c r="C99"/>
  <c r="C108" s="1"/>
  <c r="N100"/>
  <c r="D100"/>
  <c r="H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A8"/>
  <c r="A9"/>
  <c r="A10"/>
  <c r="S10" s="1"/>
  <c r="A11"/>
  <c r="S11" s="1"/>
  <c r="A12"/>
  <c r="S12" s="1"/>
  <c r="A13"/>
  <c r="S13" s="1"/>
  <c r="A6"/>
  <c r="B11"/>
  <c r="E11" s="1"/>
  <c r="B7"/>
  <c r="E7" s="1"/>
  <c r="B12"/>
  <c r="E12" s="1"/>
  <c r="K12"/>
  <c r="B10"/>
  <c r="E10" s="1"/>
  <c r="K10"/>
  <c r="M10" s="1"/>
  <c r="O10" s="1"/>
  <c r="B8"/>
  <c r="E8" s="1"/>
  <c r="B13"/>
  <c r="E13" s="1"/>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Z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Z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Z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Z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Z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Z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Z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Z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Z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Z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Z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Z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Z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Z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Z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9" i="31"/>
  <c r="R30"/>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R79"/>
  <c r="R80"/>
  <c r="R81"/>
  <c r="R82"/>
  <c r="R83"/>
  <c r="R84"/>
  <c r="R85"/>
  <c r="R86"/>
  <c r="R87"/>
  <c r="R88"/>
  <c r="R89"/>
  <c r="R90"/>
  <c r="R91"/>
  <c r="R92"/>
  <c r="R93"/>
  <c r="R94"/>
  <c r="R95"/>
  <c r="R96"/>
  <c r="R97"/>
  <c r="R98"/>
  <c r="R99"/>
  <c r="R100"/>
  <c r="R101"/>
  <c r="R102"/>
  <c r="R103"/>
  <c r="R104"/>
  <c r="R105"/>
  <c r="R106"/>
  <c r="R107"/>
  <c r="R108"/>
  <c r="R109"/>
  <c r="R110"/>
  <c r="R111"/>
  <c r="R112"/>
  <c r="S112" s="1"/>
  <c r="R113"/>
  <c r="R114"/>
  <c r="S114" s="1"/>
  <c r="R115"/>
  <c r="R116"/>
  <c r="S116" s="1"/>
  <c r="R117"/>
  <c r="R118"/>
  <c r="S118" s="1"/>
  <c r="R119"/>
  <c r="R120"/>
  <c r="S120" s="1"/>
  <c r="R121"/>
  <c r="R122"/>
  <c r="S122" s="1"/>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S224" s="1"/>
  <c r="R225"/>
  <c r="R226"/>
  <c r="S226" s="1"/>
  <c r="R227"/>
  <c r="R228"/>
  <c r="S228" s="1"/>
  <c r="R229"/>
  <c r="R230"/>
  <c r="S230" s="1"/>
  <c r="R231"/>
  <c r="R232"/>
  <c r="S232" s="1"/>
  <c r="R233"/>
  <c r="R234"/>
  <c r="S234" s="1"/>
  <c r="R235"/>
  <c r="R236"/>
  <c r="S236" s="1"/>
  <c r="R237"/>
  <c r="R238"/>
  <c r="S238" s="1"/>
  <c r="R239"/>
  <c r="R240"/>
  <c r="S240" s="1"/>
  <c r="R241"/>
  <c r="R242"/>
  <c r="S242" s="1"/>
  <c r="R243"/>
  <c r="R244"/>
  <c r="S244" s="1"/>
  <c r="R245"/>
  <c r="R246"/>
  <c r="S246" s="1"/>
  <c r="R247"/>
  <c r="R248"/>
  <c r="S248" s="1"/>
  <c r="R249"/>
  <c r="R250"/>
  <c r="S250" s="1"/>
  <c r="R251"/>
  <c r="R252"/>
  <c r="S252" s="1"/>
  <c r="R253"/>
  <c r="R254"/>
  <c r="S254" s="1"/>
  <c r="R255"/>
  <c r="S255" s="1"/>
  <c r="R256"/>
  <c r="R257"/>
  <c r="S257" s="1"/>
  <c r="R258"/>
  <c r="S258" s="1"/>
  <c r="R259"/>
  <c r="S259" s="1"/>
  <c r="R260"/>
  <c r="R261"/>
  <c r="S261" s="1"/>
  <c r="R262"/>
  <c r="S262" s="1"/>
  <c r="R263"/>
  <c r="S263" s="1"/>
  <c r="R264"/>
  <c r="R265"/>
  <c r="S265" s="1"/>
  <c r="R266"/>
  <c r="S266" s="1"/>
  <c r="R267"/>
  <c r="S267" s="1"/>
  <c r="R268"/>
  <c r="R269"/>
  <c r="S269" s="1"/>
  <c r="R270"/>
  <c r="S270" s="1"/>
  <c r="R271"/>
  <c r="S271" s="1"/>
  <c r="R272"/>
  <c r="R273"/>
  <c r="S273" s="1"/>
  <c r="R274"/>
  <c r="S274" s="1"/>
  <c r="R275"/>
  <c r="S275" s="1"/>
  <c r="R276"/>
  <c r="R277"/>
  <c r="S277" s="1"/>
  <c r="R278"/>
  <c r="S278" s="1"/>
  <c r="R279"/>
  <c r="S279" s="1"/>
  <c r="R280"/>
  <c r="R281"/>
  <c r="S281" s="1"/>
  <c r="R282"/>
  <c r="S282" s="1"/>
  <c r="R283"/>
  <c r="S283" s="1"/>
  <c r="R284"/>
  <c r="R285"/>
  <c r="S285" s="1"/>
  <c r="R286"/>
  <c r="S286" s="1"/>
  <c r="R287"/>
  <c r="S287" s="1"/>
  <c r="R288"/>
  <c r="R289"/>
  <c r="S289" s="1"/>
  <c r="R290"/>
  <c r="S290" s="1"/>
  <c r="R291"/>
  <c r="S291" s="1"/>
  <c r="R292"/>
  <c r="R293"/>
  <c r="S293" s="1"/>
  <c r="R294"/>
  <c r="S294" s="1"/>
  <c r="R295"/>
  <c r="S295" s="1"/>
  <c r="R296"/>
  <c r="R297"/>
  <c r="S297" s="1"/>
  <c r="R298"/>
  <c r="S298" s="1"/>
  <c r="R299"/>
  <c r="S299" s="1"/>
  <c r="R300"/>
  <c r="R301"/>
  <c r="S301" s="1"/>
  <c r="R302"/>
  <c r="S302" s="1"/>
  <c r="R303"/>
  <c r="S303" s="1"/>
  <c r="R304"/>
  <c r="R305"/>
  <c r="S305" s="1"/>
  <c r="R306"/>
  <c r="S306" s="1"/>
  <c r="R307"/>
  <c r="S307" s="1"/>
  <c r="R308"/>
  <c r="R309"/>
  <c r="S309" s="1"/>
  <c r="R310"/>
  <c r="S310" s="1"/>
  <c r="R311"/>
  <c r="S311" s="1"/>
  <c r="R312"/>
  <c r="R313"/>
  <c r="S313" s="1"/>
  <c r="R314"/>
  <c r="S314" s="1"/>
  <c r="R315"/>
  <c r="S315" s="1"/>
  <c r="R316"/>
  <c r="R317"/>
  <c r="S317" s="1"/>
  <c r="R318"/>
  <c r="S318" s="1"/>
  <c r="R319"/>
  <c r="S319" s="1"/>
  <c r="R320"/>
  <c r="R321"/>
  <c r="S321" s="1"/>
  <c r="R322"/>
  <c r="R323"/>
  <c r="S323" s="1"/>
  <c r="R324"/>
  <c r="S324" s="1"/>
  <c r="R325"/>
  <c r="S325" s="1"/>
  <c r="R326"/>
  <c r="R327"/>
  <c r="S327" s="1"/>
  <c r="R328"/>
  <c r="S328" s="1"/>
  <c r="R329"/>
  <c r="S329" s="1"/>
  <c r="R330"/>
  <c r="R331"/>
  <c r="S331" s="1"/>
  <c r="R332"/>
  <c r="S332" s="1"/>
  <c r="R333"/>
  <c r="S333" s="1"/>
  <c r="R334"/>
  <c r="R335"/>
  <c r="S335" s="1"/>
  <c r="R336"/>
  <c r="S336" s="1"/>
  <c r="R337"/>
  <c r="S337" s="1"/>
  <c r="R338"/>
  <c r="R339"/>
  <c r="S339" s="1"/>
  <c r="R340"/>
  <c r="S340" s="1"/>
  <c r="R341"/>
  <c r="S341" s="1"/>
  <c r="R342"/>
  <c r="R343"/>
  <c r="S343" s="1"/>
  <c r="R344"/>
  <c r="S344" s="1"/>
  <c r="R345"/>
  <c r="S345" s="1"/>
  <c r="R346"/>
  <c r="R347"/>
  <c r="S347" s="1"/>
  <c r="R348"/>
  <c r="S348" s="1"/>
  <c r="R349"/>
  <c r="S349" s="1"/>
  <c r="R350"/>
  <c r="R351"/>
  <c r="S351" s="1"/>
  <c r="R352"/>
  <c r="S352" s="1"/>
  <c r="R353"/>
  <c r="S353" s="1"/>
  <c r="R354"/>
  <c r="R355"/>
  <c r="S355" s="1"/>
  <c r="R356"/>
  <c r="S356" s="1"/>
  <c r="R357"/>
  <c r="S357" s="1"/>
  <c r="R358"/>
  <c r="R359"/>
  <c r="S359" s="1"/>
  <c r="R360"/>
  <c r="S360" s="1"/>
  <c r="R361"/>
  <c r="S361" s="1"/>
  <c r="R362"/>
  <c r="R363"/>
  <c r="S363" s="1"/>
  <c r="R364"/>
  <c r="S364" s="1"/>
  <c r="R365"/>
  <c r="S365" s="1"/>
  <c r="R366"/>
  <c r="R367"/>
  <c r="S367" s="1"/>
  <c r="R368"/>
  <c r="S368" s="1"/>
  <c r="R369"/>
  <c r="S369" s="1"/>
  <c r="R370"/>
  <c r="R371"/>
  <c r="S371" s="1"/>
  <c r="R372"/>
  <c r="S372" s="1"/>
  <c r="R373"/>
  <c r="S373" s="1"/>
  <c r="R374"/>
  <c r="R375"/>
  <c r="S375" s="1"/>
  <c r="R376"/>
  <c r="S376" s="1"/>
  <c r="R377"/>
  <c r="S377" s="1"/>
  <c r="R378"/>
  <c r="R379"/>
  <c r="S379" s="1"/>
  <c r="R380"/>
  <c r="S380" s="1"/>
  <c r="R381"/>
  <c r="S381" s="1"/>
  <c r="R382"/>
  <c r="R383"/>
  <c r="S383" s="1"/>
  <c r="R384"/>
  <c r="S384" s="1"/>
  <c r="R385"/>
  <c r="S385" s="1"/>
  <c r="R386"/>
  <c r="R387"/>
  <c r="S387" s="1"/>
  <c r="R388"/>
  <c r="S388" s="1"/>
  <c r="R389"/>
  <c r="S389" s="1"/>
  <c r="R390"/>
  <c r="R391"/>
  <c r="S391" s="1"/>
  <c r="R392"/>
  <c r="S392" s="1"/>
  <c r="R393"/>
  <c r="S393" s="1"/>
  <c r="R394"/>
  <c r="R395"/>
  <c r="S395" s="1"/>
  <c r="R396"/>
  <c r="S396" s="1"/>
  <c r="R397"/>
  <c r="S397" s="1"/>
  <c r="R398"/>
  <c r="R399"/>
  <c r="S399" s="1"/>
  <c r="R400"/>
  <c r="S400" s="1"/>
  <c r="R401"/>
  <c r="S401" s="1"/>
  <c r="R402"/>
  <c r="R403"/>
  <c r="S403" s="1"/>
  <c r="R404"/>
  <c r="S404" s="1"/>
  <c r="R405"/>
  <c r="S405" s="1"/>
  <c r="R406"/>
  <c r="R407"/>
  <c r="S407" s="1"/>
  <c r="R408"/>
  <c r="S408" s="1"/>
  <c r="R409"/>
  <c r="S409" s="1"/>
  <c r="R410"/>
  <c r="R411"/>
  <c r="S411" s="1"/>
  <c r="R412"/>
  <c r="S412" s="1"/>
  <c r="R413"/>
  <c r="S413" s="1"/>
  <c r="R414"/>
  <c r="R415"/>
  <c r="S415" s="1"/>
  <c r="R416"/>
  <c r="S416" s="1"/>
  <c r="R417"/>
  <c r="S417" s="1"/>
  <c r="R418"/>
  <c r="R419"/>
  <c r="S419" s="1"/>
  <c r="R420"/>
  <c r="S420" s="1"/>
  <c r="R421"/>
  <c r="S421" s="1"/>
  <c r="R422"/>
  <c r="R423"/>
  <c r="S423" s="1"/>
  <c r="R424"/>
  <c r="S424" s="1"/>
  <c r="R425"/>
  <c r="R426"/>
  <c r="R427"/>
  <c r="R428"/>
  <c r="R429"/>
  <c r="R430"/>
  <c r="R431"/>
  <c r="R432"/>
  <c r="R433"/>
  <c r="R434"/>
  <c r="R435"/>
  <c r="R436"/>
  <c r="R437"/>
  <c r="R438"/>
  <c r="R439"/>
  <c r="R440"/>
  <c r="R441"/>
  <c r="R442"/>
  <c r="R443"/>
  <c r="R444"/>
  <c r="R445"/>
  <c r="R446"/>
  <c r="S446" s="1"/>
  <c r="R447"/>
  <c r="R448"/>
  <c r="S448" s="1"/>
  <c r="R449"/>
  <c r="R450"/>
  <c r="R451"/>
  <c r="R452"/>
  <c r="R453"/>
  <c r="R454"/>
  <c r="R455"/>
  <c r="R456"/>
  <c r="R457"/>
  <c r="R458"/>
  <c r="R459"/>
  <c r="R460"/>
  <c r="R461"/>
  <c r="R462"/>
  <c r="R463"/>
  <c r="R464"/>
  <c r="R465"/>
  <c r="R466"/>
  <c r="R467"/>
  <c r="R468"/>
  <c r="S468" s="1"/>
  <c r="R469"/>
  <c r="R470"/>
  <c r="S470" s="1"/>
  <c r="R471"/>
  <c r="R472"/>
  <c r="S472" s="1"/>
  <c r="R473"/>
  <c r="R474"/>
  <c r="S474" s="1"/>
  <c r="R475"/>
  <c r="R476"/>
  <c r="S476" s="1"/>
  <c r="R477"/>
  <c r="R478"/>
  <c r="S478" s="1"/>
  <c r="R479"/>
  <c r="R480"/>
  <c r="S480" s="1"/>
  <c r="R481"/>
  <c r="R482"/>
  <c r="S482" s="1"/>
  <c r="R483"/>
  <c r="R484"/>
  <c r="S484" s="1"/>
  <c r="R485"/>
  <c r="R486"/>
  <c r="S486" s="1"/>
  <c r="R487"/>
  <c r="R488"/>
  <c r="S488" s="1"/>
  <c r="R489"/>
  <c r="R490"/>
  <c r="S490" s="1"/>
  <c r="R491"/>
  <c r="R492"/>
  <c r="S492" s="1"/>
  <c r="R493"/>
  <c r="R494"/>
  <c r="S494" s="1"/>
  <c r="R495"/>
  <c r="R496"/>
  <c r="S496" s="1"/>
  <c r="R497"/>
  <c r="R498"/>
  <c r="R499"/>
  <c r="R500"/>
  <c r="S500" s="1"/>
  <c r="R501"/>
  <c r="R502"/>
  <c r="R503"/>
  <c r="R504"/>
  <c r="S504" s="1"/>
  <c r="R505"/>
  <c r="R506"/>
  <c r="R507"/>
  <c r="R508"/>
  <c r="R509"/>
  <c r="R510"/>
  <c r="R511"/>
  <c r="R512"/>
  <c r="R513"/>
  <c r="R514"/>
  <c r="R515"/>
  <c r="R516"/>
  <c r="R517"/>
  <c r="R518"/>
  <c r="R519"/>
  <c r="R520"/>
  <c r="R521"/>
  <c r="R522"/>
  <c r="R523"/>
  <c r="R524"/>
  <c r="C25"/>
  <c r="C26"/>
  <c r="C27"/>
  <c r="C28"/>
  <c r="R28" s="1"/>
  <c r="S28" s="1"/>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L15" s="1"/>
  <c r="BM16"/>
  <c r="BM17"/>
  <c r="BO13"/>
  <c r="BO14"/>
  <c r="BO15"/>
  <c r="BO16"/>
  <c r="BO17"/>
  <c r="BN13"/>
  <c r="BN14"/>
  <c r="BN15"/>
  <c r="BN16"/>
  <c r="BN17"/>
  <c r="BP13"/>
  <c r="BP14"/>
  <c r="BP15"/>
  <c r="BP16"/>
  <c r="BP17"/>
  <c r="E19" i="6"/>
  <c r="K6" i="1" s="1"/>
  <c r="E20" i="6"/>
  <c r="E21"/>
  <c r="F23" i="15"/>
  <c r="D24" s="1"/>
  <c r="O8" i="1"/>
  <c r="P8" s="1"/>
  <c r="M12"/>
  <c r="O12" s="1"/>
  <c r="P12" s="1"/>
  <c r="M13"/>
  <c r="O13" s="1"/>
  <c r="P13" s="1"/>
  <c r="E22" i="6"/>
  <c r="E23"/>
  <c r="E24"/>
  <c r="E25"/>
  <c r="E26"/>
  <c r="BB13" i="3"/>
  <c r="BB5" s="1"/>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G15" s="1"/>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T4"/>
  <c r="F15" i="15"/>
  <c r="F17"/>
  <c r="F18"/>
  <c r="F20"/>
  <c r="F21"/>
  <c r="D3" i="35"/>
  <c r="G3" s="1"/>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18"/>
  <c r="S414"/>
  <c r="S410"/>
  <c r="S406"/>
  <c r="S402"/>
  <c r="S398"/>
  <c r="S394"/>
  <c r="S390"/>
  <c r="S386"/>
  <c r="S382"/>
  <c r="S378"/>
  <c r="S374"/>
  <c r="S370"/>
  <c r="S366"/>
  <c r="S362"/>
  <c r="S358"/>
  <c r="S354"/>
  <c r="S350"/>
  <c r="S346"/>
  <c r="S342"/>
  <c r="S338"/>
  <c r="S334"/>
  <c r="S330"/>
  <c r="S326"/>
  <c r="S322"/>
  <c r="S320"/>
  <c r="S316"/>
  <c r="S312"/>
  <c r="S308"/>
  <c r="S304"/>
  <c r="S300"/>
  <c r="S296"/>
  <c r="S292"/>
  <c r="S288"/>
  <c r="S284"/>
  <c r="S280"/>
  <c r="S276"/>
  <c r="S272"/>
  <c r="S268"/>
  <c r="S264"/>
  <c r="S260"/>
  <c r="S256"/>
  <c r="S253"/>
  <c r="S251"/>
  <c r="S249"/>
  <c r="S247"/>
  <c r="S245"/>
  <c r="S243"/>
  <c r="S241"/>
  <c r="S239"/>
  <c r="S237"/>
  <c r="S235"/>
  <c r="S233"/>
  <c r="S231"/>
  <c r="S229"/>
  <c r="S227"/>
  <c r="S225"/>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5"/>
  <c r="S493"/>
  <c r="S491"/>
  <c r="S489"/>
  <c r="S487"/>
  <c r="S485"/>
  <c r="S483"/>
  <c r="S481"/>
  <c r="S479"/>
  <c r="S477"/>
  <c r="S475"/>
  <c r="S473"/>
  <c r="S471"/>
  <c r="S469"/>
  <c r="S444"/>
  <c r="S443"/>
  <c r="S442"/>
  <c r="S441"/>
  <c r="S440"/>
  <c r="S439"/>
  <c r="S438"/>
  <c r="S437"/>
  <c r="S436"/>
  <c r="S435"/>
  <c r="S434"/>
  <c r="S433"/>
  <c r="S432"/>
  <c r="S431"/>
  <c r="S430"/>
  <c r="S121"/>
  <c r="S119"/>
  <c r="S117"/>
  <c r="S115"/>
  <c r="S113"/>
  <c r="S506"/>
  <c r="S502"/>
  <c r="S498"/>
  <c r="S467"/>
  <c r="S466"/>
  <c r="S465"/>
  <c r="S464"/>
  <c r="S463"/>
  <c r="S462"/>
  <c r="S461"/>
  <c r="S460"/>
  <c r="S459"/>
  <c r="S458"/>
  <c r="S457"/>
  <c r="S456"/>
  <c r="S455"/>
  <c r="S454"/>
  <c r="S453"/>
  <c r="S452"/>
  <c r="S451"/>
  <c r="S450"/>
  <c r="S53"/>
  <c r="S51"/>
  <c r="S49"/>
  <c r="S47"/>
  <c r="S45"/>
  <c r="S43"/>
  <c r="S41"/>
  <c r="S39"/>
  <c r="S37"/>
  <c r="S35"/>
  <c r="S33"/>
  <c r="S77"/>
  <c r="S75"/>
  <c r="S73"/>
  <c r="S71"/>
  <c r="S69"/>
  <c r="S67"/>
  <c r="S65"/>
  <c r="S63"/>
  <c r="S61"/>
  <c r="S59"/>
  <c r="S57"/>
  <c r="S55"/>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7"/>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c r="BO548"/>
  <c r="BP548"/>
  <c r="BQ548"/>
  <c r="BR548"/>
  <c r="BS548"/>
  <c r="BT548"/>
  <c r="H549"/>
  <c r="AC549"/>
  <c r="BB549"/>
  <c r="BC549"/>
  <c r="BD549"/>
  <c r="BE549"/>
  <c r="BF549"/>
  <c r="BG549"/>
  <c r="BH549"/>
  <c r="BI549"/>
  <c r="BJ549"/>
  <c r="BK549"/>
  <c r="BM549"/>
  <c r="BN549"/>
  <c r="BO549"/>
  <c r="BP549"/>
  <c r="BR549"/>
  <c r="BS549"/>
  <c r="BT549"/>
  <c r="H550"/>
  <c r="AC550"/>
  <c r="BB550"/>
  <c r="BC550"/>
  <c r="BD550"/>
  <c r="BA550"/>
  <c r="BE550"/>
  <c r="BF550"/>
  <c r="BG550"/>
  <c r="BH550"/>
  <c r="BI550"/>
  <c r="BJ550"/>
  <c r="BK550"/>
  <c r="BM550"/>
  <c r="BL550"/>
  <c r="BN550"/>
  <c r="BO550"/>
  <c r="BP550"/>
  <c r="BQ550"/>
  <c r="BR550"/>
  <c r="BS550"/>
  <c r="BT550"/>
  <c r="H551"/>
  <c r="G551"/>
  <c r="AC551"/>
  <c r="BB551"/>
  <c r="BA55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S31" s="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c r="J40"/>
  <c r="W40" s="1"/>
  <c r="H40"/>
  <c r="AB40" s="1"/>
  <c r="F40"/>
  <c r="AA40" s="1"/>
  <c r="Q39"/>
  <c r="Z39"/>
  <c r="J39"/>
  <c r="AC39" s="1"/>
  <c r="H39"/>
  <c r="U39" s="1"/>
  <c r="F39"/>
  <c r="AA39" s="1"/>
  <c r="Q38"/>
  <c r="Z38"/>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c r="B86"/>
  <c r="B84"/>
  <c r="B82"/>
  <c r="J12"/>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c r="Q33"/>
  <c r="Z33"/>
  <c r="Q32"/>
  <c r="Z32"/>
  <c r="Q31"/>
  <c r="Z31"/>
  <c r="J31"/>
  <c r="AC31" s="1"/>
  <c r="Q30"/>
  <c r="Z30" s="1"/>
  <c r="J30"/>
  <c r="AC30" s="1"/>
  <c r="H30"/>
  <c r="AB30" s="1"/>
  <c r="F30"/>
  <c r="AA30" s="1"/>
  <c r="Q29"/>
  <c r="Z29"/>
  <c r="H29"/>
  <c r="AB29" s="1"/>
  <c r="Q28"/>
  <c r="Z28"/>
  <c r="Q27"/>
  <c r="Z27"/>
  <c r="Q26"/>
  <c r="Z26"/>
  <c r="J26"/>
  <c r="AC26" s="1"/>
  <c r="H26"/>
  <c r="AB26" s="1"/>
  <c r="F26"/>
  <c r="AA26" s="1"/>
  <c r="Q25"/>
  <c r="Z25"/>
  <c r="J25"/>
  <c r="AC25" s="1"/>
  <c r="F25"/>
  <c r="AA25" s="1"/>
  <c r="Q23"/>
  <c r="Z23"/>
  <c r="Q19"/>
  <c r="Z19" s="1"/>
  <c r="Q17"/>
  <c r="Z17"/>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c r="B91"/>
  <c r="F32"/>
  <c r="AA32" s="1"/>
  <c r="B95"/>
  <c r="H34"/>
  <c r="D83"/>
  <c r="E83"/>
  <c r="D78"/>
  <c r="E78"/>
  <c r="F78" s="1"/>
  <c r="G78" s="1"/>
  <c r="H78" s="1"/>
  <c r="I78" s="1"/>
  <c r="J78" s="1"/>
  <c r="K78" s="1"/>
  <c r="L78" s="1"/>
  <c r="M78" s="1"/>
  <c r="B75"/>
  <c r="B73"/>
  <c r="J24"/>
  <c r="AC24" s="1"/>
  <c r="B71"/>
  <c r="D70"/>
  <c r="H22"/>
  <c r="AB22" s="1"/>
  <c r="D68"/>
  <c r="E68"/>
  <c r="D64"/>
  <c r="E64"/>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c r="Q28"/>
  <c r="Z28"/>
  <c r="J28"/>
  <c r="AC28" s="1"/>
  <c r="Q27"/>
  <c r="Z27"/>
  <c r="Q26"/>
  <c r="Z26"/>
  <c r="H26"/>
  <c r="AB26" s="1"/>
  <c r="Q25"/>
  <c r="Z25"/>
  <c r="Q24"/>
  <c r="Z24"/>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B77"/>
  <c r="B75"/>
  <c r="J24"/>
  <c r="AC24" s="1"/>
  <c r="B73"/>
  <c r="H23"/>
  <c r="U23" s="1"/>
  <c r="B57"/>
  <c r="B61"/>
  <c r="B59"/>
  <c r="B131" i="34"/>
  <c r="B129"/>
  <c r="B127"/>
  <c r="B99"/>
  <c r="B97"/>
  <c r="B95"/>
  <c r="B93"/>
  <c r="B75"/>
  <c r="B73"/>
  <c r="B71"/>
  <c r="B130" i="33"/>
  <c r="B128"/>
  <c r="J45" s="1"/>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8"/>
  <c r="W8" s="1"/>
  <c r="H8"/>
  <c r="AB8" s="1"/>
  <c r="F8"/>
  <c r="AA8" s="1"/>
  <c r="D120" i="34"/>
  <c r="E120"/>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c r="Q45"/>
  <c r="Z45"/>
  <c r="Q44"/>
  <c r="Z44"/>
  <c r="Q43"/>
  <c r="Z43"/>
  <c r="Q42"/>
  <c r="Z42"/>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Q32"/>
  <c r="Z32" s="1"/>
  <c r="Q31"/>
  <c r="Z31" s="1"/>
  <c r="Q30"/>
  <c r="Z30"/>
  <c r="Q29"/>
  <c r="Z29"/>
  <c r="Q28"/>
  <c r="Z28"/>
  <c r="Q27"/>
  <c r="Z27"/>
  <c r="Q26"/>
  <c r="Z26" s="1"/>
  <c r="Q25"/>
  <c r="Z25" s="1"/>
  <c r="Q23"/>
  <c r="Z23" s="1"/>
  <c r="Q19"/>
  <c r="Z19" s="1"/>
  <c r="Q17"/>
  <c r="Z17"/>
  <c r="Q15"/>
  <c r="Z15" s="1"/>
  <c r="F15"/>
  <c r="AA15" s="1"/>
  <c r="Q14"/>
  <c r="Z14" s="1"/>
  <c r="Q13"/>
  <c r="Z13" s="1"/>
  <c r="Q12"/>
  <c r="Z12" s="1"/>
  <c r="J12"/>
  <c r="W12" s="1"/>
  <c r="H12"/>
  <c r="U12" s="1"/>
  <c r="F12"/>
  <c r="S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L585"/>
  <c r="BR585"/>
  <c r="BS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c r="F39"/>
  <c r="S39" s="1"/>
  <c r="U14"/>
  <c r="F29" i="36"/>
  <c r="AA29" s="1"/>
  <c r="W8"/>
  <c r="F16"/>
  <c r="AA16" s="1"/>
  <c r="U9"/>
  <c r="W28"/>
  <c r="S30"/>
  <c r="S32"/>
  <c r="AA31"/>
  <c r="AC31"/>
  <c r="W31"/>
  <c r="U31"/>
  <c r="J33"/>
  <c r="W33" s="1"/>
  <c r="H22" i="35"/>
  <c r="AB22" s="1"/>
  <c r="AC27"/>
  <c r="W28"/>
  <c r="U31"/>
  <c r="S34"/>
  <c r="W34"/>
  <c r="W36"/>
  <c r="F36" i="34"/>
  <c r="J35"/>
  <c r="W9"/>
  <c r="H39" i="33"/>
  <c r="AB39" s="1"/>
  <c r="F26"/>
  <c r="AA26" s="1"/>
  <c r="S9"/>
  <c r="U35"/>
  <c r="S40"/>
  <c r="H39" i="37"/>
  <c r="AB39" s="1"/>
  <c r="S27" i="35"/>
  <c r="F11" i="40"/>
  <c r="AA11" s="1"/>
  <c r="H11"/>
  <c r="AB11" s="1"/>
  <c r="W8"/>
  <c r="AB39"/>
  <c r="AC40"/>
  <c r="AA9"/>
  <c r="AC9"/>
  <c r="U9"/>
  <c r="S34"/>
  <c r="U38"/>
  <c r="S40"/>
  <c r="W31"/>
  <c r="U34"/>
  <c r="S38"/>
  <c r="S39"/>
  <c r="W39"/>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S19"/>
  <c r="C15"/>
  <c r="H32" i="33"/>
  <c r="AB32" s="1"/>
  <c r="H11" i="21"/>
  <c r="U11" s="1"/>
  <c r="J11"/>
  <c r="W11" s="1"/>
  <c r="H37" i="40"/>
  <c r="U37" s="1"/>
  <c r="H36"/>
  <c r="AB36" s="1"/>
  <c r="F35"/>
  <c r="AA35" s="1"/>
  <c r="H23"/>
  <c r="AB23" s="1"/>
  <c r="H17"/>
  <c r="U17" s="1"/>
  <c r="J15"/>
  <c r="W15" s="1"/>
  <c r="J11"/>
  <c r="W11" s="1"/>
  <c r="AB8" i="39"/>
  <c r="AC12" i="33"/>
  <c r="AB12"/>
  <c r="AA12"/>
  <c r="AC12" i="34"/>
  <c r="AA12"/>
  <c r="AB12" i="35"/>
  <c r="AB12" i="36"/>
  <c r="W32" i="40"/>
  <c r="S44" i="39"/>
  <c r="F37"/>
  <c r="AA37" s="1"/>
  <c r="J34" i="36"/>
  <c r="W34" s="1"/>
  <c r="U30"/>
  <c r="J30" i="35"/>
  <c r="W30" s="1"/>
  <c r="H30"/>
  <c r="AB30" s="1"/>
  <c r="F22"/>
  <c r="AA22"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AC29" s="1"/>
  <c r="H33"/>
  <c r="AB33" s="1"/>
  <c r="J20"/>
  <c r="W20" s="1"/>
  <c r="F35" i="37"/>
  <c r="S35" s="1"/>
  <c r="E101"/>
  <c r="F101" s="1"/>
  <c r="G101" s="1"/>
  <c r="H101" s="1"/>
  <c r="I101" s="1"/>
  <c r="J101" s="1"/>
  <c r="K101" s="1"/>
  <c r="L101" s="1"/>
  <c r="M101" s="1"/>
  <c r="J34"/>
  <c r="W34" s="1"/>
  <c r="S10"/>
  <c r="AA39"/>
  <c r="AB34"/>
  <c r="J33"/>
  <c r="AC33" s="1"/>
  <c r="F120" i="34"/>
  <c r="G120" s="1"/>
  <c r="H120" s="1"/>
  <c r="I120" s="1"/>
  <c r="J120" s="1"/>
  <c r="K120" s="1"/>
  <c r="L120" s="1"/>
  <c r="M120" s="1"/>
  <c r="U42"/>
  <c r="H40"/>
  <c r="U40" s="1"/>
  <c r="E114"/>
  <c r="H36"/>
  <c r="U36" s="1"/>
  <c r="F37"/>
  <c r="AA37" s="1"/>
  <c r="S35"/>
  <c r="F28"/>
  <c r="AA28" s="1"/>
  <c r="F27"/>
  <c r="AA27" s="1"/>
  <c r="F25"/>
  <c r="S25" s="1"/>
  <c r="H23"/>
  <c r="U23" s="1"/>
  <c r="J23"/>
  <c r="F19"/>
  <c r="H17"/>
  <c r="U17" s="1"/>
  <c r="F15"/>
  <c r="S15" s="1"/>
  <c r="J15"/>
  <c r="AC15" s="1"/>
  <c r="H15"/>
  <c r="AB15" s="1"/>
  <c r="S9"/>
  <c r="W8"/>
  <c r="J28"/>
  <c r="W28" s="1"/>
  <c r="F41" i="33"/>
  <c r="AA41" s="1"/>
  <c r="S38"/>
  <c r="E113"/>
  <c r="F113" s="1"/>
  <c r="G113" s="1"/>
  <c r="H113" s="1"/>
  <c r="I113" s="1"/>
  <c r="J113" s="1"/>
  <c r="K113" s="1"/>
  <c r="L113" s="1"/>
  <c r="M113" s="1"/>
  <c r="F32"/>
  <c r="AA32" s="1"/>
  <c r="J19"/>
  <c r="AC19" s="1"/>
  <c r="J15"/>
  <c r="AC15" s="1"/>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H37" i="33"/>
  <c r="AB37" s="1"/>
  <c r="H15"/>
  <c r="AB15" s="1"/>
  <c r="F28" i="40"/>
  <c r="AA28" s="1"/>
  <c r="AA42" i="34"/>
  <c r="S42"/>
  <c r="AA38"/>
  <c r="J37"/>
  <c r="AC37" s="1"/>
  <c r="S28"/>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13" i="35"/>
  <c r="AA47" i="34"/>
  <c r="U31"/>
  <c r="AC13"/>
  <c r="U46" i="33"/>
  <c r="U30"/>
  <c r="AA14"/>
  <c r="J36" i="37"/>
  <c r="AC36" s="1"/>
  <c r="G105"/>
  <c r="AB11" i="36"/>
  <c r="AB11" i="35"/>
  <c r="J10" i="36"/>
  <c r="AC10" s="1"/>
  <c r="AB30" i="21"/>
  <c r="AA14" i="37"/>
  <c r="W31" i="34"/>
  <c r="AC13" i="36"/>
  <c r="W13"/>
  <c r="S11"/>
  <c r="W11"/>
  <c r="W11" i="35"/>
  <c r="AB46" i="34"/>
  <c r="AC30"/>
  <c r="S45" i="33"/>
  <c r="U31"/>
  <c r="U13"/>
  <c r="AC28" i="21"/>
  <c r="BA586" i="3"/>
  <c r="AZ586"/>
  <c r="BA585"/>
  <c r="F17" i="21"/>
  <c r="AA17" s="1"/>
  <c r="H17"/>
  <c r="AB17" s="1"/>
  <c r="F15"/>
  <c r="S15" s="1"/>
  <c r="AB11"/>
  <c r="J41" i="39"/>
  <c r="W41" s="1"/>
  <c r="AC45"/>
  <c r="W44"/>
  <c r="W36"/>
  <c r="W35"/>
  <c r="U36"/>
  <c r="S35"/>
  <c r="AZ585" i="3"/>
  <c r="G544"/>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AZ582"/>
  <c r="BL578"/>
  <c r="BL574"/>
  <c r="BL570"/>
  <c r="BL566"/>
  <c r="BL562"/>
  <c r="BL556"/>
  <c r="BL552"/>
  <c r="BL544"/>
  <c r="BL540"/>
  <c r="BL536"/>
  <c r="G533"/>
  <c r="BL532"/>
  <c r="G529"/>
  <c r="BL528"/>
  <c r="G525"/>
  <c r="BL524"/>
  <c r="AZ524"/>
  <c r="BL518"/>
  <c r="BL514"/>
  <c r="BL510"/>
  <c r="BL504"/>
  <c r="BL500"/>
  <c r="BL496"/>
  <c r="G493"/>
  <c r="BA584"/>
  <c r="BA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AZ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BQ551"/>
  <c r="BL551"/>
  <c r="AZ551"/>
  <c r="BQ549"/>
  <c r="BQ547"/>
  <c r="BL547"/>
  <c r="BQ545"/>
  <c r="BL545"/>
  <c r="BQ543"/>
  <c r="BL543"/>
  <c r="BQ541"/>
  <c r="BL541"/>
  <c r="BQ539"/>
  <c r="BL539"/>
  <c r="BQ537"/>
  <c r="BL537"/>
  <c r="BQ535"/>
  <c r="BL535"/>
  <c r="BQ533"/>
  <c r="BL533"/>
  <c r="BQ531"/>
  <c r="BL531"/>
  <c r="BQ529"/>
  <c r="BL529"/>
  <c r="BQ527"/>
  <c r="BL527"/>
  <c r="BQ525"/>
  <c r="BL525"/>
  <c r="BQ523"/>
  <c r="BL523"/>
  <c r="BA521"/>
  <c r="AC521"/>
  <c r="G521"/>
  <c r="BQ521"/>
  <c r="BL521"/>
  <c r="AZ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Q26"/>
  <c r="K26"/>
  <c r="I27"/>
  <c r="Q27"/>
  <c r="K27"/>
  <c r="I28"/>
  <c r="Q28"/>
  <c r="K28"/>
  <c r="AC28" i="34"/>
  <c r="S21" i="40"/>
  <c r="AA12" i="21"/>
  <c r="H25"/>
  <c r="U25" s="1"/>
  <c r="F25"/>
  <c r="S25" s="1"/>
  <c r="J25"/>
  <c r="AC25" s="1"/>
  <c r="E125" i="33"/>
  <c r="F125"/>
  <c r="H43"/>
  <c r="AB43" s="1"/>
  <c r="H17" i="37"/>
  <c r="U17" s="1"/>
  <c r="AB27"/>
  <c r="U32" i="33"/>
  <c r="AA36" i="39"/>
  <c r="F39" i="33"/>
  <c r="AA39" s="1"/>
  <c r="E123"/>
  <c r="H28" i="34"/>
  <c r="AB28" s="1"/>
  <c r="F14" i="36"/>
  <c r="AA14" s="1"/>
  <c r="F22"/>
  <c r="S22" s="1"/>
  <c r="F26"/>
  <c r="S26" s="1"/>
  <c r="H27" i="34"/>
  <c r="AB27" s="1"/>
  <c r="H35"/>
  <c r="U35" s="1"/>
  <c r="F41"/>
  <c r="S41" s="1"/>
  <c r="H41"/>
  <c r="U41" s="1"/>
  <c r="J41"/>
  <c r="AC41" s="1"/>
  <c r="F24" i="35"/>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G125"/>
  <c r="J43"/>
  <c r="AC43" s="1"/>
  <c r="U14" i="40"/>
  <c r="AC32" i="36"/>
  <c r="AC33"/>
  <c r="U35" i="35"/>
  <c r="AA12"/>
  <c r="W23"/>
  <c r="W14" i="37"/>
  <c r="AB28"/>
  <c r="U33"/>
  <c r="U39"/>
  <c r="W26"/>
  <c r="AC8"/>
  <c r="U26"/>
  <c r="W47" i="34"/>
  <c r="AB13"/>
  <c r="W37"/>
  <c r="AB37"/>
  <c r="AA13" i="33"/>
  <c r="AC31"/>
  <c r="W44"/>
  <c r="U19" i="21"/>
  <c r="W44"/>
  <c r="U26"/>
  <c r="AC46"/>
  <c r="U12"/>
  <c r="AB38"/>
  <c r="F43" i="33"/>
  <c r="AA43" s="1"/>
  <c r="W16" i="35"/>
  <c r="W40" i="37"/>
  <c r="G107"/>
  <c r="H107" s="1"/>
  <c r="I107" s="1"/>
  <c r="J107" s="1"/>
  <c r="K107" s="1"/>
  <c r="L107" s="1"/>
  <c r="M107" s="1"/>
  <c r="H113" i="21"/>
  <c r="H37"/>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c r="J15"/>
  <c r="W15" s="1"/>
  <c r="U12"/>
  <c r="AT6" i="3"/>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I4" i="4"/>
  <c r="A2" i="9"/>
  <c r="N2" i="43"/>
  <c r="F59" s="1"/>
  <c r="AZ550" i="3"/>
  <c r="AZ20"/>
  <c r="AZ24"/>
  <c r="AZ28"/>
  <c r="AZ32"/>
  <c r="AZ497"/>
  <c r="AZ525"/>
  <c r="AZ529"/>
  <c r="AZ53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BA304"/>
  <c r="AZ304"/>
  <c r="BA305"/>
  <c r="BL305"/>
  <c r="G306"/>
  <c r="G309"/>
  <c r="BL310"/>
  <c r="BA312"/>
  <c r="AZ312"/>
  <c r="BA313"/>
  <c r="BL313"/>
  <c r="G314"/>
  <c r="G317"/>
  <c r="BL318"/>
  <c r="BA320"/>
  <c r="AZ320"/>
  <c r="BA321"/>
  <c r="BL321"/>
  <c r="G322"/>
  <c r="G325"/>
  <c r="BL326"/>
  <c r="BA328"/>
  <c r="AZ328"/>
  <c r="BA329"/>
  <c r="BL329"/>
  <c r="G330"/>
  <c r="G333"/>
  <c r="BL334"/>
  <c r="BA336"/>
  <c r="AZ336"/>
  <c r="BA337"/>
  <c r="BL337"/>
  <c r="G338"/>
  <c r="G341"/>
  <c r="BA342"/>
  <c r="BL342"/>
  <c r="AZ342"/>
  <c r="BA344"/>
  <c r="BL344"/>
  <c r="AZ344"/>
  <c r="BA346"/>
  <c r="AZ346"/>
  <c r="BA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23"/>
  <c r="AZ531"/>
  <c r="AZ543"/>
  <c r="AZ500"/>
  <c r="BA16"/>
  <c r="AZ16" s="1"/>
  <c r="BL303"/>
  <c r="G304"/>
  <c r="BA306"/>
  <c r="AZ306"/>
  <c r="BL307"/>
  <c r="AZ307"/>
  <c r="G308"/>
  <c r="BA310"/>
  <c r="AZ310"/>
  <c r="BL311"/>
  <c r="G312"/>
  <c r="BA314"/>
  <c r="AZ314"/>
  <c r="BL315"/>
  <c r="AZ315"/>
  <c r="G316"/>
  <c r="BA318"/>
  <c r="AZ318"/>
  <c r="BL319"/>
  <c r="G320"/>
  <c r="BA322"/>
  <c r="AZ322"/>
  <c r="BL323"/>
  <c r="AZ323"/>
  <c r="G324"/>
  <c r="BA326"/>
  <c r="AZ326"/>
  <c r="BL327"/>
  <c r="G328"/>
  <c r="BA330"/>
  <c r="AZ330"/>
  <c r="BL331"/>
  <c r="AZ331"/>
  <c r="G332"/>
  <c r="BA334"/>
  <c r="AZ334"/>
  <c r="BL335"/>
  <c r="G336"/>
  <c r="BA338"/>
  <c r="AZ338"/>
  <c r="BL339"/>
  <c r="AZ339"/>
  <c r="G340"/>
  <c r="BL343"/>
  <c r="G344"/>
  <c r="G348"/>
  <c r="G355"/>
  <c r="AZ209"/>
  <c r="AZ214"/>
  <c r="AZ218"/>
  <c r="AZ222"/>
  <c r="AZ303"/>
  <c r="AZ311"/>
  <c r="AZ319"/>
  <c r="AZ327"/>
  <c r="AZ335"/>
  <c r="G342"/>
  <c r="BL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BJ5"/>
  <c r="BH5"/>
  <c r="BF5"/>
  <c r="BD5"/>
  <c r="AZ305"/>
  <c r="AZ309"/>
  <c r="AZ313"/>
  <c r="AZ317"/>
  <c r="AZ321"/>
  <c r="AZ325"/>
  <c r="AZ329"/>
  <c r="AZ333"/>
  <c r="AZ337"/>
  <c r="AZ341"/>
  <c r="AZ345"/>
  <c r="BQ5"/>
  <c r="AC5"/>
  <c r="AZ533"/>
  <c r="AZ549"/>
  <c r="AZ535"/>
  <c r="AZ547"/>
  <c r="AZ506"/>
  <c r="AZ548"/>
  <c r="AZ496"/>
  <c r="G548"/>
  <c r="G538"/>
  <c r="G520"/>
  <c r="G502"/>
  <c r="BS5"/>
  <c r="BP5"/>
  <c r="BN5"/>
  <c r="AZ343"/>
  <c r="AZ347"/>
  <c r="BK5"/>
  <c r="BI5"/>
  <c r="BG5"/>
  <c r="BE5"/>
  <c r="BC5"/>
  <c r="G17"/>
  <c r="BA17"/>
  <c r="BT5"/>
  <c r="AZ350"/>
  <c r="AZ352"/>
  <c r="AZ356"/>
  <c r="AZ360"/>
  <c r="AZ364"/>
  <c r="AZ368"/>
  <c r="BA15"/>
  <c r="BR5"/>
  <c r="G28" i="6" s="1"/>
  <c r="AZ380" i="3"/>
  <c r="AZ384"/>
  <c r="AZ388"/>
  <c r="AZ392"/>
  <c r="AZ396"/>
  <c r="AZ394"/>
  <c r="AZ499"/>
  <c r="G29" i="6"/>
  <c r="AZ509" i="3"/>
  <c r="F29" i="6"/>
  <c r="E29" s="1"/>
  <c r="G509" i="3"/>
  <c r="BL493"/>
  <c r="AZ398"/>
  <c r="AZ402"/>
  <c r="AZ406"/>
  <c r="AZ410"/>
  <c r="AZ414"/>
  <c r="AZ418"/>
  <c r="AZ422"/>
  <c r="AZ426"/>
  <c r="AZ430"/>
  <c r="AZ434"/>
  <c r="AZ438"/>
  <c r="AZ442"/>
  <c r="AZ446"/>
  <c r="AZ450"/>
  <c r="AZ454"/>
  <c r="AZ458"/>
  <c r="AZ462"/>
  <c r="AZ479"/>
  <c r="AZ483"/>
  <c r="AZ487"/>
  <c r="AZ491"/>
  <c r="AZ467"/>
  <c r="AZ471"/>
  <c r="AZ475"/>
  <c r="AZ477"/>
  <c r="AZ481"/>
  <c r="AZ489"/>
  <c r="AZ376"/>
  <c r="AZ390"/>
  <c r="AZ382"/>
  <c r="AZ493"/>
  <c r="U36" i="40"/>
  <c r="N4" i="43"/>
  <c r="F36"/>
  <c r="F81"/>
  <c r="H83" s="1"/>
  <c r="H113"/>
  <c r="F48"/>
  <c r="H52" s="1"/>
  <c r="N7"/>
  <c r="F70"/>
  <c r="H73" s="1"/>
  <c r="M6"/>
  <c r="M11"/>
  <c r="E17"/>
  <c r="F39"/>
  <c r="I17"/>
  <c r="F35"/>
  <c r="J17"/>
  <c r="F6" i="1"/>
  <c r="U17" i="39"/>
  <c r="S14" i="35"/>
  <c r="U43" i="21"/>
  <c r="U35"/>
  <c r="AC35"/>
  <c r="U10"/>
  <c r="G8" i="1"/>
  <c r="O6"/>
  <c r="P6" s="1"/>
  <c r="G9"/>
  <c r="G10"/>
  <c r="F48" i="9"/>
  <c r="O52" s="1"/>
  <c r="AC11" i="39"/>
  <c r="AZ553" i="3"/>
  <c r="AZ563"/>
  <c r="AZ501"/>
  <c r="W37" i="37"/>
  <c r="W44" i="34"/>
  <c r="AC44"/>
  <c r="S15" i="37"/>
  <c r="U13"/>
  <c r="U12" i="40"/>
  <c r="AA12"/>
  <c r="J37" i="33"/>
  <c r="W37" s="1"/>
  <c r="J34"/>
  <c r="W34" s="1"/>
  <c r="F33" i="34"/>
  <c r="S33" s="1"/>
  <c r="W12" i="36"/>
  <c r="AC12"/>
  <c r="H20"/>
  <c r="U20" s="1"/>
  <c r="J20"/>
  <c r="W20" s="1"/>
  <c r="F68"/>
  <c r="W24"/>
  <c r="AB34"/>
  <c r="U34"/>
  <c r="J27"/>
  <c r="W27" s="1"/>
  <c r="AB25" i="37"/>
  <c r="AC33" i="40"/>
  <c r="F111"/>
  <c r="G111"/>
  <c r="H111" s="1"/>
  <c r="I111" s="1"/>
  <c r="J111" s="1"/>
  <c r="K111" s="1"/>
  <c r="L111" s="1"/>
  <c r="M111" s="1"/>
  <c r="H35"/>
  <c r="AB35" s="1"/>
  <c r="W29" i="35"/>
  <c r="G103" i="37"/>
  <c r="H103" s="1"/>
  <c r="I103" s="1"/>
  <c r="J103" s="1"/>
  <c r="K103" s="1"/>
  <c r="L103" s="1"/>
  <c r="M103" s="1"/>
  <c r="H35"/>
  <c r="U35" s="1"/>
  <c r="AC14" i="35"/>
  <c r="H20"/>
  <c r="U20" s="1"/>
  <c r="F20"/>
  <c r="AA20" s="1"/>
  <c r="AB23"/>
  <c r="AB29" i="36"/>
  <c r="U29"/>
  <c r="H32" i="37"/>
  <c r="AB32" s="1"/>
  <c r="F96"/>
  <c r="H27" i="40"/>
  <c r="U27" s="1"/>
  <c r="F96"/>
  <c r="G96" s="1"/>
  <c r="H96" s="1"/>
  <c r="I96" s="1"/>
  <c r="J96" s="1"/>
  <c r="K96" s="1"/>
  <c r="L96" s="1"/>
  <c r="M96" s="1"/>
  <c r="J27"/>
  <c r="AC27" s="1"/>
  <c r="F27"/>
  <c r="S27" s="1"/>
  <c r="J30"/>
  <c r="AC30" s="1"/>
  <c r="F30"/>
  <c r="AA30" s="1"/>
  <c r="AC21"/>
  <c r="S31" i="39"/>
  <c r="S11" i="40"/>
  <c r="E98"/>
  <c r="F98"/>
  <c r="G98" s="1"/>
  <c r="H98" s="1"/>
  <c r="I98" s="1"/>
  <c r="J98" s="1"/>
  <c r="K98" s="1"/>
  <c r="L98" s="1"/>
  <c r="M98" s="1"/>
  <c r="AZ424" i="3"/>
  <c r="AZ440"/>
  <c r="AZ448"/>
  <c r="AZ456"/>
  <c r="AZ464"/>
  <c r="AZ472"/>
  <c r="F10" i="33"/>
  <c r="S10" s="1"/>
  <c r="F34"/>
  <c r="S34" s="1"/>
  <c r="H34"/>
  <c r="U34" s="1"/>
  <c r="F35"/>
  <c r="S35" s="1"/>
  <c r="F39" i="34"/>
  <c r="S39" s="1"/>
  <c r="J39"/>
  <c r="W39" s="1"/>
  <c r="F40"/>
  <c r="S40" s="1"/>
  <c r="F43"/>
  <c r="AA43" s="1"/>
  <c r="H44"/>
  <c r="AB44" s="1"/>
  <c r="AC38" i="39"/>
  <c r="F39"/>
  <c r="S39" s="1"/>
  <c r="J39"/>
  <c r="AC39" s="1"/>
  <c r="E97"/>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F97"/>
  <c r="H27" i="36"/>
  <c r="U27" s="1"/>
  <c r="F27"/>
  <c r="AA27" s="1"/>
  <c r="H33" i="34"/>
  <c r="U33" s="1"/>
  <c r="AA39"/>
  <c r="F32" i="37"/>
  <c r="AA32" s="1"/>
  <c r="G96"/>
  <c r="H96"/>
  <c r="I96" s="1"/>
  <c r="J96" s="1"/>
  <c r="K96" s="1"/>
  <c r="L96" s="1"/>
  <c r="M96" s="1"/>
  <c r="G68" i="36"/>
  <c r="F20"/>
  <c r="AA20" s="1"/>
  <c r="J33" i="34"/>
  <c r="AC33" s="1"/>
  <c r="H23" i="39"/>
  <c r="U23" s="1"/>
  <c r="G97"/>
  <c r="D48" i="9"/>
  <c r="M52" s="1"/>
  <c r="H86" i="43"/>
  <c r="H82"/>
  <c r="H87"/>
  <c r="K9" i="1"/>
  <c r="F3" i="35"/>
  <c r="D93" i="9"/>
  <c r="J51" i="15"/>
  <c r="M29" i="84"/>
  <c r="F43"/>
  <c r="F7"/>
  <c r="H5" i="3" l="1"/>
  <c r="K8" i="1"/>
  <c r="M18" i="88"/>
  <c r="B118" s="1"/>
  <c r="M18" i="85"/>
  <c r="B118" s="1"/>
  <c r="C51" i="10"/>
  <c r="A13" i="51" s="1"/>
  <c r="B11" i="72" s="1"/>
  <c r="A118" i="88"/>
  <c r="A2"/>
  <c r="A118" i="85"/>
  <c r="A2"/>
  <c r="AA29" i="35"/>
  <c r="W22"/>
  <c r="U33"/>
  <c r="U34"/>
  <c r="F10"/>
  <c r="S10" s="1"/>
  <c r="H10"/>
  <c r="U10" s="1"/>
  <c r="AC8"/>
  <c r="AC17" i="34"/>
  <c r="S44"/>
  <c r="AA41"/>
  <c r="AC38"/>
  <c r="AC36"/>
  <c r="AA14"/>
  <c r="AC27"/>
  <c r="W27"/>
  <c r="W15"/>
  <c r="F50" i="84"/>
  <c r="C49" s="1"/>
  <c r="C48" s="1"/>
  <c r="C6"/>
  <c r="M7"/>
  <c r="C10"/>
  <c r="C5" s="1"/>
  <c r="F71"/>
  <c r="M9" i="1"/>
  <c r="O9" s="1"/>
  <c r="P9" s="1"/>
  <c r="J41" i="33"/>
  <c r="J42"/>
  <c r="AC42" s="1"/>
  <c r="W29"/>
  <c r="AA44"/>
  <c r="U43"/>
  <c r="H42"/>
  <c r="AB42" s="1"/>
  <c r="F42"/>
  <c r="AA42" s="1"/>
  <c r="S41"/>
  <c r="W39"/>
  <c r="S26"/>
  <c r="AC26"/>
  <c r="W26"/>
  <c r="AB26"/>
  <c r="W45"/>
  <c r="AC45"/>
  <c r="AB45"/>
  <c r="M20" i="15"/>
  <c r="F34" i="79"/>
  <c r="F62" s="1"/>
  <c r="M20"/>
  <c r="F34" i="78"/>
  <c r="F62" s="1"/>
  <c r="M20"/>
  <c r="I4" i="6"/>
  <c r="F28"/>
  <c r="G1" i="79"/>
  <c r="G1" i="78"/>
  <c r="AZ15" i="3"/>
  <c r="BA14"/>
  <c r="AZ14" s="1"/>
  <c r="BL14"/>
  <c r="E15" i="6"/>
  <c r="E60" i="40" s="1"/>
  <c r="E8" i="6"/>
  <c r="F27" s="1"/>
  <c r="E12"/>
  <c r="E57" i="40" s="1"/>
  <c r="G14" i="3"/>
  <c r="E13" i="6"/>
  <c r="E58" i="40" s="1"/>
  <c r="M6" i="1"/>
  <c r="E63" i="39"/>
  <c r="J51" i="67"/>
  <c r="C42" i="1"/>
  <c r="AC34" i="33"/>
  <c r="AA34"/>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AA25"/>
  <c r="U28"/>
  <c r="S17"/>
  <c r="AA29"/>
  <c r="U27"/>
  <c r="S23"/>
  <c r="U15"/>
  <c r="S10"/>
  <c r="S13"/>
  <c r="H67"/>
  <c r="H10"/>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BA13"/>
  <c r="AZ13" s="1"/>
  <c r="E10" i="6"/>
  <c r="BA5" i="3"/>
  <c r="E27" i="6" s="1"/>
  <c r="K20" s="1"/>
  <c r="S7" i="1" s="1"/>
  <c r="E11" i="6"/>
  <c r="E61" i="39" s="1"/>
  <c r="BL17" i="3"/>
  <c r="AZ17" s="1"/>
  <c r="BL13"/>
  <c r="E65" i="39"/>
  <c r="G30" i="6"/>
  <c r="G31" s="1"/>
  <c r="J56" i="9"/>
  <c r="J57" s="1"/>
  <c r="A24" i="51"/>
  <c r="B18" i="72" s="1"/>
  <c r="U29" i="34"/>
  <c r="E14" i="6"/>
  <c r="E64" i="39" s="1"/>
  <c r="E5" i="6"/>
  <c r="D9" i="11" s="1"/>
  <c r="C9" s="1"/>
  <c r="P10" i="1"/>
  <c r="E32" i="6"/>
  <c r="L19" s="1"/>
  <c r="G1" i="68"/>
  <c r="K1" i="12"/>
  <c r="E59" i="40"/>
  <c r="F31" i="6"/>
  <c r="F30"/>
  <c r="E28"/>
  <c r="G5" i="3"/>
  <c r="B3" s="1"/>
  <c r="E183" s="1"/>
  <c r="E56" i="40"/>
  <c r="E53" i="3"/>
  <c r="E125"/>
  <c r="E175"/>
  <c r="E217"/>
  <c r="E319"/>
  <c r="E366"/>
  <c r="E530"/>
  <c r="E526"/>
  <c r="E501"/>
  <c r="E553"/>
  <c r="E343"/>
  <c r="AR13" i="1"/>
  <c r="AQ13"/>
  <c r="T13"/>
  <c r="AR11"/>
  <c r="AQ11"/>
  <c r="T11"/>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C7" s="1"/>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C94" i="9"/>
  <c r="C4" i="12"/>
  <c r="C92" i="9"/>
  <c r="H62" i="43"/>
  <c r="H66"/>
  <c r="H61"/>
  <c r="H65"/>
  <c r="H60"/>
  <c r="H64"/>
  <c r="H59"/>
  <c r="H63"/>
  <c r="H67"/>
  <c r="H55"/>
  <c r="H51"/>
  <c r="H56"/>
  <c r="H76"/>
  <c r="H72"/>
  <c r="H77"/>
  <c r="E30" i="6"/>
  <c r="L20"/>
  <c r="K15" i="1"/>
  <c r="E62" i="39"/>
  <c r="E56"/>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M17" i="78"/>
  <c r="F59"/>
  <c r="F31"/>
  <c r="M17" i="79"/>
  <c r="F59"/>
  <c r="F31"/>
  <c r="F43" i="87"/>
  <c r="M29"/>
  <c r="F43" i="86"/>
  <c r="M29"/>
  <c r="F7"/>
  <c r="L48" i="78"/>
  <c r="L47"/>
  <c r="M28"/>
  <c r="J15"/>
  <c r="C76"/>
  <c r="F26"/>
  <c r="F9"/>
  <c r="F7" i="79"/>
  <c r="M27"/>
  <c r="M6"/>
  <c r="F16"/>
  <c r="F38"/>
  <c r="M24"/>
  <c r="M8"/>
  <c r="M29" i="67"/>
  <c r="L47"/>
  <c r="F43" i="15"/>
  <c r="F8"/>
  <c r="M26"/>
  <c r="F9" i="67"/>
  <c r="M8" i="15"/>
  <c r="M24" i="67"/>
  <c r="M29" i="15"/>
  <c r="M29" i="78"/>
  <c r="F42"/>
  <c r="M26"/>
  <c r="M9"/>
  <c r="F40"/>
  <c r="M23"/>
  <c r="F8"/>
  <c r="M29" i="79"/>
  <c r="M23"/>
  <c r="C76"/>
  <c r="F9"/>
  <c r="F36"/>
  <c r="M22"/>
  <c r="F6"/>
  <c r="L48" i="67"/>
  <c r="M8"/>
  <c r="M23"/>
  <c r="F40"/>
  <c r="F13"/>
  <c r="G1" i="73"/>
  <c r="M24" i="15"/>
  <c r="F9"/>
  <c r="F13"/>
  <c r="M22"/>
  <c r="M28" i="67"/>
  <c r="M9" i="15"/>
  <c r="M6" i="67"/>
  <c r="F38" i="15"/>
  <c r="M23"/>
  <c r="F42"/>
  <c r="F43" i="67"/>
  <c r="L48" i="79"/>
  <c r="F26"/>
  <c r="M26"/>
  <c r="F7" i="67"/>
  <c r="F40" i="15"/>
  <c r="M22" i="67"/>
  <c r="J15"/>
  <c r="M26"/>
  <c r="C76"/>
  <c r="F6"/>
  <c r="F16" i="15"/>
  <c r="F36" i="67"/>
  <c r="C16" i="84"/>
  <c r="F43" i="78"/>
  <c r="F38"/>
  <c r="M24"/>
  <c r="M8"/>
  <c r="F37"/>
  <c r="F16"/>
  <c r="M6"/>
  <c r="F43" i="79"/>
  <c r="F13"/>
  <c r="F40"/>
  <c r="L47"/>
  <c r="M28"/>
  <c r="J15"/>
  <c r="L47" i="15"/>
  <c r="F36"/>
  <c r="F8" i="67"/>
  <c r="F26"/>
  <c r="F6" i="15"/>
  <c r="F7"/>
  <c r="F37" i="67"/>
  <c r="F38"/>
  <c r="J15" i="15"/>
  <c r="C76"/>
  <c r="F7" i="78"/>
  <c r="F36"/>
  <c r="M22"/>
  <c r="F6"/>
  <c r="M27"/>
  <c r="F13"/>
  <c r="F37" i="79"/>
  <c r="F8"/>
  <c r="F42"/>
  <c r="M9"/>
  <c r="F37" i="15"/>
  <c r="M6"/>
  <c r="F42" i="67"/>
  <c r="F16"/>
  <c r="L48" i="15"/>
  <c r="M9" i="67"/>
  <c r="M28" i="15"/>
  <c r="F26"/>
  <c r="C17" i="86"/>
  <c r="M7" l="1"/>
  <c r="F50"/>
  <c r="C49" s="1"/>
  <c r="C48" s="1"/>
  <c r="C6"/>
  <c r="C10"/>
  <c r="F71"/>
  <c r="F71" i="87"/>
  <c r="M8" i="1"/>
  <c r="E395" i="3"/>
  <c r="E565"/>
  <c r="E563"/>
  <c r="E528"/>
  <c r="E415"/>
  <c r="E304"/>
  <c r="E278"/>
  <c r="E261"/>
  <c r="E114"/>
  <c r="E237"/>
  <c r="J6" i="84"/>
  <c r="J10"/>
  <c r="C60"/>
  <c r="C66"/>
  <c r="E302" i="3"/>
  <c r="E328"/>
  <c r="E535"/>
  <c r="AJ6"/>
  <c r="E503"/>
  <c r="E508"/>
  <c r="E550"/>
  <c r="N6"/>
  <c r="E17"/>
  <c r="E426"/>
  <c r="E445"/>
  <c r="E322"/>
  <c r="E361"/>
  <c r="E305"/>
  <c r="E260"/>
  <c r="E282"/>
  <c r="E213"/>
  <c r="E153"/>
  <c r="E172"/>
  <c r="E268"/>
  <c r="E69"/>
  <c r="C33" i="33"/>
  <c r="C34" i="34" s="1"/>
  <c r="C38" i="84"/>
  <c r="C32"/>
  <c r="G3" i="43"/>
  <c r="C23" s="1"/>
  <c r="C21" s="1"/>
  <c r="C11" i="33"/>
  <c r="W41"/>
  <c r="AC41"/>
  <c r="F28" i="15"/>
  <c r="F32" i="79"/>
  <c r="F60" s="1"/>
  <c r="F28"/>
  <c r="M18"/>
  <c r="F32" i="78"/>
  <c r="F60" s="1"/>
  <c r="F28"/>
  <c r="M18"/>
  <c r="C6" i="79"/>
  <c r="C5" s="1"/>
  <c r="C38" s="1"/>
  <c r="F64"/>
  <c r="F66"/>
  <c r="F70"/>
  <c r="L59"/>
  <c r="L58"/>
  <c r="Q60" s="1"/>
  <c r="C27"/>
  <c r="F68"/>
  <c r="Q71"/>
  <c r="F51"/>
  <c r="F65"/>
  <c r="F71"/>
  <c r="F50"/>
  <c r="M7"/>
  <c r="J6" s="1"/>
  <c r="J5" s="1"/>
  <c r="J24" s="1"/>
  <c r="J53"/>
  <c r="F1" s="1"/>
  <c r="L56"/>
  <c r="J57"/>
  <c r="J55" s="1"/>
  <c r="J58" s="1"/>
  <c r="Q50" s="1"/>
  <c r="K53"/>
  <c r="F51" i="78"/>
  <c r="C27"/>
  <c r="F65"/>
  <c r="F68"/>
  <c r="Q71"/>
  <c r="C6"/>
  <c r="C5" s="1"/>
  <c r="C38" s="1"/>
  <c r="F64"/>
  <c r="F66"/>
  <c r="F70"/>
  <c r="L59"/>
  <c r="L58"/>
  <c r="Q73" s="1"/>
  <c r="M7"/>
  <c r="J6" s="1"/>
  <c r="J5" s="1"/>
  <c r="J26" s="1"/>
  <c r="F50"/>
  <c r="C49" s="1"/>
  <c r="C48" s="1"/>
  <c r="F71"/>
  <c r="L56"/>
  <c r="J57"/>
  <c r="J55" s="1"/>
  <c r="J58" s="1"/>
  <c r="Q50" s="1"/>
  <c r="K53"/>
  <c r="J53"/>
  <c r="F1" s="1"/>
  <c r="D9" i="69"/>
  <c r="C9" s="1"/>
  <c r="D9" i="68"/>
  <c r="C9" s="1"/>
  <c r="E16" i="6"/>
  <c r="D19" i="12"/>
  <c r="C19" s="1"/>
  <c r="E66" i="39"/>
  <c r="J24" i="78"/>
  <c r="C28" i="79"/>
  <c r="C28" i="78"/>
  <c r="C28" i="15"/>
  <c r="C24" i="12"/>
  <c r="C30" i="69"/>
  <c r="C48" i="68"/>
  <c r="C77" i="9"/>
  <c r="C74" s="1"/>
  <c r="C28" i="67"/>
  <c r="C31" i="12"/>
  <c r="C48" i="69"/>
  <c r="C30" i="68"/>
  <c r="E4" i="4"/>
  <c r="K4" s="1"/>
  <c r="B46" i="48" s="1"/>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B64" i="72" s="1"/>
  <c r="S6" i="43"/>
  <c r="S4"/>
  <c r="S7"/>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K19"/>
  <c r="S6" i="1" s="1"/>
  <c r="K25" i="6"/>
  <c r="M25" s="1"/>
  <c r="I25" s="1"/>
  <c r="S25" s="1"/>
  <c r="K23"/>
  <c r="M23" s="1"/>
  <c r="I23" s="1"/>
  <c r="S23" s="1"/>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B40" i="1"/>
  <c r="F24" i="87" s="1"/>
  <c r="O19" i="43"/>
  <c r="K53" i="15"/>
  <c r="J53"/>
  <c r="P22" i="43"/>
  <c r="P2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C10" i="15"/>
  <c r="L27" i="6"/>
  <c r="S24"/>
  <c r="M20"/>
  <c r="I20" s="1"/>
  <c r="L18" i="85" s="1"/>
  <c r="G16" i="1"/>
  <c r="H10" i="40" s="1"/>
  <c r="U10" s="1"/>
  <c r="C27" i="67"/>
  <c r="L56"/>
  <c r="J57"/>
  <c r="J55" s="1"/>
  <c r="J58" s="1"/>
  <c r="Q50" s="1"/>
  <c r="J53"/>
  <c r="K53"/>
  <c r="F70"/>
  <c r="F51"/>
  <c r="F68"/>
  <c r="L59"/>
  <c r="L58"/>
  <c r="F71"/>
  <c r="F66"/>
  <c r="F50"/>
  <c r="M7"/>
  <c r="Q71"/>
  <c r="F64"/>
  <c r="C6"/>
  <c r="F65"/>
  <c r="F71" i="15"/>
  <c r="L59"/>
  <c r="Q74" s="1"/>
  <c r="L58"/>
  <c r="Q73" s="1"/>
  <c r="C27"/>
  <c r="Q71"/>
  <c r="F64"/>
  <c r="F51"/>
  <c r="F65"/>
  <c r="J57"/>
  <c r="J55" s="1"/>
  <c r="J58" s="1"/>
  <c r="Q50" s="1"/>
  <c r="L56"/>
  <c r="F68"/>
  <c r="M7"/>
  <c r="F50"/>
  <c r="F66"/>
  <c r="C6"/>
  <c r="C10" i="67"/>
  <c r="AP7" i="1"/>
  <c r="C36" i="69" s="1"/>
  <c r="M7" i="1"/>
  <c r="Q16"/>
  <c r="F27" i="69" s="1"/>
  <c r="H16" i="1"/>
  <c r="AB45" i="21"/>
  <c r="AC33"/>
  <c r="W33"/>
  <c r="S33"/>
  <c r="AA33"/>
  <c r="W32"/>
  <c r="AC32"/>
  <c r="AB9"/>
  <c r="U9"/>
  <c r="AA32"/>
  <c r="S32"/>
  <c r="W9"/>
  <c r="AC9"/>
  <c r="AB32"/>
  <c r="U32"/>
  <c r="AA10"/>
  <c r="S10"/>
  <c r="F31" i="15"/>
  <c r="F31" i="67"/>
  <c r="F59"/>
  <c r="M17" i="15"/>
  <c r="F59"/>
  <c r="M17" i="67"/>
  <c r="C16" i="86"/>
  <c r="C14"/>
  <c r="C16" i="87"/>
  <c r="C16" i="78"/>
  <c r="C17"/>
  <c r="C17" i="84"/>
  <c r="C17" i="79"/>
  <c r="C16" i="15"/>
  <c r="C16" i="67"/>
  <c r="C14" i="79"/>
  <c r="C14" i="78"/>
  <c r="C16" i="79"/>
  <c r="C5" i="86" l="1"/>
  <c r="C32" s="1"/>
  <c r="C18"/>
  <c r="C15"/>
  <c r="H34" i="34"/>
  <c r="J34"/>
  <c r="F34"/>
  <c r="J6" i="86"/>
  <c r="J10"/>
  <c r="K16" i="1"/>
  <c r="M19" i="6"/>
  <c r="S3" i="43"/>
  <c r="O7" i="1"/>
  <c r="C38" i="86"/>
  <c r="C60"/>
  <c r="C66"/>
  <c r="B4" i="72"/>
  <c r="B71"/>
  <c r="C24" i="87"/>
  <c r="F24" i="84"/>
  <c r="F24" i="86"/>
  <c r="Q52" i="79"/>
  <c r="J18" i="78"/>
  <c r="Q73" i="79"/>
  <c r="J5" i="84"/>
  <c r="J24" s="1"/>
  <c r="E6" i="70"/>
  <c r="J33" i="33"/>
  <c r="F33"/>
  <c r="H33"/>
  <c r="E22" i="43"/>
  <c r="C101"/>
  <c r="N104" i="46"/>
  <c r="K101" i="43"/>
  <c r="N101"/>
  <c r="L101"/>
  <c r="D101"/>
  <c r="I101"/>
  <c r="G22"/>
  <c r="AH11"/>
  <c r="AH13" s="1"/>
  <c r="AD11"/>
  <c r="AD13" s="1"/>
  <c r="Z11"/>
  <c r="Z13" s="1"/>
  <c r="S5"/>
  <c r="AG11"/>
  <c r="AG13" s="1"/>
  <c r="AC11"/>
  <c r="AC13" s="1"/>
  <c r="Y11"/>
  <c r="Y13" s="1"/>
  <c r="F22"/>
  <c r="G101"/>
  <c r="J101"/>
  <c r="B113"/>
  <c r="F101"/>
  <c r="H22"/>
  <c r="H101"/>
  <c r="M101"/>
  <c r="E101"/>
  <c r="AJ11"/>
  <c r="AJ13" s="1"/>
  <c r="AF11"/>
  <c r="AF13" s="1"/>
  <c r="AB11"/>
  <c r="AB13" s="1"/>
  <c r="Z7"/>
  <c r="AI11"/>
  <c r="AI13" s="1"/>
  <c r="AE11"/>
  <c r="AE13" s="1"/>
  <c r="AA11"/>
  <c r="AA13" s="1"/>
  <c r="C11" i="34"/>
  <c r="F11" i="33"/>
  <c r="H11"/>
  <c r="J11"/>
  <c r="C24" i="84"/>
  <c r="C32" i="78"/>
  <c r="Q52"/>
  <c r="J26" i="79"/>
  <c r="J18"/>
  <c r="C49"/>
  <c r="C48" s="1"/>
  <c r="C66" s="1"/>
  <c r="M22" i="6"/>
  <c r="I22" s="1"/>
  <c r="S22" s="1"/>
  <c r="S9" i="1"/>
  <c r="AR6"/>
  <c r="K27" i="6"/>
  <c r="C66" i="78"/>
  <c r="Q60"/>
  <c r="C32" i="79"/>
  <c r="C60" i="78"/>
  <c r="M21" i="6"/>
  <c r="I21" s="1"/>
  <c r="S8" i="1"/>
  <c r="Q74" i="79"/>
  <c r="Q61"/>
  <c r="Q74" i="78"/>
  <c r="Q61"/>
  <c r="B14" i="74"/>
  <c r="B1" s="1"/>
  <c r="D3" i="33"/>
  <c r="D3" i="34"/>
  <c r="D3" i="21"/>
  <c r="C18" i="78"/>
  <c r="C15"/>
  <c r="C15" i="79"/>
  <c r="C18"/>
  <c r="AQ6" i="1"/>
  <c r="C33" i="43"/>
  <c r="C34"/>
  <c r="C36"/>
  <c r="C35"/>
  <c r="B5" i="62"/>
  <c r="F24" i="78"/>
  <c r="F24" i="79"/>
  <c r="C24" i="78"/>
  <c r="U32" i="39"/>
  <c r="AB32"/>
  <c r="AC32"/>
  <c r="W32"/>
  <c r="W19" i="37"/>
  <c r="AC19"/>
  <c r="W23"/>
  <c r="AC23"/>
  <c r="AB11"/>
  <c r="U11"/>
  <c r="H63"/>
  <c r="I63" s="1"/>
  <c r="J63" s="1"/>
  <c r="K63" s="1"/>
  <c r="L63" s="1"/>
  <c r="M63" s="1"/>
  <c r="J11"/>
  <c r="W10"/>
  <c r="AC10"/>
  <c r="AC10" i="34"/>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8"/>
  <c r="V8" s="1"/>
  <c r="T15"/>
  <c r="V15" s="1"/>
  <c r="T13"/>
  <c r="V13" s="1"/>
  <c r="T10"/>
  <c r="V10" s="1"/>
  <c r="T5"/>
  <c r="V5" s="1"/>
  <c r="T6"/>
  <c r="V6" s="1"/>
  <c r="T4"/>
  <c r="V4" s="1"/>
  <c r="F1" i="15"/>
  <c r="Q52"/>
  <c r="C39" i="43"/>
  <c r="E39" s="1"/>
  <c r="G33"/>
  <c r="I33"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3" i="15"/>
  <c r="J10" i="67"/>
  <c r="C53"/>
  <c r="C5"/>
  <c r="C32" s="1"/>
  <c r="F10" i="40"/>
  <c r="AA10" s="1"/>
  <c r="S20" i="6"/>
  <c r="I19"/>
  <c r="L18" i="9" s="1"/>
  <c r="M27" i="6"/>
  <c r="H10" i="39"/>
  <c r="J10"/>
  <c r="Q61" i="15"/>
  <c r="C49"/>
  <c r="Q60"/>
  <c r="M16" i="1"/>
  <c r="N16" s="1"/>
  <c r="Q60" i="67"/>
  <c r="Q73"/>
  <c r="F27" i="11"/>
  <c r="Q61" i="67"/>
  <c r="Q74"/>
  <c r="C49"/>
  <c r="F1"/>
  <c r="Q52"/>
  <c r="C17" i="87"/>
  <c r="C17" i="15"/>
  <c r="AE9" i="1"/>
  <c r="C14" i="84"/>
  <c r="C19" i="86" l="1"/>
  <c r="C20" s="1"/>
  <c r="C26" s="1"/>
  <c r="J5"/>
  <c r="J24" s="1"/>
  <c r="S21" i="6"/>
  <c r="L18" i="88"/>
  <c r="AC34" i="34"/>
  <c r="W34"/>
  <c r="AA34"/>
  <c r="S34"/>
  <c r="AB34"/>
  <c r="U34"/>
  <c r="B73" i="72"/>
  <c r="C24" i="86"/>
  <c r="C23"/>
  <c r="J18" i="84"/>
  <c r="C15"/>
  <c r="C18"/>
  <c r="E9" i="70"/>
  <c r="AA33" i="33"/>
  <c r="S33"/>
  <c r="AB33"/>
  <c r="U33"/>
  <c r="AC33"/>
  <c r="W33"/>
  <c r="AB11"/>
  <c r="U11"/>
  <c r="F11" i="34"/>
  <c r="H11"/>
  <c r="E104" i="43"/>
  <c r="E107"/>
  <c r="E105"/>
  <c r="E109"/>
  <c r="E102"/>
  <c r="E106"/>
  <c r="E103"/>
  <c r="H107"/>
  <c r="H106"/>
  <c r="H105"/>
  <c r="H102"/>
  <c r="H103"/>
  <c r="H104"/>
  <c r="H109"/>
  <c r="F104"/>
  <c r="F107"/>
  <c r="F106"/>
  <c r="F103"/>
  <c r="F109"/>
  <c r="F102"/>
  <c r="F105"/>
  <c r="J104"/>
  <c r="J103"/>
  <c r="J106"/>
  <c r="J105"/>
  <c r="J107"/>
  <c r="J102"/>
  <c r="J109"/>
  <c r="D109"/>
  <c r="D103"/>
  <c r="D104"/>
  <c r="D107"/>
  <c r="D105"/>
  <c r="D106"/>
  <c r="D102"/>
  <c r="N102"/>
  <c r="N105"/>
  <c r="N104"/>
  <c r="N109"/>
  <c r="N106"/>
  <c r="N107"/>
  <c r="N103"/>
  <c r="D22"/>
  <c r="W11" i="33"/>
  <c r="AC11"/>
  <c r="AA11"/>
  <c r="S11"/>
  <c r="M109" i="43"/>
  <c r="M104"/>
  <c r="M107"/>
  <c r="M105"/>
  <c r="M102"/>
  <c r="M106"/>
  <c r="M103"/>
  <c r="B115"/>
  <c r="I115"/>
  <c r="J115" s="1"/>
  <c r="K115" s="1"/>
  <c r="L115" s="1"/>
  <c r="M115" s="1"/>
  <c r="I118"/>
  <c r="J118" s="1"/>
  <c r="K118" s="1"/>
  <c r="L118" s="1"/>
  <c r="M118" s="1"/>
  <c r="D118"/>
  <c r="E118" s="1"/>
  <c r="F118" s="1"/>
  <c r="B116"/>
  <c r="C116" s="1"/>
  <c r="I117"/>
  <c r="J117" s="1"/>
  <c r="K117" s="1"/>
  <c r="L117" s="1"/>
  <c r="M117" s="1"/>
  <c r="I116"/>
  <c r="J116" s="1"/>
  <c r="K116" s="1"/>
  <c r="L116" s="1"/>
  <c r="M116" s="1"/>
  <c r="D117"/>
  <c r="E117" s="1"/>
  <c r="F117" s="1"/>
  <c r="G117" s="1"/>
  <c r="H117" s="1"/>
  <c r="D116"/>
  <c r="E116" s="1"/>
  <c r="F116" s="1"/>
  <c r="G116" s="1"/>
  <c r="H116" s="1"/>
  <c r="G118"/>
  <c r="H118" s="1"/>
  <c r="B118"/>
  <c r="C118" s="1"/>
  <c r="B117"/>
  <c r="C117" s="1"/>
  <c r="D115"/>
  <c r="E115" s="1"/>
  <c r="F115" s="1"/>
  <c r="G115" s="1"/>
  <c r="H115" s="1"/>
  <c r="G105"/>
  <c r="G103"/>
  <c r="G106"/>
  <c r="G102"/>
  <c r="G107"/>
  <c r="G104"/>
  <c r="G109"/>
  <c r="I109"/>
  <c r="I102"/>
  <c r="I106"/>
  <c r="I103"/>
  <c r="I104"/>
  <c r="I107"/>
  <c r="I105"/>
  <c r="L109"/>
  <c r="L102"/>
  <c r="L105"/>
  <c r="L104"/>
  <c r="L106"/>
  <c r="L107"/>
  <c r="L103"/>
  <c r="K103"/>
  <c r="K106"/>
  <c r="K105"/>
  <c r="K107"/>
  <c r="K102"/>
  <c r="K109"/>
  <c r="K104"/>
  <c r="C104"/>
  <c r="C103"/>
  <c r="C107"/>
  <c r="C102"/>
  <c r="S2" s="1"/>
  <c r="T2" s="1"/>
  <c r="V2" s="1"/>
  <c r="C109"/>
  <c r="C106"/>
  <c r="C105"/>
  <c r="AG9" i="1"/>
  <c r="C60" i="79"/>
  <c r="AQ9" i="1"/>
  <c r="AR9"/>
  <c r="T9"/>
  <c r="AQ8"/>
  <c r="AR8"/>
  <c r="T8"/>
  <c r="C19" i="79"/>
  <c r="C20" s="1"/>
  <c r="C26" s="1"/>
  <c r="C19" i="78"/>
  <c r="C20" s="1"/>
  <c r="C26" s="1"/>
  <c r="C24" i="79"/>
  <c r="E37" i="43"/>
  <c r="AA7" i="36"/>
  <c r="R36" s="1"/>
  <c r="E36" s="1"/>
  <c r="E40" s="1"/>
  <c r="F40" s="1"/>
  <c r="AC11" i="37"/>
  <c r="W11"/>
  <c r="AB7"/>
  <c r="T42" s="1"/>
  <c r="G42" s="1"/>
  <c r="G46" s="1"/>
  <c r="H46" s="1"/>
  <c r="W11" i="34"/>
  <c r="AC11"/>
  <c r="J5" i="67"/>
  <c r="J5" i="15"/>
  <c r="H20" i="6"/>
  <c r="C14" i="74"/>
  <c r="B2" s="1"/>
  <c r="AB7" i="36"/>
  <c r="T36" s="1"/>
  <c r="C23" i="68"/>
  <c r="C38" i="15"/>
  <c r="E38" i="43"/>
  <c r="E6" i="3"/>
  <c r="C47" i="68"/>
  <c r="D45" s="1"/>
  <c r="AA10" i="39"/>
  <c r="D10" i="68"/>
  <c r="D10" i="11"/>
  <c r="C10" s="1"/>
  <c r="D20" i="12"/>
  <c r="C20" s="1"/>
  <c r="C18" s="1"/>
  <c r="D19" i="6"/>
  <c r="M19" i="9" s="1"/>
  <c r="C118"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AA7"/>
  <c r="F63" i="40"/>
  <c r="E65"/>
  <c r="E70" i="39"/>
  <c r="F70"/>
  <c r="S10" i="40"/>
  <c r="C38" i="67"/>
  <c r="H19" i="6"/>
  <c r="L19" i="9" s="1"/>
  <c r="S19" i="6"/>
  <c r="S27" s="1"/>
  <c r="I27"/>
  <c r="W10" i="39"/>
  <c r="AC10"/>
  <c r="U10"/>
  <c r="AB10"/>
  <c r="F50" i="11"/>
  <c r="F50" i="69"/>
  <c r="F50" i="68"/>
  <c r="C47" i="11"/>
  <c r="D45" s="1"/>
  <c r="C29"/>
  <c r="D27" s="1"/>
  <c r="C28"/>
  <c r="C27" s="1"/>
  <c r="L16" i="1"/>
  <c r="C14" i="87"/>
  <c r="M27" i="84"/>
  <c r="J18" i="86" l="1"/>
  <c r="J26"/>
  <c r="C18" i="87"/>
  <c r="C15"/>
  <c r="R20" i="6"/>
  <c r="R7" i="1" s="1"/>
  <c r="L19" i="85"/>
  <c r="M19"/>
  <c r="C118" s="1"/>
  <c r="L19" i="88"/>
  <c r="M19"/>
  <c r="C118" s="1"/>
  <c r="C29" i="86"/>
  <c r="C57" s="1"/>
  <c r="V49" i="34"/>
  <c r="I49" s="1"/>
  <c r="I53" s="1"/>
  <c r="J53" s="1"/>
  <c r="C19" i="84"/>
  <c r="C20" s="1"/>
  <c r="C23" s="1"/>
  <c r="R25" i="6"/>
  <c r="C115" i="43"/>
  <c r="D113"/>
  <c r="J22" s="1"/>
  <c r="S11" i="34"/>
  <c r="AA11"/>
  <c r="R49" s="1"/>
  <c r="AB11"/>
  <c r="U11"/>
  <c r="C34" i="11"/>
  <c r="C36"/>
  <c r="C23" i="79"/>
  <c r="C29" s="1"/>
  <c r="Q49" s="1"/>
  <c r="C23" i="78"/>
  <c r="C29" s="1"/>
  <c r="C57" s="1"/>
  <c r="C61" s="1"/>
  <c r="J24" i="67"/>
  <c r="J18"/>
  <c r="J24" i="15"/>
  <c r="J18"/>
  <c r="G36" i="36"/>
  <c r="R37"/>
  <c r="AB7" i="34"/>
  <c r="W7" i="21"/>
  <c r="AA7"/>
  <c r="R48" s="1"/>
  <c r="E48" s="1"/>
  <c r="E52" s="1"/>
  <c r="F52" s="1"/>
  <c r="R26" i="6"/>
  <c r="R23"/>
  <c r="R24"/>
  <c r="R21"/>
  <c r="R8" i="1" s="1"/>
  <c r="R22" i="6"/>
  <c r="R9" i="1" s="1"/>
  <c r="D30" i="6"/>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G70" i="39"/>
  <c r="H27" i="6"/>
  <c r="R19"/>
  <c r="C35" i="11"/>
  <c r="C38"/>
  <c r="C14" i="12"/>
  <c r="C23"/>
  <c r="M21" i="87"/>
  <c r="E6" i="76"/>
  <c r="F35" i="87"/>
  <c r="C19" l="1"/>
  <c r="C20" s="1"/>
  <c r="C26" s="1"/>
  <c r="C34"/>
  <c r="F63"/>
  <c r="C62" s="1"/>
  <c r="J20"/>
  <c r="J59" i="86"/>
  <c r="J60" s="1"/>
  <c r="Q48" s="1"/>
  <c r="C33"/>
  <c r="J14"/>
  <c r="J22" s="1"/>
  <c r="Q49"/>
  <c r="C13"/>
  <c r="C75" s="1"/>
  <c r="J19"/>
  <c r="C36"/>
  <c r="C64"/>
  <c r="C61"/>
  <c r="C26" i="84"/>
  <c r="C29" s="1"/>
  <c r="E49" i="34"/>
  <c r="I54" s="1"/>
  <c r="J54" s="1"/>
  <c r="T49"/>
  <c r="G49" s="1"/>
  <c r="G53" s="1"/>
  <c r="H53" s="1"/>
  <c r="J14" i="78"/>
  <c r="J22" s="1"/>
  <c r="C64"/>
  <c r="C36"/>
  <c r="D31" i="6"/>
  <c r="I6" s="1"/>
  <c r="J19" i="78"/>
  <c r="C13"/>
  <c r="C75" s="1"/>
  <c r="Q49"/>
  <c r="C33"/>
  <c r="J59"/>
  <c r="J60" s="1"/>
  <c r="L46" s="1"/>
  <c r="C57" i="79"/>
  <c r="C64" s="1"/>
  <c r="J19"/>
  <c r="C13"/>
  <c r="C75" s="1"/>
  <c r="C36"/>
  <c r="J59"/>
  <c r="J60" s="1"/>
  <c r="L46" s="1"/>
  <c r="J14"/>
  <c r="J22" s="1"/>
  <c r="C33"/>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G52" i="21"/>
  <c r="H52" s="1"/>
  <c r="G53"/>
  <c r="H53" s="1"/>
  <c r="E53"/>
  <c r="F53" s="1"/>
  <c r="H63" i="40"/>
  <c r="G65"/>
  <c r="H70" i="39"/>
  <c r="C33" i="11"/>
  <c r="C42" s="1"/>
  <c r="B6" i="76"/>
  <c r="M21" i="86"/>
  <c r="M21" i="78"/>
  <c r="F35"/>
  <c r="M21" i="84"/>
  <c r="F35" i="79"/>
  <c r="M21"/>
  <c r="F35" i="86"/>
  <c r="F35" i="84"/>
  <c r="F35" i="67"/>
  <c r="F35" i="15"/>
  <c r="M21" i="67"/>
  <c r="M21" i="15"/>
  <c r="I5" i="6" l="1"/>
  <c r="C23" i="87"/>
  <c r="C29" s="1"/>
  <c r="C57" s="1"/>
  <c r="J13" i="86"/>
  <c r="J23" s="1"/>
  <c r="L46"/>
  <c r="C37"/>
  <c r="C56"/>
  <c r="C65" s="1"/>
  <c r="Q70"/>
  <c r="J20"/>
  <c r="J17" s="1"/>
  <c r="F63"/>
  <c r="C62" s="1"/>
  <c r="C59" s="1"/>
  <c r="C34"/>
  <c r="C31" s="1"/>
  <c r="R50" i="34"/>
  <c r="C49" s="1"/>
  <c r="E54"/>
  <c r="F54" s="1"/>
  <c r="E53"/>
  <c r="F53" s="1"/>
  <c r="C57" i="84"/>
  <c r="C36"/>
  <c r="J19"/>
  <c r="C13"/>
  <c r="Q49"/>
  <c r="C33"/>
  <c r="J14"/>
  <c r="J59"/>
  <c r="J60" s="1"/>
  <c r="F63"/>
  <c r="C62" s="1"/>
  <c r="C34"/>
  <c r="C31" s="1"/>
  <c r="J20"/>
  <c r="J17" s="1"/>
  <c r="J13" i="78"/>
  <c r="J23" s="1"/>
  <c r="Q48"/>
  <c r="C61" i="79"/>
  <c r="C37" i="78"/>
  <c r="C56"/>
  <c r="C65" s="1"/>
  <c r="Q70"/>
  <c r="J13" i="79"/>
  <c r="J23" s="1"/>
  <c r="C37"/>
  <c r="Q48"/>
  <c r="Q70"/>
  <c r="C56"/>
  <c r="C65" s="1"/>
  <c r="J20"/>
  <c r="J17" s="1"/>
  <c r="F63"/>
  <c r="C62" s="1"/>
  <c r="C59" s="1"/>
  <c r="C58" s="1"/>
  <c r="C67" s="1"/>
  <c r="C34"/>
  <c r="C31" s="1"/>
  <c r="C30" s="1"/>
  <c r="C39" s="1"/>
  <c r="C80" s="1"/>
  <c r="C79" s="1"/>
  <c r="J20" i="78"/>
  <c r="J17" s="1"/>
  <c r="J16" s="1"/>
  <c r="J25" s="1"/>
  <c r="F63"/>
  <c r="C62" s="1"/>
  <c r="C59" s="1"/>
  <c r="C34"/>
  <c r="C31" s="1"/>
  <c r="B2" i="76"/>
  <c r="B3" s="1"/>
  <c r="B3" i="43"/>
  <c r="C49" i="21"/>
  <c r="F63" i="67"/>
  <c r="C62" s="1"/>
  <c r="C34"/>
  <c r="J20"/>
  <c r="C24" i="68"/>
  <c r="C20"/>
  <c r="C28" s="1"/>
  <c r="C27" s="1"/>
  <c r="J20" i="15"/>
  <c r="F63"/>
  <c r="C62" s="1"/>
  <c r="C34"/>
  <c r="R16" i="1"/>
  <c r="C22" i="12"/>
  <c r="C30" s="1"/>
  <c r="C28" s="1"/>
  <c r="C33" i="68"/>
  <c r="I63" i="40"/>
  <c r="H65"/>
  <c r="C39" i="11"/>
  <c r="C43" s="1"/>
  <c r="C41" s="1"/>
  <c r="I70" i="39"/>
  <c r="L51" i="79"/>
  <c r="C13" i="87" l="1"/>
  <c r="C56" s="1"/>
  <c r="C65" s="1"/>
  <c r="J59"/>
  <c r="J60" s="1"/>
  <c r="Q48" s="1"/>
  <c r="C36"/>
  <c r="J14"/>
  <c r="J22" s="1"/>
  <c r="J19"/>
  <c r="J17" s="1"/>
  <c r="C33"/>
  <c r="C31" s="1"/>
  <c r="Q49"/>
  <c r="L46"/>
  <c r="C64"/>
  <c r="C61"/>
  <c r="C59" s="1"/>
  <c r="J16" i="86"/>
  <c r="J25" s="1"/>
  <c r="C58"/>
  <c r="C67" s="1"/>
  <c r="C30"/>
  <c r="C39" s="1"/>
  <c r="Q69" s="1"/>
  <c r="Q68" s="1"/>
  <c r="C50" i="34"/>
  <c r="J22" i="84"/>
  <c r="J13"/>
  <c r="J23" s="1"/>
  <c r="C64"/>
  <c r="C61"/>
  <c r="C59" s="1"/>
  <c r="Q48"/>
  <c r="L46"/>
  <c r="C75"/>
  <c r="Q70"/>
  <c r="C56"/>
  <c r="C65" s="1"/>
  <c r="C37"/>
  <c r="C30" s="1"/>
  <c r="C39" s="1"/>
  <c r="C30" i="78"/>
  <c r="C39" s="1"/>
  <c r="C80" s="1"/>
  <c r="C79" s="1"/>
  <c r="C58"/>
  <c r="C67" s="1"/>
  <c r="J16" i="79"/>
  <c r="J25" s="1"/>
  <c r="Q67"/>
  <c r="L57"/>
  <c r="L60" s="1"/>
  <c r="Q69"/>
  <c r="Q68" s="1"/>
  <c r="Q69" i="78"/>
  <c r="Q68" s="1"/>
  <c r="C25" i="68"/>
  <c r="C22" s="1"/>
  <c r="C31" s="1"/>
  <c r="C27" i="12"/>
  <c r="C25" s="1"/>
  <c r="C32" s="1"/>
  <c r="B2" s="1"/>
  <c r="B3" s="1"/>
  <c r="C39" i="68"/>
  <c r="C43" s="1"/>
  <c r="C42"/>
  <c r="J63" i="40"/>
  <c r="I65"/>
  <c r="C46" i="11"/>
  <c r="C45" s="1"/>
  <c r="C49" s="1"/>
  <c r="C51" s="1"/>
  <c r="C52" s="1"/>
  <c r="B2" s="1"/>
  <c r="B3" s="1"/>
  <c r="J70" i="39"/>
  <c r="L51" i="86"/>
  <c r="L51" i="78"/>
  <c r="L51" i="84"/>
  <c r="J13" i="87" l="1"/>
  <c r="J23" s="1"/>
  <c r="C75"/>
  <c r="Q70"/>
  <c r="C37"/>
  <c r="C30" s="1"/>
  <c r="C39" s="1"/>
  <c r="C58"/>
  <c r="C67" s="1"/>
  <c r="J16"/>
  <c r="J25" s="1"/>
  <c r="Q67" i="86"/>
  <c r="C80"/>
  <c r="C79" s="1"/>
  <c r="J16" i="84"/>
  <c r="J25" s="1"/>
  <c r="J26" s="1"/>
  <c r="Q67"/>
  <c r="Q69"/>
  <c r="Q68" s="1"/>
  <c r="C80"/>
  <c r="C79" s="1"/>
  <c r="C58"/>
  <c r="C67" s="1"/>
  <c r="L57" i="78"/>
  <c r="L60" s="1"/>
  <c r="Q57" s="1"/>
  <c r="Q67"/>
  <c r="Q66" i="79"/>
  <c r="Q57"/>
  <c r="C41" i="68"/>
  <c r="C46"/>
  <c r="C45" s="1"/>
  <c r="K63" i="40"/>
  <c r="J65"/>
  <c r="K70" i="39"/>
  <c r="C56" i="11"/>
  <c r="C57" s="1"/>
  <c r="L51" i="87"/>
  <c r="Q67" l="1"/>
  <c r="C80"/>
  <c r="C79" s="1"/>
  <c r="Q69"/>
  <c r="Q68" s="1"/>
  <c r="Q66" i="78"/>
  <c r="C49" i="68"/>
  <c r="C51" s="1"/>
  <c r="C52" s="1"/>
  <c r="C57" s="1"/>
  <c r="C56" s="1"/>
  <c r="L63" i="40"/>
  <c r="K65"/>
  <c r="L70" i="39"/>
  <c r="E2" i="70"/>
  <c r="L26" i="9" s="1"/>
  <c r="L29" s="1"/>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C14" i="15"/>
  <c r="L51" i="67"/>
  <c r="AE7" i="1"/>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F41" i="79"/>
  <c r="L51" i="15"/>
  <c r="AE8" i="1"/>
  <c r="F41" i="87" s="1"/>
  <c r="AE6" i="1"/>
  <c r="F41" i="78"/>
  <c r="J29" i="87" l="1"/>
  <c r="F69"/>
  <c r="C68" s="1"/>
  <c r="C40"/>
  <c r="F69" i="79"/>
  <c r="C68" s="1"/>
  <c r="J29"/>
  <c r="C40"/>
  <c r="F69" i="78"/>
  <c r="C68" s="1"/>
  <c r="J29"/>
  <c r="C40"/>
  <c r="C66" i="15"/>
  <c r="C60"/>
  <c r="C59" s="1"/>
  <c r="AG6" i="1"/>
  <c r="C80" i="15"/>
  <c r="C79" s="1"/>
  <c r="C65"/>
  <c r="Q68"/>
  <c r="L57"/>
  <c r="L60" s="1"/>
  <c r="Q67"/>
  <c r="F41"/>
  <c r="M27"/>
  <c r="F41" i="86"/>
  <c r="M27" i="67"/>
  <c r="F41" i="84"/>
  <c r="F41" i="67"/>
  <c r="J29" i="86" l="1"/>
  <c r="F69"/>
  <c r="C68" s="1"/>
  <c r="C40"/>
  <c r="Q65" s="1"/>
  <c r="Q75" s="1"/>
  <c r="Q56" i="87"/>
  <c r="Q62" s="1"/>
  <c r="C43"/>
  <c r="C83"/>
  <c r="C82" s="1"/>
  <c r="Q65"/>
  <c r="Q75" s="1"/>
  <c r="Q47"/>
  <c r="Q53" s="1"/>
  <c r="B2"/>
  <c r="B3" s="1"/>
  <c r="C46"/>
  <c r="C71"/>
  <c r="C71" i="86"/>
  <c r="F69" i="84"/>
  <c r="C68" s="1"/>
  <c r="C71" s="1"/>
  <c r="J29"/>
  <c r="C40"/>
  <c r="Q65" i="79"/>
  <c r="Q75" s="1"/>
  <c r="Q56"/>
  <c r="Q62" s="1"/>
  <c r="Q47"/>
  <c r="Q53" s="1"/>
  <c r="C43"/>
  <c r="D2"/>
  <c r="C83"/>
  <c r="C82" s="1"/>
  <c r="C71"/>
  <c r="C45"/>
  <c r="C46" s="1"/>
  <c r="Q65" i="78"/>
  <c r="Q75" s="1"/>
  <c r="Q56"/>
  <c r="Q62" s="1"/>
  <c r="Q47"/>
  <c r="Q53" s="1"/>
  <c r="C43"/>
  <c r="D2"/>
  <c r="C83"/>
  <c r="C82" s="1"/>
  <c r="C71"/>
  <c r="C45"/>
  <c r="C46" s="1"/>
  <c r="J26" i="15"/>
  <c r="J29" s="1"/>
  <c r="J26" i="67"/>
  <c r="J29" s="1"/>
  <c r="C58" i="15"/>
  <c r="C67" s="1"/>
  <c r="F69"/>
  <c r="C40"/>
  <c r="C43" s="1"/>
  <c r="L46"/>
  <c r="Q57"/>
  <c r="Q66"/>
  <c r="F69" i="67"/>
  <c r="C68" s="1"/>
  <c r="C71" s="1"/>
  <c r="C40"/>
  <c r="C83" s="1"/>
  <c r="C82" s="1"/>
  <c r="C19" i="88"/>
  <c r="C83" i="86" l="1"/>
  <c r="C82" s="1"/>
  <c r="C43"/>
  <c r="B2"/>
  <c r="B3" s="1"/>
  <c r="Q47"/>
  <c r="Q53" s="1"/>
  <c r="Q56"/>
  <c r="Q62" s="1"/>
  <c r="C46"/>
  <c r="N28" i="9"/>
  <c r="C102" i="88"/>
  <c r="C21"/>
  <c r="Q65" i="84"/>
  <c r="Q75" s="1"/>
  <c r="B2"/>
  <c r="B3" s="1"/>
  <c r="C83"/>
  <c r="C82" s="1"/>
  <c r="C46"/>
  <c r="C43"/>
  <c r="Q47"/>
  <c r="Q53" s="1"/>
  <c r="Q56"/>
  <c r="Q62" s="1"/>
  <c r="B3" i="79"/>
  <c r="B2"/>
  <c r="B3" i="78"/>
  <c r="B2"/>
  <c r="C68" i="15"/>
  <c r="C71" s="1"/>
  <c r="C83"/>
  <c r="C82" s="1"/>
  <c r="Q65"/>
  <c r="Q75" s="1"/>
  <c r="Q47"/>
  <c r="Q53" s="1"/>
  <c r="Q56"/>
  <c r="Q62" s="1"/>
  <c r="B2"/>
  <c r="C43" i="67"/>
  <c r="C45"/>
  <c r="C46" s="1"/>
  <c r="Q65"/>
  <c r="Q75" s="1"/>
  <c r="Q56"/>
  <c r="Q62" s="1"/>
  <c r="Q47"/>
  <c r="Q53" s="1"/>
  <c r="D2"/>
  <c r="B2" s="1"/>
  <c r="C20" i="88"/>
  <c r="AO7" i="1"/>
  <c r="E2" i="69"/>
  <c r="AO9" i="1"/>
  <c r="AO8"/>
  <c r="AO6"/>
  <c r="C103" i="88" l="1"/>
  <c r="B9" i="70"/>
  <c r="B3" i="15"/>
  <c r="B8" i="70"/>
  <c r="B7"/>
  <c r="B6"/>
  <c r="C46" i="15"/>
  <c r="B2" i="69"/>
  <c r="B3" s="1"/>
  <c r="B2" i="68"/>
  <c r="B3" i="67"/>
  <c r="D2" i="33"/>
  <c r="D2" i="34"/>
  <c r="E2" i="68"/>
  <c r="D2" i="21"/>
  <c r="D2" i="35"/>
  <c r="D2" i="37"/>
  <c r="F20" i="31"/>
  <c r="D2" i="36"/>
  <c r="B2" l="1"/>
  <c r="B3" s="1"/>
  <c r="B2" i="35"/>
  <c r="B2" i="37"/>
  <c r="B3" s="1"/>
  <c r="B2" i="34"/>
  <c r="B2" i="21"/>
  <c r="B3" s="1"/>
  <c r="B2" i="70"/>
  <c r="B3" i="68"/>
  <c r="D19" i="88"/>
  <c r="C19" i="85"/>
  <c r="D19"/>
  <c r="C19" i="9"/>
  <c r="M28" l="1"/>
  <c r="N27"/>
  <c r="M27"/>
  <c r="N26"/>
  <c r="D21" i="88"/>
  <c r="D102"/>
  <c r="D22"/>
  <c r="G19"/>
  <c r="O28" i="9" s="1"/>
  <c r="P28" s="1"/>
  <c r="B3" i="35"/>
  <c r="D21" i="85"/>
  <c r="D102"/>
  <c r="B3" i="34"/>
  <c r="C102" i="85"/>
  <c r="C21"/>
  <c r="D22"/>
  <c r="G19"/>
  <c r="O27" i="9" s="1"/>
  <c r="P27" s="1"/>
  <c r="E146" i="33"/>
  <c r="C102" i="9"/>
  <c r="C21"/>
  <c r="B3" i="70"/>
  <c r="C20" i="9"/>
  <c r="D20" i="88"/>
  <c r="C20" i="85"/>
  <c r="D20"/>
  <c r="D103" i="88" l="1"/>
  <c r="G20"/>
  <c r="G21"/>
  <c r="C32"/>
  <c r="D103" i="85"/>
  <c r="C103"/>
  <c r="G20"/>
  <c r="C32"/>
  <c r="G21"/>
  <c r="E147" i="33"/>
  <c r="C103" i="9"/>
  <c r="D34"/>
  <c r="C35" i="88" l="1"/>
  <c r="F118" s="1"/>
  <c r="H118"/>
  <c r="C34"/>
  <c r="D118" s="1"/>
  <c r="D119" s="1"/>
  <c r="H118" i="85"/>
  <c r="C35"/>
  <c r="F118" s="1"/>
  <c r="H109" i="9"/>
  <c r="M49" s="1"/>
  <c r="L68" s="1"/>
  <c r="M68" s="1"/>
  <c r="F119" i="88" l="1"/>
  <c r="G118"/>
  <c r="H119"/>
  <c r="I118"/>
  <c r="H101"/>
  <c r="C104"/>
  <c r="C34" i="85"/>
  <c r="D118" s="1"/>
  <c r="D119" s="1"/>
  <c r="H119"/>
  <c r="H101"/>
  <c r="I118"/>
  <c r="C104"/>
  <c r="F119"/>
  <c r="G118"/>
  <c r="L65" i="9"/>
  <c r="M65" s="1"/>
  <c r="L66"/>
  <c r="M66" s="1"/>
  <c r="L64"/>
  <c r="M64" s="1"/>
  <c r="L63"/>
  <c r="M63" s="1"/>
  <c r="L67"/>
  <c r="M67" s="1"/>
  <c r="H110"/>
  <c r="D18" i="53" s="1"/>
  <c r="B35" i="72" s="1"/>
  <c r="D124" i="9"/>
  <c r="D16" i="53"/>
  <c r="B34" i="72" s="1"/>
  <c r="M48" i="88" l="1"/>
  <c r="H107"/>
  <c r="D45"/>
  <c r="C105"/>
  <c r="E118"/>
  <c r="H102"/>
  <c r="E118" i="85"/>
  <c r="C105"/>
  <c r="H102"/>
  <c r="M48"/>
  <c r="D45"/>
  <c r="H107"/>
  <c r="M69" i="9"/>
  <c r="D10" i="52"/>
  <c r="H14" i="74"/>
  <c r="D17" i="53"/>
  <c r="B36" i="72" s="1"/>
  <c r="D125" i="9"/>
  <c r="D11" i="52" s="1"/>
  <c r="C93" i="88" l="1"/>
  <c r="C86" s="1"/>
  <c r="C72"/>
  <c r="D55"/>
  <c r="M53" s="1"/>
  <c r="D52"/>
  <c r="C85"/>
  <c r="C95" s="1"/>
  <c r="C96" s="1"/>
  <c r="E96" s="1"/>
  <c r="E97" s="1"/>
  <c r="C64"/>
  <c r="C63" s="1"/>
  <c r="C67" s="1"/>
  <c r="C68" s="1"/>
  <c r="D54" s="1"/>
  <c r="D53"/>
  <c r="C78"/>
  <c r="C73" s="1"/>
  <c r="D122"/>
  <c r="D123" s="1"/>
  <c r="H108"/>
  <c r="C97"/>
  <c r="D58" s="1"/>
  <c r="D56" s="1"/>
  <c r="M54" s="1"/>
  <c r="N57" s="1"/>
  <c r="C93" i="85"/>
  <c r="C86" s="1"/>
  <c r="C85"/>
  <c r="C72"/>
  <c r="C64"/>
  <c r="C63" s="1"/>
  <c r="C67" s="1"/>
  <c r="C68" s="1"/>
  <c r="D54" s="1"/>
  <c r="D55"/>
  <c r="M53" s="1"/>
  <c r="D53"/>
  <c r="C78"/>
  <c r="C73" s="1"/>
  <c r="D52"/>
  <c r="D122"/>
  <c r="D123" s="1"/>
  <c r="H108"/>
  <c r="N69" i="9"/>
  <c r="B7" i="74"/>
  <c r="D7" s="1"/>
  <c r="C79" i="88" l="1"/>
  <c r="N58"/>
  <c r="P57"/>
  <c r="N59"/>
  <c r="C79" i="85"/>
  <c r="C95"/>
  <c r="C7" i="74"/>
  <c r="C80" i="88" l="1"/>
  <c r="E80" s="1"/>
  <c r="E81" s="1"/>
  <c r="N61"/>
  <c r="N60"/>
  <c r="C96" i="85"/>
  <c r="E96" s="1"/>
  <c r="E97" s="1"/>
  <c r="C80"/>
  <c r="E80" s="1"/>
  <c r="E81" s="1"/>
  <c r="J7" i="33"/>
  <c r="W7" s="1"/>
  <c r="F7"/>
  <c r="S7" s="1"/>
  <c r="H7"/>
  <c r="AB7" s="1"/>
  <c r="T48" s="1"/>
  <c r="G48" s="1"/>
  <c r="C81" i="88" l="1"/>
  <c r="C81" i="85"/>
  <c r="C97"/>
  <c r="D58" s="1"/>
  <c r="D56" s="1"/>
  <c r="M54" s="1"/>
  <c r="N57" s="1"/>
  <c r="N58" s="1"/>
  <c r="G52" i="33"/>
  <c r="H52" s="1"/>
  <c r="AA7"/>
  <c r="R48" s="1"/>
  <c r="U7"/>
  <c r="AC7"/>
  <c r="V48" s="1"/>
  <c r="I48" s="1"/>
  <c r="P57" i="85" l="1"/>
  <c r="N59"/>
  <c r="N61" s="1"/>
  <c r="I52" i="33"/>
  <c r="J52" s="1"/>
  <c r="R49"/>
  <c r="E48"/>
  <c r="G53"/>
  <c r="H53" s="1"/>
  <c r="N60" i="85" l="1"/>
  <c r="E53" i="33"/>
  <c r="F53" s="1"/>
  <c r="E52"/>
  <c r="F52" s="1"/>
  <c r="I53"/>
  <c r="J53" s="1"/>
  <c r="C48"/>
  <c r="C49"/>
  <c r="R24" i="31" s="1"/>
  <c r="J7" i="39"/>
  <c r="AC7" s="1"/>
  <c r="V47" s="1"/>
  <c r="I47" s="1"/>
  <c r="F7"/>
  <c r="S7" s="1"/>
  <c r="H7"/>
  <c r="AB7" s="1"/>
  <c r="T47" s="1"/>
  <c r="G47" s="1"/>
  <c r="S24" i="31" l="1"/>
  <c r="R27"/>
  <c r="S27" s="1"/>
  <c r="R26"/>
  <c r="S26" s="1"/>
  <c r="R25"/>
  <c r="S25" s="1"/>
  <c r="B2" i="33"/>
  <c r="G137"/>
  <c r="B3"/>
  <c r="G52" i="39"/>
  <c r="H52" s="1"/>
  <c r="G51"/>
  <c r="H51" s="1"/>
  <c r="I51"/>
  <c r="J51" s="1"/>
  <c r="W7"/>
  <c r="U7"/>
  <c r="AA7"/>
  <c r="R47" s="1"/>
  <c r="S22" i="31" l="1"/>
  <c r="G138" i="33"/>
  <c r="G140"/>
  <c r="E145" s="1"/>
  <c r="E144" s="1"/>
  <c r="E148" s="1"/>
  <c r="E149" s="1"/>
  <c r="G139"/>
  <c r="R48" i="39"/>
  <c r="E47"/>
  <c r="R22" i="31" l="1"/>
  <c r="B21" s="1"/>
  <c r="B20"/>
  <c r="C48" i="39"/>
  <c r="C47"/>
  <c r="E51"/>
  <c r="F51" s="1"/>
  <c r="E52"/>
  <c r="F52" s="1"/>
  <c r="I52"/>
  <c r="J52" s="1"/>
  <c r="D19" i="9"/>
  <c r="D20"/>
  <c r="M26" l="1"/>
  <c r="G20"/>
  <c r="D103"/>
  <c r="D22"/>
  <c r="G19"/>
  <c r="O26" s="1"/>
  <c r="D21"/>
  <c r="D102"/>
  <c r="B61" i="39"/>
  <c r="F61" s="1"/>
  <c r="B60"/>
  <c r="F60" s="1"/>
  <c r="B56"/>
  <c r="F56" s="1"/>
  <c r="B58"/>
  <c r="F58" s="1"/>
  <c r="B59"/>
  <c r="F59" s="1"/>
  <c r="B64"/>
  <c r="F64" s="1"/>
  <c r="B65"/>
  <c r="F65" s="1"/>
  <c r="B57"/>
  <c r="F57" s="1"/>
  <c r="B63"/>
  <c r="F63" s="1"/>
  <c r="B62"/>
  <c r="F62" s="1"/>
  <c r="O29" i="9" l="1"/>
  <c r="P29" s="1"/>
  <c r="P26"/>
  <c r="G21"/>
  <c r="C32"/>
  <c r="F66" i="39"/>
  <c r="B2" s="1"/>
  <c r="B3" s="1"/>
  <c r="D35" i="9"/>
  <c r="C35" l="1"/>
  <c r="C34" l="1"/>
  <c r="H112" l="1"/>
  <c r="D21" i="53" s="1"/>
  <c r="B39" i="72" s="1"/>
  <c r="H111" i="9"/>
  <c r="D126" s="1"/>
  <c r="D19" i="53"/>
  <c r="D59" i="9"/>
  <c r="M55"/>
  <c r="D20" i="53" l="1"/>
  <c r="B40" i="72" s="1"/>
  <c r="B38"/>
  <c r="I14" i="74"/>
  <c r="B8" s="1"/>
  <c r="D12" i="52"/>
  <c r="D127" i="9"/>
  <c r="D13" i="52" s="1"/>
  <c r="F118" i="9"/>
  <c r="G118" s="1"/>
  <c r="G4" i="52" s="1"/>
  <c r="D118" i="9"/>
  <c r="D119" s="1"/>
  <c r="D5" i="52" s="1"/>
  <c r="H118" i="9"/>
  <c r="C104" s="1"/>
  <c r="B49" i="72" l="1"/>
  <c r="B52"/>
  <c r="D8" i="74"/>
  <c r="C8"/>
  <c r="H101" i="9"/>
  <c r="M48" s="1"/>
  <c r="I118"/>
  <c r="C105" s="1"/>
  <c r="H119"/>
  <c r="H5" i="52" s="1"/>
  <c r="F4"/>
  <c r="F119" i="9"/>
  <c r="F5" i="52" s="1"/>
  <c r="D14" i="74"/>
  <c r="H4" i="52"/>
  <c r="D4"/>
  <c r="H107" i="9"/>
  <c r="B53" i="72" l="1"/>
  <c r="B47"/>
  <c r="B51"/>
  <c r="D45" i="9"/>
  <c r="D53" s="1"/>
  <c r="I4" i="52"/>
  <c r="D5" i="53"/>
  <c r="H102" i="9"/>
  <c r="D7" i="53" s="1"/>
  <c r="E118" i="9"/>
  <c r="E4" i="52" s="1"/>
  <c r="D122" i="9"/>
  <c r="H108"/>
  <c r="D15" i="53" s="1"/>
  <c r="D13"/>
  <c r="E14" i="74"/>
  <c r="B5"/>
  <c r="F14"/>
  <c r="B31" i="72" l="1"/>
  <c r="B48"/>
  <c r="B20"/>
  <c r="B21"/>
  <c r="C93" i="9"/>
  <c r="C86" s="1"/>
  <c r="D52"/>
  <c r="C78"/>
  <c r="C73" s="1"/>
  <c r="C85"/>
  <c r="C72"/>
  <c r="D55"/>
  <c r="M53" s="1"/>
  <c r="C64"/>
  <c r="C63" s="1"/>
  <c r="D6" i="53"/>
  <c r="D5" i="74"/>
  <c r="C5"/>
  <c r="D14" i="53"/>
  <c r="B30" i="72"/>
  <c r="G14" i="74"/>
  <c r="B6" s="1"/>
  <c r="D123" i="9"/>
  <c r="D9" i="52" s="1"/>
  <c r="D8"/>
  <c r="B32" i="72" l="1"/>
  <c r="B22"/>
  <c r="C95" i="9"/>
  <c r="C67"/>
  <c r="C68" s="1"/>
  <c r="D54" s="1"/>
  <c r="C79"/>
  <c r="D6" i="74"/>
  <c r="C6"/>
  <c r="C96" i="9" l="1"/>
  <c r="E96" s="1"/>
  <c r="E97" s="1"/>
  <c r="C80"/>
  <c r="E80" s="1"/>
  <c r="E81" s="1"/>
  <c r="C81" l="1"/>
  <c r="C97"/>
  <c r="D58" s="1"/>
  <c r="D56" s="1"/>
  <c r="M54" s="1"/>
  <c r="N57" s="1"/>
  <c r="N58" l="1"/>
  <c r="P57"/>
  <c r="N59"/>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9.xml><?xml version="1.0" encoding="utf-8"?>
<comments xmlns="http://schemas.openxmlformats.org/spreadsheetml/2006/main">
  <authors>
    <author>chian</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lenovo2</author>
  </authors>
  <commentList>
    <comment ref="Q247" authorId="0">
      <text>
        <r>
          <rPr>
            <sz val="9"/>
            <rFont val="宋体"/>
            <family val="3"/>
            <charset val="134"/>
          </rPr>
          <t>lenovo2:
合同商铺号为101-115</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<sst xmlns="http://schemas.openxmlformats.org/spreadsheetml/2006/main" count="13753" uniqueCount="4023">
  <si>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</si>
  <si>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</si>
  <si>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</si>
  <si>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</si>
  <si>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</si>
  <si>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</si>
  <si>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</si>
  <si>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</si>
  <si>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</si>
  <si>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</si>
  <si>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</si>
  <si>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</si>
  <si>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</si>
  <si>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</si>
  <si>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</si>
  <si>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</si>
  <si>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</si>
  <si>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</si>
  <si>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</si>
  <si>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</si>
  <si>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</si>
  <si>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</si>
  <si>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</si>
  <si>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</si>
  <si>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</si>
  <si>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</si>
  <si>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</si>
  <si>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</si>
  <si>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</si>
  <si>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</si>
  <si>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</si>
  <si>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</si>
  <si>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</si>
  <si>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</si>
  <si>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</si>
  <si>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</si>
  <si>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</si>
  <si>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</si>
  <si>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</si>
  <si>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</si>
  <si>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</si>
  <si>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</si>
  <si>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</si>
  <si>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</si>
  <si>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</si>
  <si>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</si>
  <si>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</si>
  <si>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</si>
  <si>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</si>
  <si>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</si>
  <si>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</si>
  <si>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</si>
  <si>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</si>
  <si>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</si>
  <si>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</si>
  <si>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</si>
  <si>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</si>
  <si>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</si>
  <si>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</si>
  <si>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</si>
  <si>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</si>
  <si>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</si>
  <si>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</si>
  <si>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</si>
  <si>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</si>
  <si>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</si>
  <si>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</si>
  <si>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</si>
  <si>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</si>
  <si>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</si>
  <si>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</si>
  <si>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</si>
  <si>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</si>
  <si>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</si>
  <si>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</si>
  <si>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</si>
  <si>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</si>
  <si>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</si>
  <si>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</si>
  <si>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</si>
  <si>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</si>
  <si>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</si>
  <si>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</si>
  <si>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</si>
  <si>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</si>
  <si>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</si>
  <si>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</si>
  <si>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</si>
  <si>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</si>
  <si>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</si>
  <si>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</si>
  <si>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</si>
  <si>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</si>
  <si>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</si>
  <si>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</si>
  <si>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</si>
  <si>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</si>
  <si>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</si>
  <si>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</si>
  <si>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</si>
  <si>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</si>
  <si>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</si>
  <si>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</si>
  <si>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</si>
  <si>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</si>
  <si>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</si>
  <si>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</si>
  <si>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</si>
  <si>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</si>
  <si>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</si>
  <si>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</si>
  <si>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</si>
  <si>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</si>
  <si>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</si>
  <si>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</si>
  <si>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</si>
  <si>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</si>
  <si>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</si>
  <si>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</si>
  <si>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</si>
  <si>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</si>
  <si>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</si>
  <si>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</si>
  <si>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</si>
  <si>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</si>
  <si>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</si>
  <si>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</si>
  <si>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</si>
  <si>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</si>
  <si>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</si>
  <si>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</si>
  <si>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</si>
  <si>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</si>
  <si>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</si>
  <si>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</si>
  <si>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</si>
  <si>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</si>
  <si>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</si>
  <si>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</si>
  <si>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</si>
  <si>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</si>
  <si>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</si>
  <si>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</si>
  <si>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</si>
  <si>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</si>
  <si>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</si>
  <si>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</si>
  <si>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</si>
  <si>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</si>
  <si>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</si>
  <si>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</si>
  <si>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</si>
  <si>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</si>
  <si>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</si>
  <si>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</si>
  <si>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</si>
  <si>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</si>
  <si>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</si>
  <si>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</si>
  <si>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</si>
  <si>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</si>
  <si>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</si>
  <si>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</si>
  <si>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</si>
  <si>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</si>
  <si>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</si>
  <si>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</si>
  <si>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</si>
  <si>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</si>
  <si>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</si>
  <si>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</si>
  <si>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</si>
  <si>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</si>
  <si>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</si>
  <si>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</si>
  <si>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</si>
  <si>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</si>
  <si>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</si>
  <si>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</si>
  <si>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</si>
  <si>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</si>
  <si>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</si>
  <si>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</si>
  <si>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</si>
  <si>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</si>
  <si>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</si>
  <si>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</si>
  <si>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</si>
  <si>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</si>
  <si>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</si>
  <si>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</si>
  <si>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</si>
  <si>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</si>
  <si>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</si>
  <si>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</si>
  <si>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</si>
  <si>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</si>
  <si>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</si>
  <si>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</si>
  <si>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</si>
  <si>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</si>
  <si>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</si>
  <si>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</si>
  <si>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</si>
  <si>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</si>
  <si>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</si>
  <si>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</si>
  <si>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</si>
  <si>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</si>
  <si>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</si>
  <si>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</si>
  <si>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</si>
  <si>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</si>
  <si>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</si>
  <si>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</si>
  <si>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</si>
  <si>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</si>
  <si>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</si>
  <si>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</si>
  <si>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</si>
  <si>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</si>
  <si>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</si>
  <si>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</si>
  <si>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</si>
  <si>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</si>
  <si>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</si>
  <si>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</si>
  <si>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</si>
  <si>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</si>
  <si>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</si>
  <si>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</si>
  <si>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</si>
  <si>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</si>
  <si>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</si>
  <si>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</si>
  <si>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</si>
  <si>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</si>
  <si>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</si>
  <si>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</si>
  <si>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</si>
  <si>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</si>
  <si>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</si>
  <si>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</si>
  <si>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</si>
  <si>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</si>
  <si>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</si>
  <si>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</si>
  <si>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</si>
  <si>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</si>
  <si>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</si>
  <si>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</si>
  <si>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</si>
  <si>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</si>
  <si>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</si>
  <si>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</si>
  <si>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</si>
  <si>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</si>
  <si>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</si>
  <si>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</si>
  <si>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</si>
  <si>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</si>
  <si>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</si>
  <si>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</si>
  <si>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</si>
  <si>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</si>
  <si>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</si>
  <si>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</si>
  <si>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</si>
  <si>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</si>
  <si>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</si>
  <si>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</si>
  <si>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</si>
  <si>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</si>
  <si>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</si>
  <si>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</si>
  <si>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</si>
  <si>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</si>
  <si>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</si>
  <si>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</si>
  <si>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</si>
  <si>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</si>
  <si>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</si>
  <si>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</si>
  <si>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</si>
  <si>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</si>
  <si>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</si>
  <si>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</si>
  <si>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</si>
  <si>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</si>
  <si>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</si>
  <si>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</si>
  <si>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</si>
  <si>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</si>
  <si>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</si>
  <si>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</si>
  <si>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</si>
  <si>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</si>
  <si>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</si>
  <si>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</si>
  <si>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</si>
  <si>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</si>
  <si>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</si>
  <si>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</si>
  <si>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</si>
  <si>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</si>
  <si>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</si>
  <si>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</si>
  <si>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</si>
  <si>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</si>
  <si>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</si>
  <si>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</si>
  <si>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</si>
  <si>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</si>
  <si>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</si>
  <si>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</si>
  <si>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</si>
  <si>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</si>
  <si>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</si>
  <si>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</si>
  <si>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</si>
  <si>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</si>
  <si>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</si>
  <si>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</si>
  <si>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</si>
  <si>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</si>
  <si>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</si>
  <si>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</si>
  <si>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</si>
  <si>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</si>
  <si>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</si>
  <si>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</si>
  <si>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</si>
  <si>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</si>
  <si>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</si>
  <si>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</si>
  <si>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</si>
  <si>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</si>
  <si>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</si>
  <si>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</si>
  <si>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</si>
  <si>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</si>
  <si>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</si>
  <si>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</si>
  <si>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</si>
  <si>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</si>
  <si>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</si>
  <si>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</si>
  <si>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</si>
  <si>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</si>
  <si>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</si>
  <si>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</si>
  <si>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</si>
  <si>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</si>
  <si>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</si>
  <si>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</si>
  <si>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</si>
  <si>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</si>
  <si>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</si>
  <si>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</si>
  <si>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</si>
  <si>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</si>
  <si>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</si>
  <si>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</si>
  <si>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</si>
  <si>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</si>
  <si>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</si>
  <si>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</si>
  <si>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</si>
  <si>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</si>
  <si>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</si>
  <si>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</si>
  <si>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</si>
  <si>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</si>
  <si>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</si>
  <si>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</si>
  <si>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</si>
  <si>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</si>
  <si>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</si>
  <si>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</si>
  <si>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</si>
  <si>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</si>
  <si>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</si>
  <si>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</si>
  <si>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</si>
  <si>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</si>
  <si>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</si>
  <si>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</si>
  <si>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</si>
  <si>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</si>
  <si>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</si>
  <si>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</si>
  <si>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</si>
  <si>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</si>
  <si>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</si>
  <si>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</si>
  <si>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</si>
  <si>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</si>
  <si>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</si>
  <si>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</si>
  <si>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</si>
  <si>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</si>
  <si>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</si>
  <si>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</si>
  <si>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</si>
  <si>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</si>
  <si>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</si>
  <si>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</si>
  <si>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</si>
  <si>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</si>
  <si>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</si>
  <si>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</si>
  <si>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</si>
  <si>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</si>
  <si>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</si>
  <si>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</si>
  <si>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</si>
  <si>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</si>
  <si>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</si>
  <si>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</si>
  <si>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</si>
  <si>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</si>
  <si>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</si>
  <si>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</si>
  <si>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</si>
  <si>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</si>
  <si>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</si>
  <si>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</si>
  <si>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</si>
  <si>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</si>
  <si>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</si>
  <si>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</si>
  <si>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</si>
  <si>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</si>
  <si>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</si>
  <si>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</si>
  <si>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</si>
  <si>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</si>
  <si>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</si>
  <si>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</si>
  <si>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</si>
  <si>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</si>
  <si>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</si>
  <si>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</si>
  <si>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</si>
  <si>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</si>
  <si>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</si>
  <si>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</si>
  <si>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</si>
  <si>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</si>
  <si>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</si>
  <si>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</si>
  <si>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</si>
  <si>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</si>
  <si>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</si>
  <si>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</si>
  <si>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</si>
  <si>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</si>
  <si>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</si>
  <si>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</si>
  <si>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</si>
  <si>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</si>
  <si>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</si>
  <si>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</si>
  <si>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</si>
  <si>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</si>
  <si>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</si>
  <si>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</si>
  <si>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</si>
  <si>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</si>
  <si>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</si>
  <si>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</si>
  <si>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</si>
  <si>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</si>
  <si>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</si>
  <si>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</si>
  <si>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</si>
  <si>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</si>
  <si>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</si>
  <si>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</si>
  <si>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</si>
  <si>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</si>
  <si>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</si>
  <si>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</si>
  <si>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</si>
  <si>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</si>
  <si>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</si>
  <si>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</si>
  <si>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</si>
  <si>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</si>
  <si>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</si>
  <si>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</si>
  <si>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</si>
  <si>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</si>
  <si>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</si>
  <si>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</si>
  <si>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</si>
  <si>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</si>
  <si>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</si>
  <si>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</si>
  <si>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</si>
  <si>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</si>
  <si>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</si>
  <si>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</si>
  <si>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</si>
  <si>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</si>
  <si>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</si>
  <si>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</si>
  <si>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</si>
  <si>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</si>
  <si>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</si>
  <si>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</si>
  <si>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</si>
  <si>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</si>
  <si>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</si>
  <si>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</si>
  <si>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</si>
  <si>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</si>
  <si>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</si>
  <si>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</si>
  <si>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</si>
  <si>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</si>
  <si>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</si>
  <si>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</si>
  <si>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</si>
  <si>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</si>
  <si>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</si>
  <si>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</si>
  <si>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</si>
  <si>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</si>
  <si>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</si>
  <si>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</si>
  <si>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</si>
  <si>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</si>
  <si>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</si>
  <si>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</si>
  <si>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</si>
  <si>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</si>
  <si>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</si>
  <si>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</si>
  <si>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</si>
  <si>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</si>
  <si>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</si>
  <si>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</si>
  <si>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</si>
  <si>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</si>
  <si>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</si>
  <si>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</si>
  <si>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</si>
  <si>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</si>
  <si>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</si>
  <si>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</si>
  <si>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</si>
  <si>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</si>
  <si>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</si>
  <si>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</si>
  <si>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</si>
  <si>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</si>
  <si>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</si>
  <si>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</si>
  <si>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</si>
  <si>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</si>
  <si>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</si>
  <si>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</si>
  <si>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</si>
  <si>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</si>
  <si>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</si>
  <si>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</si>
  <si>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</si>
  <si>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</si>
  <si>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</si>
  <si>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</si>
  <si>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</si>
  <si>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</si>
  <si>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</si>
  <si>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</si>
  <si>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</si>
  <si>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</si>
  <si>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</si>
  <si>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</si>
  <si>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</si>
  <si>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</si>
  <si>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</si>
  <si>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</si>
  <si>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</si>
  <si>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</si>
  <si>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</si>
  <si>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</si>
  <si>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</si>
  <si>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</si>
  <si>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</si>
  <si>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</si>
  <si>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</si>
  <si>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</si>
  <si>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</si>
  <si>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</si>
  <si>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</si>
  <si>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</si>
  <si>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</si>
  <si>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</si>
  <si>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</si>
  <si>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</si>
  <si>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</si>
  <si>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</si>
  <si>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</si>
  <si>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</si>
  <si>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</si>
  <si>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</si>
  <si>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</si>
  <si>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</si>
  <si>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</si>
  <si>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</si>
  <si>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</si>
  <si>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</si>
  <si>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</si>
  <si>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</si>
  <si>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</si>
  <si>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</si>
  <si>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</si>
  <si>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</si>
  <si>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</si>
  <si>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</si>
  <si>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</si>
  <si>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</si>
  <si>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</si>
  <si>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</si>
  <si>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</si>
  <si>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</si>
  <si>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</si>
  <si>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</si>
  <si>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</si>
  <si>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</si>
  <si>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</si>
  <si>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</si>
  <si>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</si>
  <si>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</si>
  <si>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</si>
  <si>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</si>
  <si>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</si>
  <si>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</si>
  <si>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</si>
  <si>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</si>
  <si>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</si>
  <si>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</si>
  <si>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</si>
  <si>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</si>
  <si>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</si>
  <si>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</si>
  <si>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</si>
  <si>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</si>
  <si>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</si>
  <si>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</si>
  <si>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</si>
  <si>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</si>
  <si>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</si>
  <si>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</si>
  <si>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</si>
  <si>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</si>
  <si>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</si>
  <si>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</si>
  <si>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</si>
  <si>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</si>
  <si>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</si>
  <si>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</si>
  <si>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</si>
  <si>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</si>
  <si>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</si>
  <si>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</si>
  <si>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</si>
  <si>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</si>
  <si>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</si>
  <si>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</si>
  <si>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</si>
  <si>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</si>
  <si>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</si>
  <si>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</si>
  <si>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</si>
  <si>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</si>
  <si>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</si>
  <si>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</si>
  <si>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</si>
  <si>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</si>
  <si>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</si>
  <si>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</si>
  <si>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</si>
  <si>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</si>
  <si>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</si>
  <si>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</si>
  <si>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</si>
  <si>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</si>
  <si>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</si>
  <si>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</si>
  <si>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</si>
  <si>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</si>
  <si>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</si>
  <si>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</si>
  <si>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</si>
  <si>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</si>
  <si>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</si>
  <si>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</si>
  <si>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</si>
  <si>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</si>
  <si>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</si>
  <si>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</si>
  <si>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</si>
  <si>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</si>
  <si>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</si>
  <si>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</si>
  <si>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</si>
  <si>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</si>
  <si>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</si>
  <si>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</si>
  <si>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</si>
  <si>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</si>
  <si>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</si>
  <si>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</si>
  <si>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</si>
  <si>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</si>
  <si>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</si>
  <si>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</si>
  <si>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</si>
  <si>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</si>
  <si>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</si>
  <si>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</si>
  <si>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</si>
  <si>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</si>
  <si>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</si>
  <si>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</si>
  <si>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</si>
  <si>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</si>
  <si>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</si>
  <si>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</si>
  <si>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</si>
  <si>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</si>
  <si>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</si>
  <si>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</si>
  <si>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</si>
  <si>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</si>
  <si>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</si>
  <si>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</si>
  <si>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</si>
  <si>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</si>
  <si>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</si>
  <si>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</si>
  <si>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</si>
  <si>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</si>
  <si>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</si>
  <si>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</si>
  <si>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</si>
  <si>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</si>
  <si>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</si>
  <si>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</si>
  <si>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</si>
  <si>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</si>
  <si>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</si>
  <si>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</si>
  <si>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</si>
  <si>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</si>
  <si>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</si>
  <si>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</si>
  <si>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</si>
  <si>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</si>
  <si>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</si>
  <si>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</si>
  <si>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</si>
  <si>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</si>
  <si>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</si>
  <si>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</si>
  <si>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</si>
  <si>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</si>
  <si>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</si>
  <si>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</si>
  <si>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</si>
  <si>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</si>
  <si>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</si>
  <si>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</si>
  <si>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</si>
  <si>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</si>
  <si>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</si>
  <si>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</si>
  <si>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</si>
  <si>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</si>
  <si>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</si>
  <si>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</si>
  <si>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</si>
  <si>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</si>
  <si>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</si>
  <si>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</si>
  <si>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</si>
  <si>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</si>
  <si>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</si>
  <si>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</si>
  <si>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</si>
  <si>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</si>
  <si>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</si>
  <si>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</si>
  <si>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</si>
  <si>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</si>
  <si>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</si>
  <si>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</si>
  <si>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</si>
  <si>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</si>
  <si>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</si>
  <si>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</si>
  <si>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</si>
  <si>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</si>
  <si>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</si>
  <si>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</si>
  <si>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</si>
  <si>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</si>
  <si>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</si>
  <si>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</si>
  <si>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</si>
  <si>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</si>
  <si>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</si>
  <si>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</si>
  <si>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</si>
  <si>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</si>
  <si>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</si>
  <si>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</si>
  <si>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</si>
  <si>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</si>
  <si>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</si>
  <si>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</si>
  <si>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</si>
  <si>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</si>
  <si>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</si>
  <si>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</si>
  <si>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</si>
  <si>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</si>
  <si>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</si>
  <si>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</si>
  <si>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</si>
  <si>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</si>
  <si>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</si>
  <si>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</si>
  <si>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</si>
  <si>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</si>
  <si>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</si>
  <si>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</si>
  <si>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</si>
  <si>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</si>
  <si>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</si>
  <si>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</si>
  <si>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</si>
  <si>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</si>
  <si>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</si>
  <si>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</si>
  <si>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</si>
  <si>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</si>
  <si>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</si>
  <si>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</si>
  <si>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</si>
  <si>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</si>
  <si>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</si>
  <si>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</si>
  <si>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</si>
  <si>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</si>
  <si>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</si>
  <si>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</si>
  <si>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</si>
  <si>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</si>
  <si>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</si>
  <si>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</si>
  <si>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</si>
  <si>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</si>
  <si>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</si>
  <si>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</si>
  <si>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</si>
  <si>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</si>
  <si>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</si>
  <si>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</si>
  <si>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</si>
  <si>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</si>
  <si>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</si>
  <si>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</si>
  <si>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</si>
  <si>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</si>
  <si>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</si>
  <si>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</si>
  <si>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</si>
  <si>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</si>
  <si>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</si>
  <si>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</si>
  <si>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</si>
  <si>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</si>
  <si>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</si>
  <si>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</si>
  <si>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</si>
  <si>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</si>
  <si>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</si>
  <si>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</si>
  <si>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</si>
  <si>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</si>
  <si>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</si>
  <si>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</si>
  <si>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</si>
  <si>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</si>
  <si>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</si>
  <si>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</si>
  <si>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</si>
  <si>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</si>
  <si>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</si>
  <si>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</si>
  <si>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</si>
  <si>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</si>
  <si>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</si>
  <si>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</si>
  <si>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</si>
  <si>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</si>
  <si>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</si>
  <si>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</si>
  <si>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</si>
  <si>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</si>
  <si>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</si>
  <si>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</si>
  <si>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</si>
  <si>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</si>
  <si>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</si>
  <si>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</si>
  <si>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</si>
  <si>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</si>
  <si>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</si>
  <si>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</si>
  <si>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</si>
  <si>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</si>
  <si>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</si>
  <si>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</si>
  <si>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</si>
  <si>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</si>
  <si>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</si>
  <si>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</si>
  <si>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</si>
  <si>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</si>
  <si>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</si>
  <si>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</si>
  <si>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</si>
  <si>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</si>
  <si>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</si>
  <si>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</si>
  <si>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</si>
  <si>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</si>
  <si>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</si>
  <si>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</si>
  <si>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</si>
  <si>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</si>
  <si>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</si>
  <si>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</si>
  <si>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</si>
  <si>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</si>
  <si>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</si>
  <si>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</si>
  <si>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</si>
  <si>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</si>
  <si>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</si>
  <si>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</si>
  <si>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</si>
  <si>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</si>
  <si>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</si>
  <si>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</si>
  <si>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</si>
  <si>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</si>
  <si>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</si>
  <si>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</si>
  <si>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</si>
  <si>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</si>
  <si>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</si>
  <si>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</si>
  <si>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</si>
  <si>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</si>
  <si>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</si>
  <si>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</si>
  <si>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</si>
  <si>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</si>
  <si>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</si>
  <si>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</si>
  <si>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</si>
  <si>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</si>
  <si>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</si>
  <si>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</si>
  <si>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</si>
  <si>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</si>
  <si>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</si>
  <si>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</si>
  <si>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</si>
  <si>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</si>
  <si>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</si>
  <si>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</si>
  <si>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</si>
  <si>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</si>
  <si>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</si>
  <si>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</si>
  <si>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</si>
  <si>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</si>
  <si>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</si>
  <si>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</si>
  <si>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</si>
  <si>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</si>
  <si>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</si>
  <si>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</si>
  <si>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</si>
  <si>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</si>
  <si>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</si>
  <si>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</si>
  <si>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</si>
  <si>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</si>
  <si>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</si>
  <si>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</si>
  <si>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</si>
  <si>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</si>
  <si>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</si>
  <si>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</si>
  <si>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</si>
  <si>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</si>
  <si>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</si>
  <si>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</si>
  <si>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</si>
  <si>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</si>
  <si>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</si>
  <si>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</si>
  <si>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</si>
  <si>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</si>
  <si>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</si>
  <si>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</si>
  <si>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</si>
  <si>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</si>
  <si>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</si>
  <si>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</si>
  <si>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</si>
  <si>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</si>
  <si>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</si>
  <si>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</si>
  <si>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</si>
  <si>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</si>
  <si>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</si>
  <si>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</si>
  <si>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</si>
  <si>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</si>
  <si>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</si>
  <si>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</si>
  <si>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</si>
  <si>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</si>
  <si>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</si>
  <si>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</si>
  <si>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</si>
  <si>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</si>
  <si>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</si>
  <si>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</si>
  <si>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</si>
  <si>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</si>
  <si>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</si>
  <si>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</si>
  <si>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</si>
  <si>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</si>
  <si>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</si>
  <si>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</si>
  <si>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</si>
  <si>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</si>
  <si>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</si>
  <si>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</si>
  <si>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</si>
  <si>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</si>
  <si>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</si>
  <si>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</si>
  <si>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</si>
  <si>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</si>
  <si>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</si>
  <si>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</si>
  <si>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</si>
  <si>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</si>
  <si>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</si>
  <si>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</si>
  <si>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</si>
  <si>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</si>
  <si>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</si>
  <si>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</si>
  <si>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</si>
  <si>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</si>
  <si>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</si>
  <si>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</si>
  <si>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</si>
  <si>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</si>
  <si>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</si>
  <si>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</si>
  <si>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</si>
  <si>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</si>
  <si>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</si>
  <si>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</si>
  <si>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</si>
  <si>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</si>
  <si>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</si>
  <si>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</si>
  <si>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</si>
  <si>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</si>
  <si>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</si>
  <si>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</si>
  <si>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</si>
  <si>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</si>
  <si>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</si>
  <si>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</si>
  <si>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</si>
  <si>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</si>
  <si>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</si>
  <si>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</si>
  <si>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</si>
  <si>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</si>
  <si>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</si>
  <si>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</si>
  <si>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</si>
  <si>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</si>
  <si>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</si>
  <si>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</si>
  <si>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</si>
  <si>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</si>
  <si>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</si>
  <si>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</si>
  <si>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</si>
  <si>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</si>
  <si>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</si>
  <si>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</si>
  <si>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</si>
  <si>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</si>
  <si>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</si>
  <si>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</si>
  <si>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</si>
  <si>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</si>
  <si>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</si>
  <si>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</si>
  <si>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</si>
  <si>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</si>
  <si>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</si>
  <si>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</si>
  <si>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</si>
  <si>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</si>
  <si>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</si>
  <si>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</si>
  <si>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</si>
  <si>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</si>
  <si>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</si>
  <si>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</si>
  <si>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</si>
  <si>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</si>
  <si>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</si>
  <si>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</si>
  <si>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</si>
  <si>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</si>
  <si>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</si>
  <si>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</si>
  <si>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</si>
  <si>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</si>
  <si>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</si>
  <si>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</si>
  <si>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</si>
  <si>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</si>
  <si>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</si>
  <si>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</si>
  <si>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</si>
  <si>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</si>
  <si>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</si>
  <si>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</si>
  <si>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</si>
  <si>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</si>
  <si>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</si>
  <si>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</si>
  <si>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</si>
  <si>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</si>
  <si>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</si>
  <si>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</si>
  <si>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</si>
  <si>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</si>
  <si>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</si>
  <si>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</si>
  <si>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</si>
  <si>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</si>
  <si>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</si>
  <si>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</si>
  <si>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</si>
  <si>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</si>
  <si>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</si>
  <si>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</si>
  <si>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</si>
  <si>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</si>
  <si>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</si>
  <si>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</si>
  <si>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</si>
  <si>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</si>
  <si>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</si>
  <si>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</si>
  <si>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</si>
  <si>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</si>
  <si>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</si>
  <si>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</si>
  <si>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</si>
  <si>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</si>
  <si>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</si>
  <si>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</si>
  <si>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</si>
  <si>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</si>
  <si>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</si>
  <si>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</si>
  <si>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</si>
  <si>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</si>
  <si>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</si>
  <si>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</si>
  <si>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</si>
  <si>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</si>
  <si>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</si>
  <si>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</si>
  <si>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</si>
  <si>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</si>
  <si>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</si>
  <si>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</si>
  <si>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</si>
  <si>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</si>
  <si>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</si>
  <si>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</si>
  <si>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</si>
  <si>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</si>
  <si>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</si>
  <si>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</si>
  <si>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</si>
  <si>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</si>
  <si>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</si>
  <si>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</si>
  <si>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</si>
  <si>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</si>
  <si>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</si>
  <si>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</si>
  <si>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</si>
  <si>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</si>
  <si>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</si>
  <si>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</si>
  <si>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</si>
  <si>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</si>
  <si>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</si>
  <si>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</si>
  <si>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</si>
  <si>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</si>
  <si>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</si>
  <si>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</si>
  <si>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</si>
  <si>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</si>
  <si>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</si>
  <si>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</si>
  <si>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</si>
  <si>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</si>
  <si>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</si>
  <si>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</si>
  <si>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</si>
  <si>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</si>
  <si>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</si>
  <si>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</si>
  <si>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</si>
  <si>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</si>
  <si>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</si>
  <si>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</si>
  <si>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</si>
  <si>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</si>
  <si>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</si>
  <si>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</si>
  <si>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</si>
  <si>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</si>
  <si>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</si>
  <si>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</si>
  <si>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</si>
  <si>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</si>
  <si>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</si>
  <si>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</si>
  <si>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</si>
  <si>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</si>
  <si>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</si>
  <si>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</si>
  <si>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</si>
  <si>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</si>
  <si>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</si>
  <si>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</si>
  <si>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</si>
  <si>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</si>
  <si>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</si>
  <si>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</si>
  <si>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</si>
  <si>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</si>
  <si>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</si>
  <si>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</si>
  <si>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</si>
  <si>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</si>
  <si>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</si>
  <si>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</si>
  <si>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</si>
  <si>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</si>
  <si>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</si>
  <si>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</si>
  <si>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</si>
  <si>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</si>
  <si>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</si>
  <si>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</si>
  <si>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</si>
  <si>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</si>
  <si>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</si>
  <si>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</si>
  <si>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</si>
  <si>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</si>
  <si>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</si>
  <si>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</si>
  <si>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</si>
  <si>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</si>
  <si>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</si>
  <si>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</si>
  <si>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</si>
  <si>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</si>
  <si>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</si>
  <si>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</si>
  <si>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</si>
  <si>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</si>
  <si>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</si>
  <si>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</si>
  <si>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</si>
  <si>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</si>
  <si>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</si>
  <si>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</si>
  <si>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</si>
  <si>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</si>
  <si>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</si>
  <si>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</si>
  <si>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</si>
  <si>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</si>
  <si>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</si>
  <si>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</si>
  <si>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</si>
  <si>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</si>
  <si>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</si>
  <si>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</si>
  <si>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</si>
  <si>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</si>
  <si>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</si>
  <si>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</si>
  <si>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</si>
  <si>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</si>
  <si>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</si>
  <si>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</si>
  <si>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</si>
  <si>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</si>
  <si>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</si>
  <si>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</si>
  <si>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</si>
  <si>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</si>
  <si>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</si>
  <si>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</si>
  <si>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</si>
  <si>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</si>
  <si>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</si>
  <si>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</si>
  <si>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</si>
  <si>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</si>
  <si>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</si>
  <si>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</si>
  <si>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</si>
  <si>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</si>
  <si>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</si>
  <si>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</si>
  <si>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</si>
  <si>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</si>
  <si>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</si>
  <si>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</si>
  <si>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</si>
  <si>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</si>
  <si>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</si>
  <si>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</si>
  <si>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</si>
  <si>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</si>
  <si>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</si>
  <si>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</si>
  <si>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</si>
  <si>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</si>
  <si>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</si>
  <si>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</si>
  <si>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</si>
  <si>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</si>
  <si>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</si>
  <si>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</si>
  <si>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</si>
  <si>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</si>
  <si>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</si>
  <si>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</si>
  <si>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</si>
  <si>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</si>
  <si>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</si>
  <si>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</si>
  <si>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</si>
  <si>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</si>
  <si>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</si>
  <si>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</si>
  <si>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</si>
  <si>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</si>
  <si>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</si>
  <si>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</si>
  <si>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</si>
  <si>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</si>
  <si>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</si>
  <si>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</si>
  <si>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</si>
  <si>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</si>
  <si>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</si>
  <si>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</si>
  <si>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</si>
  <si>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</si>
  <si>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</si>
  <si>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</si>
  <si>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</si>
  <si>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</si>
  <si>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</si>
  <si>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</si>
  <si>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</si>
  <si>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</si>
  <si>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</si>
  <si>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</si>
  <si>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</si>
  <si>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</si>
  <si>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</si>
  <si>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</si>
  <si>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</si>
  <si>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</si>
  <si>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</si>
  <si>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</si>
  <si>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</si>
  <si>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</si>
  <si>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</si>
  <si>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</si>
  <si>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</si>
  <si>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</si>
  <si>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</si>
  <si>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</si>
  <si>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</si>
  <si>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</si>
  <si>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</si>
  <si>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</si>
  <si>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</si>
  <si>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</si>
  <si>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</si>
  <si>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</si>
  <si>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</si>
  <si>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</si>
  <si>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</si>
  <si>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</si>
  <si>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</si>
  <si>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</si>
  <si>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</si>
  <si>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</si>
  <si>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</si>
  <si>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</si>
  <si>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</si>
  <si>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</si>
  <si>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</si>
  <si>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</si>
  <si>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</si>
  <si>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</si>
  <si>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</si>
  <si>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</si>
  <si>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</si>
  <si>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</si>
  <si>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</si>
  <si>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</si>
  <si>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</si>
  <si>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</si>
  <si>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</si>
  <si>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</si>
  <si>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</si>
  <si>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</si>
  <si>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</si>
  <si>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</si>
  <si>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</si>
  <si>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</si>
  <si>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</si>
  <si>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</si>
  <si>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</si>
  <si>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</si>
  <si>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</si>
  <si>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</si>
  <si>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</si>
  <si>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</si>
  <si>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</si>
  <si>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</si>
  <si>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</si>
  <si>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</si>
  <si>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</si>
  <si>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</si>
  <si>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</si>
  <si>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</si>
  <si>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</si>
  <si>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</si>
  <si>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</si>
  <si>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</si>
  <si>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</si>
  <si>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</si>
  <si>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</si>
  <si>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</si>
  <si>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</si>
  <si>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</si>
  <si>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</si>
  <si>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</si>
  <si>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</si>
  <si>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</si>
  <si>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</si>
  <si>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</si>
  <si>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</si>
  <si>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</si>
  <si>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</si>
  <si>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</si>
  <si>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</si>
  <si>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</si>
  <si>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</si>
  <si>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</si>
  <si>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</si>
  <si>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</si>
  <si>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</si>
  <si>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</si>
  <si>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</si>
  <si>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</si>
  <si>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</si>
  <si>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</si>
  <si>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</si>
  <si>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</si>
  <si>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</si>
  <si>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</si>
  <si>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</si>
  <si>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</si>
  <si>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</si>
  <si>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</si>
  <si>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</si>
  <si>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</si>
  <si>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</si>
  <si>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</si>
  <si>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</si>
  <si>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</si>
  <si>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</si>
  <si>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</si>
  <si>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</si>
  <si>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</si>
  <si>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</si>
  <si>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</si>
  <si>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</si>
  <si>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</si>
  <si>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</si>
  <si>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</si>
  <si>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</si>
  <si>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</si>
  <si>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</si>
  <si>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</si>
  <si>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</si>
  <si>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</si>
  <si>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</si>
  <si>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</si>
  <si>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</si>
  <si>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</si>
  <si>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</si>
  <si>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</si>
  <si>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</si>
  <si>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</si>
  <si>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</si>
  <si>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</si>
  <si>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</si>
  <si>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</si>
  <si>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</si>
  <si>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</si>
  <si>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</si>
  <si>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</si>
  <si>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</si>
  <si>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</si>
  <si>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</si>
  <si>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</si>
  <si>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</si>
  <si>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</si>
  <si>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</si>
  <si>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</si>
  <si>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</si>
  <si>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</si>
  <si>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</si>
  <si>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</si>
  <si>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</si>
  <si>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</si>
  <si>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</si>
  <si>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</si>
  <si>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</si>
  <si>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</si>
  <si>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</si>
  <si>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</si>
  <si>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</si>
  <si>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</si>
  <si>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</si>
  <si>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</si>
  <si>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</si>
  <si>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</si>
  <si>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</si>
  <si>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</si>
  <si>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</si>
  <si>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</si>
  <si>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</si>
  <si>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</si>
  <si>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</si>
  <si>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</si>
  <si>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</si>
  <si>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</si>
  <si>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</si>
  <si>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</si>
  <si>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</si>
  <si>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</si>
  <si>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</si>
  <si>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</si>
  <si>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</si>
  <si>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</si>
  <si>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</si>
  <si>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</si>
  <si>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</si>
  <si>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</si>
  <si>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</si>
  <si>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</si>
  <si>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</si>
  <si>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</si>
  <si>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</si>
  <si>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</si>
  <si>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</si>
  <si>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</si>
  <si>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</si>
  <si>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</si>
  <si>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</si>
  <si>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</si>
  <si>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</si>
  <si>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</si>
  <si>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</si>
  <si>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</si>
  <si>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</si>
  <si>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</si>
  <si>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</si>
  <si>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</si>
  <si>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</si>
  <si>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</si>
  <si>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</si>
  <si>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</si>
  <si>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</si>
  <si>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</si>
  <si>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</si>
  <si>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</si>
  <si>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</si>
  <si>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</si>
  <si>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</si>
  <si>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</si>
  <si>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</si>
  <si>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</si>
  <si>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</si>
  <si>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</si>
  <si>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</si>
  <si>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</si>
  <si>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</si>
  <si>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</si>
  <si>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</si>
  <si>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</si>
  <si>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</si>
  <si>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</si>
  <si>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</si>
  <si>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</si>
  <si>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</si>
  <si>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</si>
  <si>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</si>
  <si>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</si>
  <si>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</si>
  <si>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</si>
  <si>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</si>
  <si>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</si>
  <si>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</si>
  <si>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</si>
  <si>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</si>
  <si>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</si>
  <si>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</si>
  <si>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</si>
  <si>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</si>
  <si>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</si>
  <si>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</si>
  <si>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</si>
  <si>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</si>
  <si>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</si>
  <si>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</si>
  <si>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</si>
  <si>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</si>
  <si>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</si>
  <si>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</si>
  <si>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</si>
  <si>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</si>
  <si>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</si>
  <si>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</si>
  <si>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</si>
  <si>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</si>
  <si>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</si>
  <si>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</si>
  <si>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</si>
  <si>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</si>
  <si>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</si>
  <si>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</si>
  <si>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</si>
  <si>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</si>
  <si>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</si>
  <si>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</si>
  <si>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</si>
  <si>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</si>
  <si>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</si>
  <si>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</si>
  <si>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</si>
  <si>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</si>
  <si>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</si>
  <si>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</si>
  <si>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</si>
  <si>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</si>
  <si>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</si>
  <si>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</si>
  <si>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</si>
  <si>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</si>
  <si>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</si>
  <si>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</si>
  <si>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</si>
  <si>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</si>
  <si>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</si>
  <si>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</si>
  <si>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</si>
  <si>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</si>
  <si>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</si>
  <si>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</si>
  <si>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</si>
  <si>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</si>
  <si>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</si>
  <si>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</si>
  <si>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</si>
  <si>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</si>
  <si>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</si>
  <si>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</si>
  <si>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</si>
  <si>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</si>
  <si>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</si>
  <si>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</si>
  <si>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</si>
  <si>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</si>
  <si>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</si>
  <si>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</si>
  <si>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</si>
  <si>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</si>
  <si>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</si>
  <si>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</si>
  <si>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</si>
  <si>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</si>
  <si>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</si>
  <si>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</si>
  <si>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</si>
  <si>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</si>
  <si>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</si>
  <si>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</si>
  <si>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</si>
  <si>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</si>
  <si>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</si>
  <si>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</si>
  <si>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</si>
  <si>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</si>
  <si>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</si>
  <si>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</si>
  <si>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</si>
  <si>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</si>
  <si>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</si>
  <si>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</si>
  <si>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</si>
  <si>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</si>
  <si>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</si>
  <si>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</si>
  <si>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</si>
  <si>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</si>
  <si>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</si>
  <si>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</si>
  <si>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</si>
  <si>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</si>
  <si>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</si>
  <si>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</si>
  <si>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</si>
  <si>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</si>
  <si>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</si>
  <si>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</si>
  <si>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</si>
  <si>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</si>
  <si>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</si>
  <si>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</si>
  <si>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</si>
  <si>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</si>
  <si>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</si>
  <si>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</si>
  <si>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</si>
  <si>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</si>
  <si>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</si>
  <si>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</si>
  <si>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</si>
  <si>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</si>
  <si>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</si>
  <si>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</si>
  <si>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</si>
  <si>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</si>
  <si>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</si>
  <si>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</si>
  <si>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</si>
  <si>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</si>
  <si>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</si>
  <si>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</si>
  <si>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</si>
  <si>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</si>
  <si>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</si>
  <si>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</si>
  <si>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</si>
  <si>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</si>
  <si>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</si>
  <si>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</si>
  <si>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</si>
  <si>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</si>
  <si>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</si>
  <si>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</si>
  <si>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</si>
  <si>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</si>
  <si>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</si>
  <si>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</si>
  <si>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</si>
  <si>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</si>
  <si>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</si>
  <si>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</si>
  <si>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</si>
  <si>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</si>
  <si>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</si>
  <si>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</si>
  <si>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</si>
  <si>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</si>
  <si>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</si>
  <si>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</si>
  <si>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</si>
  <si>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</si>
  <si>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</si>
  <si>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</si>
  <si>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</si>
  <si>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</si>
  <si>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</si>
  <si>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</si>
  <si>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</si>
  <si>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</si>
  <si>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</si>
  <si>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</si>
  <si>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</si>
  <si>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</si>
  <si>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</si>
  <si>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</si>
  <si>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</si>
  <si>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</si>
  <si>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</si>
  <si>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</si>
  <si>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</si>
  <si>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</si>
  <si>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</si>
  <si>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</si>
  <si>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</si>
  <si>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</si>
  <si>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</si>
  <si>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</si>
  <si>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</si>
  <si>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</si>
  <si>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</si>
  <si>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</si>
  <si>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</si>
  <si>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</si>
  <si>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</si>
  <si>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</si>
  <si>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</si>
  <si>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</si>
  <si>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</si>
  <si>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</si>
  <si>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</si>
  <si>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</si>
  <si>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</si>
  <si>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</si>
  <si>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</si>
  <si>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</si>
  <si>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</si>
  <si>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</si>
  <si>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</si>
  <si>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</si>
  <si>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</si>
  <si>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</si>
  <si>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</si>
  <si>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</si>
  <si>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</si>
  <si>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</si>
  <si>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</si>
  <si>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</si>
  <si>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</si>
  <si>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</si>
  <si>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</si>
  <si>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</si>
  <si>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</si>
  <si>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</si>
  <si>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</si>
  <si>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</si>
  <si>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</si>
  <si>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</si>
  <si>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</si>
  <si>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</si>
  <si>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</si>
  <si>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</si>
  <si>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</si>
  <si>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</si>
  <si>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</si>
  <si>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</si>
  <si>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</si>
  <si>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</si>
  <si>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</si>
  <si>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</si>
  <si>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</si>
  <si>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</si>
  <si>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</si>
  <si>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</si>
  <si>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</si>
  <si>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</si>
  <si>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</si>
  <si>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</si>
  <si>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</si>
  <si>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</si>
  <si>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</si>
  <si>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</si>
  <si>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</si>
  <si>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</si>
  <si>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</si>
  <si>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</si>
  <si>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</si>
  <si>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</si>
  <si>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</si>
  <si>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</si>
  <si>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</si>
  <si>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</si>
  <si>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</si>
  <si>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</si>
  <si>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</si>
  <si>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</si>
  <si>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</si>
  <si>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</si>
  <si>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</si>
  <si>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</si>
  <si>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</si>
  <si>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</si>
  <si>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</si>
  <si>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</si>
  <si>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</si>
  <si>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</si>
  <si>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</si>
  <si>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</si>
  <si>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</si>
  <si>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</si>
  <si>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</si>
  <si>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</si>
  <si>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</si>
  <si>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</si>
  <si>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</si>
  <si>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</si>
  <si>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</si>
  <si>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</si>
  <si>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</si>
  <si>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</si>
  <si>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</si>
  <si>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</si>
  <si>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</si>
  <si>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</si>
  <si>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</si>
  <si>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</si>
  <si>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</si>
  <si>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</si>
  <si>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</si>
  <si>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</si>
  <si>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</si>
  <si>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</si>
  <si>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</si>
  <si>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</si>
  <si>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</si>
  <si>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</si>
  <si>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</si>
  <si>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</si>
  <si>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</si>
  <si>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</si>
  <si>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</si>
  <si>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</si>
  <si>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</si>
  <si>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</si>
  <si>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</si>
  <si>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</si>
  <si>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</si>
  <si>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</si>
  <si>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</si>
  <si>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</si>
  <si>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</si>
  <si>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</si>
  <si>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</si>
  <si>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</si>
  <si>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</si>
  <si>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</si>
  <si>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</si>
  <si>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</si>
  <si>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</si>
  <si>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</si>
  <si>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</si>
  <si>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</si>
  <si>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</si>
  <si>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</si>
  <si>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</si>
  <si>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</si>
  <si>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</si>
  <si>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</si>
  <si>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</si>
  <si>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</si>
  <si>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</si>
  <si>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</si>
  <si>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</si>
  <si>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</si>
  <si>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</si>
  <si>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</si>
  <si>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</si>
  <si>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</si>
  <si>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</si>
  <si>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</si>
  <si>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</si>
  <si>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</si>
  <si>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</si>
  <si>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</si>
  <si>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</si>
  <si>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</si>
  <si>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</si>
  <si>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</si>
  <si>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</si>
  <si>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</si>
  <si>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</si>
  <si>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</si>
  <si>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</si>
  <si>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</si>
  <si>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</si>
  <si>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</si>
  <si>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</si>
  <si>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</si>
  <si>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</si>
  <si>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</si>
  <si>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</si>
  <si>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</si>
  <si>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</si>
  <si>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</si>
  <si>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</si>
  <si>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</si>
  <si>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</si>
  <si>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</si>
  <si>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</si>
  <si>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</si>
  <si>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</si>
  <si>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</si>
  <si>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</si>
  <si>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</si>
  <si>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</si>
  <si>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</si>
  <si>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</si>
  <si>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</si>
  <si>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</si>
  <si>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</si>
  <si>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</si>
  <si>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</si>
  <si>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</si>
  <si>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</si>
  <si>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</si>
  <si>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</si>
  <si>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</si>
  <si>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</si>
  <si>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</si>
  <si>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</si>
  <si>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</si>
  <si>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</si>
  <si>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</si>
  <si>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</si>
  <si>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</si>
  <si>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</si>
  <si>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</si>
  <si>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</si>
  <si>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</si>
  <si>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</si>
  <si>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</si>
  <si>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</si>
  <si>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</si>
  <si>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</si>
  <si>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</si>
  <si>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</si>
  <si>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</si>
  <si>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</si>
  <si>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</si>
  <si>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</si>
  <si>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</si>
  <si>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</si>
  <si>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</si>
  <si>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</si>
  <si>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</si>
  <si>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</si>
  <si>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</si>
  <si>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</si>
  <si>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</si>
  <si>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</si>
  <si>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</si>
  <si>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</si>
  <si>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</si>
  <si>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</si>
  <si>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</si>
  <si>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</si>
  <si>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</si>
  <si>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</si>
  <si>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</si>
  <si>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</si>
  <si>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</si>
  <si>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</si>
  <si>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</si>
  <si>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</si>
  <si>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</si>
  <si>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</si>
  <si>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</si>
  <si>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</si>
  <si>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</si>
  <si>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</si>
  <si>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</si>
  <si>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</si>
  <si>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</si>
  <si>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</si>
  <si>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</si>
  <si>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</si>
  <si>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</si>
  <si>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</si>
  <si>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</si>
  <si>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</si>
  <si>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</si>
  <si>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</si>
  <si>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</si>
  <si>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</si>
  <si>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</si>
  <si>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</si>
  <si>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</si>
  <si>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</si>
  <si>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</si>
  <si>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</si>
  <si>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</si>
  <si>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</si>
  <si>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</si>
  <si>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</si>
  <si>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</si>
  <si>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</si>
  <si>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</si>
  <si>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</si>
  <si>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</si>
  <si>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</si>
  <si>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</si>
  <si>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</si>
  <si>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</si>
  <si>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</si>
  <si>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</si>
  <si>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</si>
  <si>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</si>
  <si>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</si>
  <si>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</si>
  <si>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</si>
  <si>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</si>
  <si>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</si>
  <si>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</si>
  <si>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</si>
  <si>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</si>
  <si>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</si>
  <si>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</si>
  <si>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</si>
  <si>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</si>
  <si>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</si>
  <si>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</si>
  <si>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</si>
  <si>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</si>
  <si>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</si>
  <si>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</si>
  <si>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</si>
  <si>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</si>
  <si>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</si>
  <si>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</si>
  <si>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</si>
  <si>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</si>
  <si>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</si>
  <si>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</si>
  <si>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</si>
  <si>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</si>
  <si>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</si>
  <si>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</si>
  <si>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</si>
  <si>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</si>
  <si>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</si>
  <si>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</si>
  <si>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</si>
  <si>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</si>
  <si>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</si>
  <si>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</si>
  <si>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</si>
  <si>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</si>
  <si>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</si>
  <si>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</si>
  <si>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</si>
  <si>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</si>
  <si>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</si>
  <si>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</si>
  <si>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</si>
  <si>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</si>
  <si>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</si>
  <si>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</si>
  <si>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</si>
  <si>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</si>
  <si>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</si>
  <si>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</si>
  <si>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</si>
  <si>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</si>
  <si>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</si>
  <si>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</si>
  <si>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</si>
  <si>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</si>
  <si>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</si>
  <si>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</si>
  <si>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</si>
  <si>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</si>
  <si>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</si>
  <si>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</si>
  <si>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</si>
  <si>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</si>
  <si>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</si>
  <si>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</si>
  <si>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</si>
  <si>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</si>
  <si>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</si>
  <si>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</si>
  <si>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</si>
  <si>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</si>
  <si>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</si>
  <si>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</si>
  <si>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</si>
  <si>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</si>
  <si>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</si>
  <si>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</si>
  <si>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</si>
  <si>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</si>
  <si>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</si>
  <si>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</si>
  <si>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</si>
  <si>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</si>
  <si>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</si>
  <si>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</si>
  <si>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</si>
  <si>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</si>
  <si>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</si>
  <si>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</si>
  <si>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</si>
  <si>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</si>
  <si>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</si>
  <si>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</si>
  <si>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</si>
  <si>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</si>
  <si>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</si>
  <si>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</si>
  <si>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</si>
  <si>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</si>
  <si>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</si>
  <si>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</si>
  <si>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</si>
  <si>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</si>
  <si>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</si>
  <si>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</si>
  <si>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</si>
  <si>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</si>
  <si>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</si>
  <si>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</si>
  <si>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</si>
  <si>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</si>
  <si>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</si>
  <si>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</si>
  <si>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</si>
  <si>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</si>
  <si>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</si>
  <si>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</si>
  <si>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</si>
  <si>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</si>
  <si>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</si>
  <si>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</si>
  <si>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</si>
  <si>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</si>
  <si>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</si>
  <si>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</si>
  <si>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</si>
  <si>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</si>
  <si>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</si>
  <si>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</si>
  <si>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</si>
  <si>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</si>
  <si>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</si>
  <si>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</si>
  <si>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</si>
  <si>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</si>
  <si>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</si>
  <si>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</si>
  <si>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</si>
  <si>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</si>
  <si>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</si>
  <si>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</si>
  <si>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</si>
  <si>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</si>
  <si>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</si>
  <si>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</si>
  <si>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</si>
  <si>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</si>
  <si>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</si>
  <si>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</si>
  <si>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</si>
  <si>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</si>
  <si>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</si>
  <si>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</si>
  <si>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</si>
  <si>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</si>
  <si>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</si>
  <si>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</si>
  <si>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</si>
  <si>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</si>
  <si>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</si>
  <si>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</si>
  <si>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</si>
  <si>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</si>
  <si>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</si>
  <si>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</si>
  <si>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</si>
  <si>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</si>
  <si>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</si>
  <si>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</si>
  <si>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</si>
  <si>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</si>
  <si>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</si>
  <si>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</si>
  <si>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</si>
  <si>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</si>
  <si>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</si>
  <si>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</si>
  <si>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</si>
  <si>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</si>
  <si>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</si>
  <si>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</si>
  <si>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</si>
  <si>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</si>
  <si>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</si>
  <si>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</si>
  <si>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</si>
  <si>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</si>
  <si>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</si>
  <si>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</si>
  <si>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</si>
  <si>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</si>
  <si>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</si>
  <si>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</si>
  <si>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</si>
  <si>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</si>
  <si>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</si>
  <si>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</si>
  <si>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</si>
  <si>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</si>
  <si>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</si>
  <si>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</si>
  <si>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</si>
  <si>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</si>
  <si>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</si>
  <si>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</si>
  <si>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</si>
  <si>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</si>
  <si>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</si>
  <si>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</si>
  <si>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</si>
  <si>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</si>
  <si>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</si>
  <si>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</si>
  <si>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</si>
  <si>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</si>
  <si>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</si>
  <si>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</si>
  <si>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</si>
  <si>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</si>
  <si>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</si>
  <si>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</si>
  <si>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</si>
  <si>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</si>
  <si>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</si>
  <si>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</si>
  <si>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</si>
  <si>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</si>
  <si>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</si>
  <si>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</si>
  <si>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</si>
  <si>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</si>
  <si>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</si>
  <si>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</si>
  <si>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</si>
  <si>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</si>
  <si>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</si>
  <si>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</si>
  <si>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</si>
  <si>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</si>
  <si>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</si>
  <si>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</si>
  <si>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</si>
  <si>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</si>
  <si>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</si>
  <si>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</si>
  <si>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</si>
  <si>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</si>
  <si>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</si>
  <si>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</si>
  <si>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</si>
  <si>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</si>
  <si>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</si>
  <si>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</si>
  <si>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</si>
  <si>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</si>
  <si>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</si>
  <si>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</si>
  <si>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</si>
  <si>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</si>
  <si>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</si>
  <si>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</si>
  <si>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</si>
  <si>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</si>
  <si>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</si>
  <si>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</si>
  <si>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</si>
  <si>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</si>
  <si>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</si>
  <si>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</si>
  <si>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</si>
  <si>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</si>
  <si>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</si>
  <si>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</si>
  <si>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</si>
  <si>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</si>
  <si>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</si>
  <si>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</si>
  <si>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</si>
  <si>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</si>
  <si>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</si>
  <si>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</si>
  <si>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</si>
  <si>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</si>
  <si>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</si>
  <si>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</si>
  <si>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</si>
  <si>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</si>
  <si>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</si>
  <si>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</si>
  <si>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</si>
  <si>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</si>
  <si>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</si>
  <si>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</si>
  <si>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</si>
  <si>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</si>
  <si>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</si>
  <si>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</si>
  <si>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</si>
  <si>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</si>
  <si>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</si>
  <si>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</si>
  <si>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</si>
  <si>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</si>
  <si>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</si>
  <si>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</si>
  <si>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</si>
  <si>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</si>
  <si>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</si>
  <si>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</si>
  <si>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</si>
  <si>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</si>
  <si>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</si>
  <si>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</si>
  <si>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</si>
  <si>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</si>
  <si>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</si>
  <si>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</si>
  <si>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</si>
  <si>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</si>
  <si>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</si>
  <si>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</si>
  <si>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</si>
  <si>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</si>
  <si>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</si>
  <si>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</si>
  <si>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</si>
  <si>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</si>
  <si>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</si>
  <si>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</si>
  <si>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</si>
  <si>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</si>
  <si>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</si>
  <si>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</si>
  <si>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</si>
  <si>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</si>
  <si>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</si>
  <si>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</si>
  <si>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</si>
  <si>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</si>
  <si>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</si>
  <si>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</si>
  <si>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</si>
  <si>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</si>
  <si>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</si>
  <si>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</si>
  <si>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</si>
  <si>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</si>
  <si>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</si>
  <si>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</si>
  <si>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</si>
  <si>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</si>
  <si>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</si>
  <si>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</si>
  <si>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</si>
  <si>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</si>
  <si>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</si>
  <si>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</si>
  <si>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</si>
  <si>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</si>
  <si>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</si>
  <si>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</si>
  <si>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</si>
  <si>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</si>
  <si>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</si>
  <si>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</si>
  <si>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</si>
  <si>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</si>
  <si>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</si>
  <si>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</si>
  <si>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</si>
  <si>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</si>
  <si>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</si>
  <si>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</si>
  <si>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</si>
  <si>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</si>
  <si>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</si>
  <si>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</si>
  <si>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</si>
  <si>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</si>
  <si>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</si>
  <si>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</si>
  <si>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</si>
  <si>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</si>
  <si>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</si>
  <si>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</si>
  <si>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</si>
  <si>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</si>
  <si>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</si>
  <si>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</si>
  <si>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</si>
  <si>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</si>
  <si>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</si>
  <si>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</si>
  <si>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</si>
  <si>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</si>
  <si>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</si>
  <si>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</si>
  <si>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</si>
  <si>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</si>
  <si>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</si>
  <si>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</si>
  <si>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</si>
  <si>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</si>
  <si>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</si>
  <si>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</si>
  <si>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</si>
  <si>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</si>
  <si>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</si>
  <si>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</si>
  <si>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</si>
  <si>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</si>
  <si>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</si>
  <si>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</si>
  <si>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</si>
  <si>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</si>
  <si>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</si>
  <si>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</si>
  <si>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</si>
  <si>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</si>
  <si>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</si>
  <si>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</si>
  <si>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</si>
  <si>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</si>
  <si>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</si>
  <si>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</si>
  <si>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</si>
  <si>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</si>
  <si>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</si>
  <si>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</si>
  <si>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</si>
  <si>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</si>
  <si>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</si>
  <si>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</si>
  <si>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</si>
  <si>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</si>
  <si>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</si>
  <si>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</si>
  <si>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</si>
  <si>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</si>
  <si>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</si>
  <si>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</si>
  <si>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</si>
  <si>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</si>
  <si>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</si>
  <si>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</si>
  <si>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</si>
  <si>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</si>
  <si>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</si>
  <si>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</si>
  <si>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</si>
  <si>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</si>
  <si>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</si>
  <si>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</si>
  <si>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</si>
  <si>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</si>
  <si>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</si>
  <si>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</si>
  <si>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</si>
  <si>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</si>
  <si>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</si>
  <si>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</si>
  <si>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</si>
  <si>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</si>
  <si>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</si>
  <si>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</si>
  <si>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</si>
  <si>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</si>
  <si>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</si>
  <si>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</si>
  <si>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</si>
  <si>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</si>
  <si>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</si>
  <si>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</si>
  <si>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</si>
  <si>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</si>
  <si>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</si>
  <si>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</si>
  <si>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</si>
  <si>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</si>
  <si>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</si>
  <si>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</si>
  <si>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</si>
  <si>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</si>
  <si>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</si>
  <si>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</si>
  <si>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</si>
  <si>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</si>
  <si>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</si>
  <si>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</si>
  <si>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</si>
  <si>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</si>
  <si>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</si>
  <si>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</si>
  <si>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</si>
  <si>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</si>
  <si>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</si>
  <si>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</si>
  <si>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</si>
  <si>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</si>
  <si>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</si>
  <si>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</si>
  <si>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</si>
  <si>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</si>
  <si>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</si>
  <si>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</si>
  <si>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</si>
  <si>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</si>
  <si>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</si>
  <si>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</si>
  <si>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</si>
  <si>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</si>
  <si>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</si>
  <si>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</si>
  <si>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</si>
  <si>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</si>
  <si>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</si>
  <si>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</si>
  <si>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</si>
  <si>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</si>
  <si>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</si>
  <si>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</si>
  <si>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</si>
  <si>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</si>
  <si>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</si>
  <si>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</si>
  <si>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</si>
  <si>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</si>
  <si>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</si>
  <si>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</si>
  <si>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</si>
  <si>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</si>
  <si>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</si>
  <si>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</si>
  <si>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</si>
  <si>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</si>
  <si>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</si>
  <si>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</si>
  <si>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</si>
  <si>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</si>
  <si>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</si>
  <si>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</si>
  <si>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</si>
  <si>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</si>
  <si>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</si>
  <si>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</si>
  <si>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</si>
  <si>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</si>
  <si>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</si>
  <si>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</si>
  <si>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</si>
  <si>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</si>
  <si>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</si>
  <si>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</si>
  <si>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</si>
  <si>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</si>
  <si>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</si>
  <si>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</si>
  <si>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</si>
  <si>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</si>
  <si>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</si>
  <si>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</si>
  <si>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</si>
  <si>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</si>
  <si>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</si>
  <si>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</si>
  <si>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</si>
  <si>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</si>
  <si>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</si>
  <si>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</si>
  <si>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</si>
  <si>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</si>
  <si>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</si>
  <si>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</si>
  <si>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</si>
  <si>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</si>
  <si>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</si>
  <si>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</si>
  <si>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</si>
  <si>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</si>
  <si>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</si>
  <si>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</si>
  <si>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</si>
  <si>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</si>
  <si>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</si>
  <si>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</si>
  <si>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</si>
  <si>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</si>
  <si>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</si>
  <si>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</si>
  <si>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</si>
  <si>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</si>
  <si>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</si>
  <si>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</si>
  <si>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</si>
  <si>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</si>
  <si>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</si>
  <si>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</si>
  <si>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</si>
  <si>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</si>
  <si>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</si>
  <si>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</si>
  <si>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</si>
  <si>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</si>
  <si>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</si>
  <si>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</si>
  <si>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</si>
  <si>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</si>
  <si>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</si>
  <si>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</si>
  <si>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</si>
  <si>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</si>
  <si>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</si>
  <si>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</si>
  <si>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</si>
  <si>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</si>
  <si>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</si>
  <si>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</si>
  <si>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</si>
  <si>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</si>
  <si>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</si>
  <si>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</si>
  <si>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</si>
  <si>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</si>
  <si>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</si>
  <si>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</si>
  <si>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</si>
  <si>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</si>
  <si>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</si>
  <si>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</si>
  <si>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</si>
  <si>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</si>
  <si>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</si>
  <si>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</si>
  <si>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</si>
  <si>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</si>
  <si>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</si>
  <si>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</si>
  <si>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</si>
  <si>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</si>
  <si>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</si>
  <si>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</si>
  <si>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</si>
  <si>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</si>
  <si>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</si>
  <si>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</si>
  <si>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</si>
  <si>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</si>
  <si>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</si>
  <si>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</si>
  <si>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</si>
  <si>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</si>
  <si>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</si>
  <si>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</si>
  <si>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</si>
  <si>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</si>
  <si>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</si>
  <si>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</si>
  <si>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</si>
  <si>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</si>
  <si>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</si>
  <si>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</si>
  <si>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</si>
  <si>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</si>
  <si>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</si>
  <si>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</si>
  <si>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</si>
  <si>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</si>
  <si>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</si>
  <si>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</si>
  <si>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</si>
  <si>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</si>
  <si>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</si>
  <si>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</si>
  <si>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</si>
  <si>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</si>
  <si>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</si>
  <si>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</si>
  <si>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</si>
  <si>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</si>
  <si>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</si>
  <si>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</si>
  <si>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</si>
  <si>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</si>
  <si>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</si>
  <si>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</si>
  <si>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</si>
  <si>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</si>
  <si>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</si>
  <si>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</si>
  <si>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</si>
  <si>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</si>
  <si>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</si>
  <si>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</si>
  <si>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</si>
  <si>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</si>
  <si>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</si>
  <si>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</si>
  <si>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</si>
  <si>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</si>
  <si>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</si>
  <si>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</si>
  <si>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</si>
  <si>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</si>
  <si>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</si>
  <si>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</si>
  <si>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</si>
  <si>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</si>
  <si>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</si>
  <si>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</si>
  <si>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</si>
  <si>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</si>
  <si>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</si>
  <si>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</si>
  <si>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</si>
  <si>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</si>
  <si>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</si>
  <si>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</si>
  <si>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</si>
  <si>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</si>
  <si>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</si>
  <si>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</si>
  <si>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</si>
  <si>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</si>
  <si>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</si>
  <si>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</si>
  <si>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</si>
  <si>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</si>
  <si>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</si>
  <si>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</si>
  <si>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</si>
  <si>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</si>
  <si>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</si>
  <si>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</si>
  <si>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</si>
  <si>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</si>
  <si>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</si>
  <si>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</si>
  <si>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</si>
  <si>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</si>
  <si>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</si>
  <si>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</si>
  <si>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</si>
  <si>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</si>
  <si>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</si>
  <si>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</si>
  <si>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</si>
  <si>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</si>
  <si>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</si>
  <si>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</si>
  <si>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</si>
  <si>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</si>
  <si>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</si>
  <si>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</si>
  <si>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</si>
  <si>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</si>
  <si>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</si>
  <si>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</si>
  <si>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</si>
  <si>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</si>
  <si>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</si>
  <si>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</si>
  <si>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</si>
  <si>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</si>
  <si>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</si>
  <si>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</si>
  <si>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</si>
  <si>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</si>
  <si>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</si>
  <si>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</si>
  <si>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</si>
  <si>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</si>
  <si>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</si>
  <si>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</si>
  <si>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</si>
  <si>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</si>
  <si>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</si>
  <si>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</si>
  <si>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</si>
  <si>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</si>
  <si>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</si>
  <si>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</si>
  <si>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</si>
  <si>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</si>
  <si>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</si>
  <si>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</si>
  <si>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</si>
  <si>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</si>
  <si>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</si>
  <si>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</si>
  <si>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</si>
  <si>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</si>
  <si>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</si>
  <si>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</si>
  <si>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</si>
  <si>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</si>
  <si>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</si>
  <si>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</si>
  <si>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</si>
  <si>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</si>
  <si>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</si>
  <si>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</si>
  <si>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</si>
  <si>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</si>
  <si>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</si>
  <si>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</si>
  <si>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</si>
  <si>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</si>
  <si>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</si>
  <si>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</si>
  <si>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</si>
  <si>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</si>
  <si>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</si>
  <si>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</si>
  <si>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</si>
  <si>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</si>
  <si>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</si>
  <si>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</si>
  <si>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</si>
  <si>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</si>
  <si>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</si>
  <si>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</si>
  <si>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</si>
  <si>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</si>
  <si>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</si>
  <si>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</si>
  <si>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</si>
  <si>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</si>
  <si>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</si>
  <si>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</si>
  <si>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</si>
  <si>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</si>
  <si>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</si>
  <si>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</si>
  <si>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</si>
  <si>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</si>
  <si>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</si>
  <si>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</si>
  <si>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</si>
  <si>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</si>
  <si>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</si>
  <si>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</si>
  <si>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</si>
  <si>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</si>
  <si>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</si>
  <si>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</si>
  <si>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</si>
  <si>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</si>
  <si>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</si>
  <si>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</si>
  <si>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</si>
  <si>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</si>
  <si>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</si>
  <si>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</si>
  <si>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</si>
  <si>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</si>
  <si>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</si>
  <si>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</si>
  <si>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</si>
  <si>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</si>
  <si>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</si>
  <si>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</si>
  <si>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</si>
  <si>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</si>
  <si>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</si>
  <si>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</si>
  <si>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</si>
  <si>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</si>
  <si>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</si>
  <si>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</si>
  <si>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</si>
  <si>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</si>
  <si>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</si>
  <si>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</si>
  <si>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</si>
  <si>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</si>
  <si>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</si>
  <si>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</si>
  <si>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</si>
  <si>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</si>
  <si>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</si>
  <si>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</si>
  <si>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</si>
  <si>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</si>
  <si>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</si>
  <si>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</si>
  <si>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</si>
  <si>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</si>
  <si>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</si>
  <si>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</si>
  <si>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</si>
  <si>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</si>
  <si>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</si>
  <si>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</si>
  <si>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</si>
  <si>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</si>
  <si>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悦盈新成花园可供销售库存量</t>
    <phoneticPr fontId="3"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</si>
  <si>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</si>
  <si>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</si>
  <si>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</si>
  <si>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</si>
  <si>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</si>
  <si>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</si>
  <si>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</si>
  <si>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</si>
  <si>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</si>
  <si>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</si>
  <si>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</si>
  <si>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</si>
  <si>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</si>
  <si>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子母</t>
    <phoneticPr fontId="3" type="noConversion"/>
  </si>
  <si>
    <t>小计</t>
    <phoneticPr fontId="3" type="noConversion"/>
  </si>
  <si>
    <t>二期</t>
    <phoneticPr fontId="3" type="noConversion"/>
  </si>
  <si>
    <r>
      <t>悦创中心</t>
    </r>
    <r>
      <rPr>
        <sz val="8"/>
        <rFont val="Times New Roman"/>
        <family val="1"/>
      </rPr>
      <t>1-2</t>
    </r>
    <r>
      <rPr>
        <sz val="8"/>
        <rFont val="宋体"/>
        <family val="3"/>
        <charset val="134"/>
      </rPr>
      <t>层商铺</t>
    </r>
    <r>
      <rPr>
        <sz val="8"/>
        <rFont val="Times New Roman"/>
        <family val="1"/>
      </rPr>
      <t>59</t>
    </r>
    <r>
      <rPr>
        <sz val="8"/>
        <rFont val="宋体"/>
        <family val="3"/>
        <charset val="134"/>
      </rPr>
      <t>卡面积：</t>
    </r>
    <r>
      <rPr>
        <sz val="8"/>
        <rFont val="Times New Roman"/>
        <family val="1"/>
      </rPr>
      <t>5711.24</t>
    </r>
  </si>
  <si>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</si>
  <si>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</si>
  <si>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</si>
  <si>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</si>
  <si>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</si>
  <si>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</si>
  <si>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</si>
  <si>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</si>
  <si>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</si>
  <si>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梁津</t>
  </si>
  <si>
    <t>郑燚</t>
  </si>
  <si>
    <t>王萌</t>
  </si>
  <si>
    <t>产权面积</t>
    <phoneticPr fontId="3" type="noConversion"/>
  </si>
  <si>
    <t>2017-1-0821-P01DYGJ3</t>
    <phoneticPr fontId="6" type="noConversion"/>
  </si>
  <si>
    <t>中山市悦创房地产投资有限公司、中山市悦恒商业管理有限公司</t>
    <phoneticPr fontId="6" type="noConversion"/>
  </si>
  <si>
    <t>中诚信托有限责任公司</t>
    <phoneticPr fontId="6" type="noConversion"/>
  </si>
  <si>
    <t>中山市悦创房地产投资有限公司、中山市悦恒商业管理有限公司</t>
    <phoneticPr fontId="6" type="noConversion"/>
  </si>
  <si>
    <t>核定资产</t>
  </si>
  <si>
    <t>房地产市场价值</t>
  </si>
  <si>
    <t>其他：</t>
  </si>
  <si>
    <t>广东省中山市</t>
    <phoneticPr fontId="6" type="noConversion"/>
  </si>
  <si>
    <t>企业</t>
  </si>
  <si>
    <t>中山市南区永安一路9号悦盈新成花园</t>
    <phoneticPr fontId="6" type="noConversion"/>
  </si>
  <si>
    <t>商业27.6年，办公37.6年，地下车库37.6年</t>
    <phoneticPr fontId="6" type="noConversion"/>
  </si>
  <si>
    <t>商业、办公、地下车库</t>
    <phoneticPr fontId="6" type="noConversion"/>
  </si>
  <si>
    <t>《不动产权证书》[粤房地权证中府字第0215083823号等]、《中山市商品房实测面积明细表》、《抵押物清单》</t>
    <phoneticPr fontId="6" type="noConversion"/>
  </si>
  <si>
    <t>《国有土地使用证》[中府国用（2015）第易2602655号等]、</t>
    <phoneticPr fontId="6" type="noConversion"/>
  </si>
  <si>
    <t>居住项目</t>
  </si>
  <si>
    <t>现房</t>
  </si>
  <si>
    <t>商业</t>
    <phoneticPr fontId="3" type="noConversion"/>
  </si>
  <si>
    <t>办公</t>
    <phoneticPr fontId="3" type="noConversion"/>
  </si>
  <si>
    <t>地下车库</t>
    <phoneticPr fontId="3" type="noConversion"/>
  </si>
  <si>
    <t>地上</t>
  </si>
  <si>
    <t>底商</t>
  </si>
  <si>
    <t>办公楼</t>
  </si>
  <si>
    <t>地下</t>
  </si>
  <si>
    <t>车库</t>
  </si>
  <si>
    <t>分摊土地面积</t>
    <phoneticPr fontId="3" type="noConversion"/>
  </si>
  <si>
    <t>一期</t>
    <phoneticPr fontId="3" type="noConversion"/>
  </si>
  <si>
    <t>二期</t>
    <phoneticPr fontId="3" type="noConversion"/>
  </si>
  <si>
    <t>三期</t>
    <phoneticPr fontId="3" type="noConversion"/>
  </si>
  <si>
    <t>车位个数</t>
    <phoneticPr fontId="205" type="noConversion"/>
  </si>
  <si>
    <t>商业</t>
    <phoneticPr fontId="7" type="noConversion"/>
  </si>
  <si>
    <t>办公</t>
    <phoneticPr fontId="7" type="noConversion"/>
  </si>
  <si>
    <t>地下车位</t>
    <phoneticPr fontId="7" type="noConversion"/>
  </si>
  <si>
    <t>商业（有租约）</t>
  </si>
  <si>
    <t>商业（有租约）</t>
    <phoneticPr fontId="3" type="noConversion"/>
  </si>
  <si>
    <t>增长率</t>
    <phoneticPr fontId="205" type="noConversion"/>
  </si>
  <si>
    <t>出租天数合计</t>
    <phoneticPr fontId="205" type="noConversion"/>
  </si>
  <si>
    <t>年增长率</t>
    <phoneticPr fontId="3" type="noConversion"/>
  </si>
  <si>
    <t>签约日期</t>
    <phoneticPr fontId="3" type="noConversion"/>
  </si>
  <si>
    <t>起租</t>
    <phoneticPr fontId="3" type="noConversion"/>
  </si>
  <si>
    <t>合同终止</t>
    <phoneticPr fontId="3" type="noConversion"/>
  </si>
  <si>
    <t>免租期</t>
    <phoneticPr fontId="3" type="noConversion"/>
  </si>
  <si>
    <t>卡位数</t>
    <phoneticPr fontId="3" type="noConversion"/>
  </si>
  <si>
    <t>出租面积</t>
    <phoneticPr fontId="3" type="noConversion"/>
  </si>
  <si>
    <t>租金水平</t>
    <phoneticPr fontId="205" type="noConversion"/>
  </si>
  <si>
    <t>月租金</t>
    <phoneticPr fontId="3" type="noConversion"/>
  </si>
  <si>
    <t>单位面积日租金</t>
    <phoneticPr fontId="3" type="noConversion"/>
  </si>
  <si>
    <t>2017年8月租金水平</t>
    <phoneticPr fontId="205" type="noConversion"/>
  </si>
  <si>
    <t>年租金</t>
    <phoneticPr fontId="3" type="noConversion"/>
  </si>
  <si>
    <t>出租面积合计</t>
    <phoneticPr fontId="205" type="noConversion"/>
  </si>
  <si>
    <t>平均租金</t>
    <phoneticPr fontId="205" type="noConversion"/>
  </si>
  <si>
    <t>2017-8-23-2017-12-31</t>
    <phoneticPr fontId="3" type="noConversion"/>
  </si>
  <si>
    <r>
      <t>2</t>
    </r>
    <r>
      <rPr>
        <sz val="12"/>
        <color indexed="8"/>
        <rFont val="宋体"/>
        <family val="3"/>
        <charset val="134"/>
      </rPr>
      <t>018-1-1-2018-12-31</t>
    </r>
    <phoneticPr fontId="3" type="noConversion"/>
  </si>
  <si>
    <r>
      <t>201</t>
    </r>
    <r>
      <rPr>
        <sz val="12"/>
        <color indexed="8"/>
        <rFont val="宋体"/>
        <family val="3"/>
        <charset val="134"/>
      </rPr>
      <t>9</t>
    </r>
    <r>
      <rPr>
        <sz val="12"/>
        <color indexed="8"/>
        <rFont val="宋体"/>
        <family val="3"/>
        <charset val="134"/>
      </rPr>
      <t>-1-1-201</t>
    </r>
    <r>
      <rPr>
        <sz val="12"/>
        <color indexed="8"/>
        <rFont val="宋体"/>
        <family val="3"/>
        <charset val="134"/>
      </rPr>
      <t>9</t>
    </r>
    <r>
      <rPr>
        <sz val="12"/>
        <color indexed="8"/>
        <rFont val="宋体"/>
        <family val="3"/>
        <charset val="134"/>
      </rPr>
      <t>-12-31</t>
    </r>
    <phoneticPr fontId="3" type="noConversion"/>
  </si>
  <si>
    <r>
      <t>20</t>
    </r>
    <r>
      <rPr>
        <sz val="12"/>
        <color indexed="8"/>
        <rFont val="宋体"/>
        <family val="3"/>
        <charset val="134"/>
      </rPr>
      <t>20</t>
    </r>
    <r>
      <rPr>
        <sz val="12"/>
        <color indexed="8"/>
        <rFont val="宋体"/>
        <family val="3"/>
        <charset val="134"/>
      </rPr>
      <t>-1-1-20</t>
    </r>
    <r>
      <rPr>
        <sz val="12"/>
        <color indexed="8"/>
        <rFont val="宋体"/>
        <family val="3"/>
        <charset val="134"/>
      </rPr>
      <t>20</t>
    </r>
    <r>
      <rPr>
        <sz val="12"/>
        <color indexed="8"/>
        <rFont val="宋体"/>
        <family val="3"/>
        <charset val="134"/>
      </rPr>
      <t>-12-31</t>
    </r>
    <phoneticPr fontId="3" type="noConversion"/>
  </si>
  <si>
    <t>2021-1-1-2021-12-31</t>
    <phoneticPr fontId="205" type="noConversion"/>
  </si>
  <si>
    <t>2022-1-1-2022-12-31</t>
    <phoneticPr fontId="205" type="noConversion"/>
  </si>
  <si>
    <t>2023-1-1-2023-12-31</t>
    <phoneticPr fontId="205" type="noConversion"/>
  </si>
  <si>
    <t>交银中合同（2015）第191号</t>
  </si>
  <si>
    <t>交通银行股份有限公司中山分行</t>
  </si>
  <si>
    <t>交通银行</t>
  </si>
  <si>
    <t>金融</t>
  </si>
  <si>
    <t>租金+管理费</t>
  </si>
  <si>
    <t>对外出租</t>
  </si>
  <si>
    <t>2017-3-1起每年递增5%</t>
  </si>
  <si>
    <t>开业</t>
  </si>
  <si>
    <t>一期</t>
  </si>
  <si>
    <t>5幢</t>
  </si>
  <si>
    <t>5幢107卡</t>
  </si>
  <si>
    <t>含税</t>
  </si>
  <si>
    <t>租金</t>
  </si>
  <si>
    <t>悦恒写合【2017】第07号</t>
  </si>
  <si>
    <t>中山市利达斯供应链管理有限公司</t>
  </si>
  <si>
    <t>13925331130</t>
  </si>
  <si>
    <t>36（2018年6月1日开始38.2）</t>
  </si>
  <si>
    <t>悦创天地(三至九楼)</t>
  </si>
  <si>
    <t>悦创天地631卡</t>
  </si>
  <si>
    <t>悦恒写合【2017】第09号</t>
  </si>
  <si>
    <t>中山市锐攀木业有限公司</t>
  </si>
  <si>
    <t>13926268712（廖徐丹）</t>
  </si>
  <si>
    <t>36（2019年4月1日开始38.16）</t>
  </si>
  <si>
    <t>筹备</t>
  </si>
  <si>
    <t>悦创天地719-721卡</t>
  </si>
  <si>
    <t>悦恒写合【2017】第12号</t>
  </si>
  <si>
    <t>章森华</t>
  </si>
  <si>
    <t>18688133303</t>
  </si>
  <si>
    <t>36（2019年5月1日开始递增）</t>
  </si>
  <si>
    <t>悦创天地503卡</t>
  </si>
  <si>
    <t>悦恒写合【2017】第13号</t>
  </si>
  <si>
    <t>梁冬梅</t>
  </si>
  <si>
    <t>13631100596</t>
  </si>
  <si>
    <t>36（2019年5月16日开始递增）</t>
  </si>
  <si>
    <t>悦创天地402-403卡</t>
  </si>
  <si>
    <t>悦恒写合【2017】第14号</t>
  </si>
  <si>
    <t>中山市伊可利照明电器有限公司</t>
  </si>
  <si>
    <t>13923326968</t>
  </si>
  <si>
    <t>36（2019年6月1日起开始递增）</t>
  </si>
  <si>
    <t>悦创天地532卡</t>
  </si>
  <si>
    <t>悦商合【2015】第04号</t>
  </si>
  <si>
    <t>刘姣英</t>
  </si>
  <si>
    <t>13318277708</t>
  </si>
  <si>
    <t>丽颜芳美容院</t>
  </si>
  <si>
    <t>美容养生</t>
  </si>
  <si>
    <t>2017-1-1起每年递增6%</t>
  </si>
  <si>
    <t>11幢1座</t>
  </si>
  <si>
    <t>11幢1座107卡</t>
  </si>
  <si>
    <t>不含税</t>
  </si>
  <si>
    <t>悦商合【2015】第06号</t>
  </si>
  <si>
    <t>马二沙</t>
  </si>
  <si>
    <t>18576259053</t>
  </si>
  <si>
    <t>化隆牛肉面</t>
  </si>
  <si>
    <t>餐饮</t>
  </si>
  <si>
    <t>2018-1-1起每年递增6%</t>
  </si>
  <si>
    <t>13幢</t>
  </si>
  <si>
    <t>13幢106卡之一</t>
  </si>
  <si>
    <t>悦商合【2015】第08号</t>
  </si>
  <si>
    <t>平安银行股份有限公司中山分公司</t>
  </si>
  <si>
    <t>864008866338</t>
  </si>
  <si>
    <t>平安银行</t>
  </si>
  <si>
    <t>2017-5-1起每年弟增5%</t>
  </si>
  <si>
    <t>11幢2座</t>
  </si>
  <si>
    <t>11幢2座113卡</t>
  </si>
  <si>
    <t>悦商合【2015】第12号</t>
  </si>
  <si>
    <t>中山市汇锋电器有限公司</t>
  </si>
  <si>
    <t>13822781711</t>
  </si>
  <si>
    <t>汇锋电器</t>
  </si>
  <si>
    <t>零售</t>
  </si>
  <si>
    <t>租金+运营费+管理费</t>
  </si>
  <si>
    <t>11幢2座114卡之一</t>
  </si>
  <si>
    <t>运营费</t>
  </si>
  <si>
    <t>悦商合【2015】第16号</t>
  </si>
  <si>
    <t>11幢2座114卡之二</t>
  </si>
  <si>
    <t>悦商合【2015】第19号</t>
  </si>
  <si>
    <t>高汉湘</t>
  </si>
  <si>
    <t>13715657071</t>
  </si>
  <si>
    <t>深德天麻鱼头</t>
  </si>
  <si>
    <t>2019-1-1起每年递增6%</t>
  </si>
  <si>
    <t>14幢</t>
  </si>
  <si>
    <t>14幢107、108卡</t>
  </si>
  <si>
    <t>悦商合【2015】第23号</t>
  </si>
  <si>
    <t>中山市中智大药房连锁有限公司</t>
  </si>
  <si>
    <t>88722059</t>
  </si>
  <si>
    <t>中智大药房</t>
  </si>
  <si>
    <t>12幢1座</t>
  </si>
  <si>
    <t>12幢1座104、105卡</t>
  </si>
  <si>
    <t>悦商合【2015】第27号</t>
  </si>
  <si>
    <t>郑小华</t>
  </si>
  <si>
    <t>18666198811</t>
  </si>
  <si>
    <t>随心堂、房车俱乐部</t>
  </si>
  <si>
    <t>娱乐休闲</t>
  </si>
  <si>
    <t>14幢208卡</t>
  </si>
  <si>
    <t>悦商合【2015】第28号</t>
  </si>
  <si>
    <t>14幢209卡</t>
  </si>
  <si>
    <t>悦商合【2015】第31号</t>
  </si>
  <si>
    <t>蓝天明</t>
  </si>
  <si>
    <t>15820508989</t>
  </si>
  <si>
    <t>陆号元素</t>
  </si>
  <si>
    <t>轻餐饮</t>
  </si>
  <si>
    <t>12幢2座</t>
  </si>
  <si>
    <t>12幢2座116卡</t>
  </si>
  <si>
    <t>悦商合【2015】第37号</t>
  </si>
  <si>
    <t>李俊华</t>
  </si>
  <si>
    <t>13702355822</t>
  </si>
  <si>
    <t>曜健身</t>
  </si>
  <si>
    <t>悦盈商业中心</t>
  </si>
  <si>
    <t>商业中心405卡</t>
  </si>
  <si>
    <t>悦商合【2015】第53号</t>
  </si>
  <si>
    <t>钟洁婷</t>
  </si>
  <si>
    <t>13424587338</t>
  </si>
  <si>
    <t>商业中心401-404卡</t>
  </si>
  <si>
    <t>悦商合【2015】第54号</t>
  </si>
  <si>
    <t>崔玉亮</t>
  </si>
  <si>
    <t>18666448234</t>
  </si>
  <si>
    <t>香缘手工水饺</t>
  </si>
  <si>
    <t>14幢109卡</t>
  </si>
  <si>
    <t>悦商合【2015】第55号</t>
  </si>
  <si>
    <t>李伟桥</t>
  </si>
  <si>
    <t>13528260792</t>
  </si>
  <si>
    <t>友味餐吧</t>
  </si>
  <si>
    <t>13幢106卡之二</t>
  </si>
  <si>
    <t>悦商合【2015】第56号</t>
  </si>
  <si>
    <t>韩娟</t>
  </si>
  <si>
    <t>18300059666</t>
  </si>
  <si>
    <t>棒子米粉</t>
  </si>
  <si>
    <t>14幢103卡</t>
  </si>
  <si>
    <t>悦商合【2015】第59号</t>
  </si>
  <si>
    <t>易成涛</t>
  </si>
  <si>
    <t>18938790058</t>
  </si>
  <si>
    <t>皮具</t>
  </si>
  <si>
    <t>商业中心108卡</t>
  </si>
  <si>
    <t>悦商合【2015】第60号</t>
  </si>
  <si>
    <t>陈森林</t>
  </si>
  <si>
    <t>18819350661</t>
  </si>
  <si>
    <t>皇朝窗帘</t>
  </si>
  <si>
    <t>家装、装饰</t>
  </si>
  <si>
    <t>5幢102卡</t>
  </si>
  <si>
    <t>悦商合【2015】第62号</t>
  </si>
  <si>
    <t>陈延升 崔玉亮</t>
  </si>
  <si>
    <t>18825329350 18666448234</t>
  </si>
  <si>
    <t>水源素</t>
  </si>
  <si>
    <t>5幢103卡</t>
  </si>
  <si>
    <t>悦商合【2015】第63号</t>
  </si>
  <si>
    <t>潘柔伊</t>
  </si>
  <si>
    <t>13726073166</t>
  </si>
  <si>
    <t>安然纳米汗蒸馆</t>
  </si>
  <si>
    <t>11幢2座108卡</t>
  </si>
  <si>
    <t>悦商合【2015】第64号</t>
  </si>
  <si>
    <t>周艳芬</t>
  </si>
  <si>
    <t>13924982935</t>
  </si>
  <si>
    <t>克丽缇娜</t>
  </si>
  <si>
    <t>11幢1座106卡</t>
  </si>
  <si>
    <t>悦商合【2015】第65号</t>
  </si>
  <si>
    <t>刘昱</t>
  </si>
  <si>
    <t>15889331926</t>
  </si>
  <si>
    <t>星期六餐吧</t>
  </si>
  <si>
    <t>商业中心109卡</t>
  </si>
  <si>
    <t>悦商合【2015】第66号</t>
  </si>
  <si>
    <t>郑任勤</t>
  </si>
  <si>
    <t>13600337683</t>
  </si>
  <si>
    <t>姐妹亲茶餐厅</t>
  </si>
  <si>
    <t>14幢105卡</t>
  </si>
  <si>
    <t>悦商合【2015】第68号</t>
  </si>
  <si>
    <t>中山市万科置业有限公司</t>
  </si>
  <si>
    <t>0760-89982555</t>
  </si>
  <si>
    <t>万科社区教育营地</t>
  </si>
  <si>
    <t>文化教育</t>
  </si>
  <si>
    <t>12幢1座201-206卡</t>
  </si>
  <si>
    <t>悦商合【2015】第69号</t>
  </si>
  <si>
    <t>徐春梅</t>
  </si>
  <si>
    <t>18688568895</t>
  </si>
  <si>
    <t>比隆宝贝积木教育</t>
  </si>
  <si>
    <t>11幢1座302、303、304卡</t>
  </si>
  <si>
    <t>悦商合【2015】第71号</t>
  </si>
  <si>
    <t>雷雪丹</t>
  </si>
  <si>
    <t>13531796661</t>
  </si>
  <si>
    <t>富豪云吞</t>
  </si>
  <si>
    <t>14幢106卡</t>
  </si>
  <si>
    <t>悦商合【2015】第74号</t>
  </si>
  <si>
    <t>马丽华</t>
  </si>
  <si>
    <t>13411360873</t>
  </si>
  <si>
    <t>华丽之家</t>
  </si>
  <si>
    <t>12幢1座101卡</t>
  </si>
  <si>
    <t>悦商合【2015】第75号</t>
  </si>
  <si>
    <t>彭富佳</t>
  </si>
  <si>
    <t>13410888304</t>
  </si>
  <si>
    <t>彤轩快餐店</t>
  </si>
  <si>
    <t>14幢104卡</t>
  </si>
  <si>
    <t>悦商合【2015】第76号</t>
  </si>
  <si>
    <t>高瑜</t>
  </si>
  <si>
    <t>13726010077</t>
  </si>
  <si>
    <t>巴适小面</t>
  </si>
  <si>
    <t>14幢101卡</t>
  </si>
  <si>
    <t>悦商合【2015】第78号</t>
  </si>
  <si>
    <t>汪慧</t>
  </si>
  <si>
    <t>0760-89900111    13702391933</t>
  </si>
  <si>
    <t>源麦烘焙坊</t>
  </si>
  <si>
    <t>不递增</t>
  </si>
  <si>
    <t>12幢1座128卡</t>
  </si>
  <si>
    <t>悦商合【2015】第79号</t>
  </si>
  <si>
    <t>石爱平</t>
  </si>
  <si>
    <t>18688565988</t>
  </si>
  <si>
    <t>巴笛小宝</t>
  </si>
  <si>
    <t>12幢1座123卡</t>
  </si>
  <si>
    <t>悦商合【2015】第80号</t>
  </si>
  <si>
    <t>甘明达</t>
  </si>
  <si>
    <t>13531820080</t>
  </si>
  <si>
    <t>至爱生活空间红酒庄</t>
  </si>
  <si>
    <t>2018-4-16起每年递增6%</t>
  </si>
  <si>
    <t>5幢104卡</t>
  </si>
  <si>
    <t>悦商合【2015】第81号</t>
  </si>
  <si>
    <t>张玉</t>
  </si>
  <si>
    <t>13326922221</t>
  </si>
  <si>
    <t>新码头香茅炒鸡</t>
  </si>
  <si>
    <t>2018-3-1起每年递增6%</t>
  </si>
  <si>
    <t>二期</t>
  </si>
  <si>
    <t>15幢</t>
  </si>
  <si>
    <t>15幢106卡</t>
  </si>
  <si>
    <t>悦商合【2015】第82号</t>
  </si>
  <si>
    <t>陈松英</t>
  </si>
  <si>
    <t>13822711441</t>
  </si>
  <si>
    <t>海外旅行社</t>
  </si>
  <si>
    <t>15幢101卡</t>
  </si>
  <si>
    <t>悦商合【2016】第01号</t>
  </si>
  <si>
    <t>徐帅</t>
  </si>
  <si>
    <t>13925393637</t>
  </si>
  <si>
    <t>炖道养生堂</t>
  </si>
  <si>
    <t>2018-3-16起每年递增6%</t>
  </si>
  <si>
    <t>15幢107-109卡</t>
  </si>
  <si>
    <t>悦商合【2016】第02号</t>
  </si>
  <si>
    <t>中山市六坊饮食管理有限公司</t>
  </si>
  <si>
    <t>15338261065</t>
  </si>
  <si>
    <t>禧来厨房</t>
  </si>
  <si>
    <t>2018-4-1起每年递增6%</t>
  </si>
  <si>
    <t>12</t>
  </si>
  <si>
    <t>13幢113-114卡</t>
  </si>
  <si>
    <t>悦商合【2016】第03号</t>
  </si>
  <si>
    <t>16幢</t>
  </si>
  <si>
    <t>16幢101卡</t>
  </si>
  <si>
    <t>悦商合【2016】第06号</t>
  </si>
  <si>
    <t>柳镜航、林广幸</t>
  </si>
  <si>
    <t>13824708190   13928188220</t>
  </si>
  <si>
    <t>万盏</t>
  </si>
  <si>
    <t>14幢102卡</t>
  </si>
  <si>
    <t>悦商合【2016】第07号</t>
  </si>
  <si>
    <t>张子谦</t>
  </si>
  <si>
    <t>13085866060</t>
  </si>
  <si>
    <t>灵如意养生理疗</t>
  </si>
  <si>
    <t>2018-5-1起每年递增6%</t>
  </si>
  <si>
    <t>12幢2座216卡</t>
  </si>
  <si>
    <t>悦商合【2016】第08号</t>
  </si>
  <si>
    <t>何小梅</t>
  </si>
  <si>
    <t>18688132860</t>
  </si>
  <si>
    <t>贸易公司与红酒会</t>
  </si>
  <si>
    <t>商务办公</t>
  </si>
  <si>
    <t>2018-6-1起每年递增6%</t>
  </si>
  <si>
    <t>19幢</t>
  </si>
  <si>
    <t>19幢109卡</t>
  </si>
  <si>
    <t>悦商合【2016】第09号</t>
  </si>
  <si>
    <t>廖杰明</t>
  </si>
  <si>
    <t>13702799820</t>
  </si>
  <si>
    <t>富鸽一坊</t>
  </si>
  <si>
    <t>13幢116卡</t>
  </si>
  <si>
    <t>悦商合【2016】第10号</t>
  </si>
  <si>
    <t>蔡成桐</t>
  </si>
  <si>
    <t>13719089981</t>
  </si>
  <si>
    <t>仟里会</t>
  </si>
  <si>
    <t>16幢207卡</t>
  </si>
  <si>
    <t>悦商合【2016】第12号</t>
  </si>
  <si>
    <t>唐纯辉</t>
  </si>
  <si>
    <t>13432188986</t>
  </si>
  <si>
    <t>安基设计公司</t>
  </si>
  <si>
    <t>12幢2座318-320卡</t>
  </si>
  <si>
    <t>悦商合【2016】第14号</t>
  </si>
  <si>
    <t>12幢2座321卡</t>
  </si>
  <si>
    <t>悦商合【2016】第15号</t>
  </si>
  <si>
    <t>何金良</t>
  </si>
  <si>
    <t>18813728168</t>
  </si>
  <si>
    <t>素木缘斋菜馆</t>
  </si>
  <si>
    <t>13幢215-219</t>
  </si>
  <si>
    <t>悦商合【2016】第16号</t>
  </si>
  <si>
    <t>王进进、肖仕敏</t>
  </si>
  <si>
    <t>13420205121   15913485266</t>
  </si>
  <si>
    <t>扬帆教育</t>
  </si>
  <si>
    <t>12幢1座301-302卡</t>
  </si>
  <si>
    <t>悦商合【2016】第18号</t>
  </si>
  <si>
    <t>李灿铭</t>
  </si>
  <si>
    <t>13802668393</t>
  </si>
  <si>
    <t>好太太橱柜专卖店</t>
  </si>
  <si>
    <t>18幢</t>
  </si>
  <si>
    <t>18幢109卡</t>
  </si>
  <si>
    <t>悦商合【2016】第19号</t>
  </si>
  <si>
    <t>郑玉情</t>
  </si>
  <si>
    <t>18688146408</t>
  </si>
  <si>
    <t>壹盏甜品</t>
  </si>
  <si>
    <t>2018-7-1起每年递增6%</t>
  </si>
  <si>
    <t>13幢115卡</t>
  </si>
  <si>
    <t>悦商合【2016】第23号</t>
  </si>
  <si>
    <t>王理</t>
  </si>
  <si>
    <t>15115900101</t>
  </si>
  <si>
    <t>皇茶</t>
  </si>
  <si>
    <t>13幢118卡</t>
  </si>
  <si>
    <t>悦商合【2016】第27号</t>
  </si>
  <si>
    <t>张建谋</t>
  </si>
  <si>
    <t>13924929312</t>
  </si>
  <si>
    <t>诺澜国际洗衣生活馆</t>
  </si>
  <si>
    <t>生活配套</t>
  </si>
  <si>
    <t>18幢108卡</t>
  </si>
  <si>
    <t>悦商合【2016】第28号</t>
  </si>
  <si>
    <t>罗培芳</t>
  </si>
  <si>
    <t>137156226612</t>
  </si>
  <si>
    <t>益康美味店</t>
  </si>
  <si>
    <t>17幢</t>
  </si>
  <si>
    <t>17幢108卡</t>
  </si>
  <si>
    <t>悦商合【2016】第31号</t>
  </si>
  <si>
    <t>中山市顺摩数码有限公司</t>
  </si>
  <si>
    <t>18588889221</t>
  </si>
  <si>
    <t>苹果专卖店</t>
  </si>
  <si>
    <t>13幢119-120卡</t>
  </si>
  <si>
    <t>悦商合【2016】第33号</t>
  </si>
  <si>
    <t>罗立丽</t>
  </si>
  <si>
    <t>18666174811</t>
  </si>
  <si>
    <t>天山牧羊新疆主题餐厅</t>
  </si>
  <si>
    <t>悦创代签</t>
  </si>
  <si>
    <t>15幢102卡</t>
  </si>
  <si>
    <t>悦商合【2016】第34号</t>
  </si>
  <si>
    <t>王硕</t>
  </si>
  <si>
    <t>13923307581</t>
  </si>
  <si>
    <t>小竹林艺术教育培训中心</t>
  </si>
  <si>
    <t>11幢1座201-205</t>
  </si>
  <si>
    <t>悦商合【2016】第35号</t>
  </si>
  <si>
    <t>中山市华英教育培训中心</t>
  </si>
  <si>
    <t>18022155509</t>
  </si>
  <si>
    <t>12幢2座218-221卡</t>
  </si>
  <si>
    <t>悦商合【2016】第36号</t>
  </si>
  <si>
    <t>涂晓风</t>
  </si>
  <si>
    <t>13527141057</t>
  </si>
  <si>
    <t>巴巴美术</t>
  </si>
  <si>
    <t>2018-5-16起每年递增6%</t>
  </si>
  <si>
    <t>11幢2座314卡</t>
  </si>
  <si>
    <t>悦商合【2016】第37号</t>
  </si>
  <si>
    <t>容坤山</t>
  </si>
  <si>
    <t>15813126958</t>
  </si>
  <si>
    <t>容坤山口腔诊所</t>
  </si>
  <si>
    <t>17幢104卡</t>
  </si>
  <si>
    <t>悦商合【2016】第38号</t>
  </si>
  <si>
    <t>刘伟</t>
  </si>
  <si>
    <t>13825136766</t>
  </si>
  <si>
    <t>卓然装饰有限公司</t>
  </si>
  <si>
    <t>12幢2座316、317卡</t>
  </si>
  <si>
    <t>悦商合【2016】第40号</t>
  </si>
  <si>
    <t>陆丽花</t>
  </si>
  <si>
    <t>13600343145</t>
  </si>
  <si>
    <t>一鑫料理</t>
  </si>
  <si>
    <t>12幢1座124卡</t>
  </si>
  <si>
    <t>悦商合【2016】第43号</t>
  </si>
  <si>
    <t>中山市亦帆空间设计装饰工程有限公司</t>
  </si>
  <si>
    <t>13415362121</t>
  </si>
  <si>
    <t>12幢2座217卡</t>
  </si>
  <si>
    <t>悦商合【2016】第44号</t>
  </si>
  <si>
    <t>刘曼妮</t>
  </si>
  <si>
    <t>13018768333</t>
  </si>
  <si>
    <t>中山掌门人旅游有限公司</t>
  </si>
  <si>
    <t>2018-7-15起每年递增6%</t>
  </si>
  <si>
    <t>12幢1座107卡</t>
  </si>
  <si>
    <t>悦商合【2016】第46号</t>
  </si>
  <si>
    <t>16幢208卡</t>
  </si>
  <si>
    <t>悦商合【2016】第47号</t>
  </si>
  <si>
    <t>林谋飞</t>
  </si>
  <si>
    <t>18819234344</t>
  </si>
  <si>
    <t>法格莱</t>
  </si>
  <si>
    <t>2018-10-1起每年递增6%</t>
  </si>
  <si>
    <t>18幢101卡</t>
  </si>
  <si>
    <t>悦商合【2016】第48号</t>
  </si>
  <si>
    <t>潘丽娟</t>
  </si>
  <si>
    <t>18825312193</t>
  </si>
  <si>
    <t>川西坝子火锅</t>
  </si>
  <si>
    <t>16幢105-107卡</t>
  </si>
  <si>
    <t>悦商合【2016】第49号</t>
  </si>
  <si>
    <t>吴礼明</t>
  </si>
  <si>
    <t>13549854177</t>
  </si>
  <si>
    <t>2018-9-16起每年递增6%</t>
  </si>
  <si>
    <t>18幢104卡</t>
  </si>
  <si>
    <t>悦商合【2016】第50号</t>
  </si>
  <si>
    <t>黄海韶</t>
  </si>
  <si>
    <t>18928139243</t>
  </si>
  <si>
    <t>阳光鲜油坊</t>
  </si>
  <si>
    <t>17幢105卡</t>
  </si>
  <si>
    <t>悦商合【2016】第51号</t>
  </si>
  <si>
    <t>林永娱</t>
  </si>
  <si>
    <t>13715572453</t>
  </si>
  <si>
    <t>12幢2座115卡</t>
  </si>
  <si>
    <t>悦商合【2016】第52号</t>
  </si>
  <si>
    <t>张莉</t>
  </si>
  <si>
    <t>13923335923</t>
  </si>
  <si>
    <t>2018-11-1起每年递增6%</t>
  </si>
  <si>
    <t>15幢103卡</t>
  </si>
  <si>
    <t>悦商合【2016】第53号</t>
  </si>
  <si>
    <t>张英利</t>
  </si>
  <si>
    <t>大岍农</t>
  </si>
  <si>
    <t>12幢1座125卡</t>
  </si>
  <si>
    <t>悦商合【2016】第55号</t>
  </si>
  <si>
    <t>黄敏萍</t>
  </si>
  <si>
    <t>13590889900   18825333000</t>
  </si>
  <si>
    <t>2018-12-1起每年递增6%</t>
  </si>
  <si>
    <t>17幢106卡</t>
  </si>
  <si>
    <t>悦商合【2016】第56号</t>
  </si>
  <si>
    <t>徐芷莹</t>
  </si>
  <si>
    <t>13822750553</t>
  </si>
  <si>
    <t>KAKA</t>
  </si>
  <si>
    <t>2018-11-16起每年递增6%</t>
  </si>
  <si>
    <t>17幢103卡</t>
  </si>
  <si>
    <t>悦商合【2016】第57号</t>
  </si>
  <si>
    <t>魏志云</t>
  </si>
  <si>
    <t>13925316030</t>
  </si>
  <si>
    <t>阳光倍健</t>
  </si>
  <si>
    <t>装修</t>
  </si>
  <si>
    <t>17幢107卡</t>
  </si>
  <si>
    <t>悦商合【2016】第59号</t>
  </si>
  <si>
    <t>何英妹</t>
  </si>
  <si>
    <t>设计公司</t>
  </si>
  <si>
    <t>12幢2座213卡</t>
  </si>
  <si>
    <t>悦商合【2016】第61号</t>
  </si>
  <si>
    <t>李泽华</t>
  </si>
  <si>
    <t>18813399817</t>
  </si>
  <si>
    <t>15幢203卡</t>
  </si>
  <si>
    <t>悦商合【2016】第62号</t>
  </si>
  <si>
    <t>赵英</t>
  </si>
  <si>
    <t>15507670766</t>
  </si>
  <si>
    <t>东北老爹饺子馆</t>
  </si>
  <si>
    <t>17幢101卡</t>
  </si>
  <si>
    <t>悦商合【2016】第64号</t>
  </si>
  <si>
    <t>范国国</t>
  </si>
  <si>
    <t>18664413156</t>
  </si>
  <si>
    <t>杭州小笼包</t>
  </si>
  <si>
    <t>12幢1座126卡</t>
  </si>
  <si>
    <t>悦商合【2016】第65号</t>
  </si>
  <si>
    <t>杨帮虎</t>
  </si>
  <si>
    <t>13790727020</t>
  </si>
  <si>
    <t>主题餐吧</t>
  </si>
  <si>
    <t>2019-3-1起每年递增6%</t>
  </si>
  <si>
    <t>悦创天地(一至二楼)</t>
  </si>
  <si>
    <t>悦创天地112-113卡</t>
  </si>
  <si>
    <t>悦商合【2016】第66号</t>
  </si>
  <si>
    <t>陈彩连</t>
  </si>
  <si>
    <t>15907661007</t>
  </si>
  <si>
    <t>甜品屋</t>
  </si>
  <si>
    <t>13幢117卡</t>
  </si>
  <si>
    <t>悦商合【2017】第02号</t>
  </si>
  <si>
    <t>赫连康</t>
  </si>
  <si>
    <t>青少年体育培训</t>
  </si>
  <si>
    <t>2019-3-16起每年递增6%</t>
  </si>
  <si>
    <t>11幢2座309-311卡</t>
  </si>
  <si>
    <t>悦商合【2017】第03号</t>
  </si>
  <si>
    <t>中山市聚酷电子商务有限公司</t>
  </si>
  <si>
    <t>18825362399</t>
  </si>
  <si>
    <t>灯饰体验馆</t>
  </si>
  <si>
    <t>19幢101卡</t>
  </si>
  <si>
    <t>悦商合【2017】第04号</t>
  </si>
  <si>
    <t>王新泽</t>
  </si>
  <si>
    <t>13376586888</t>
  </si>
  <si>
    <t>朝天门火锅</t>
  </si>
  <si>
    <t>2019-4-1起每年递增6%</t>
  </si>
  <si>
    <t>16幢202-204卡</t>
  </si>
  <si>
    <t>悦商合【2017】第05号</t>
  </si>
  <si>
    <t>16幢104卡</t>
  </si>
  <si>
    <t>悦商合【2017】第06号</t>
  </si>
  <si>
    <t>廖丽玲</t>
  </si>
  <si>
    <t>18938749067</t>
  </si>
  <si>
    <t>美容、养生馆</t>
  </si>
  <si>
    <t>17幢102卡</t>
  </si>
  <si>
    <t>悦商合【2017】第07号</t>
  </si>
  <si>
    <t>杨焕嫦</t>
  </si>
  <si>
    <t>13392900848</t>
  </si>
  <si>
    <t>五彩阳光沙疗盐蒸馆</t>
  </si>
  <si>
    <t>16幢205-206卡</t>
  </si>
  <si>
    <t>悦商合【2017】第08号</t>
  </si>
  <si>
    <t>曹世春</t>
  </si>
  <si>
    <t>13232551808</t>
  </si>
  <si>
    <t>百年万鸿记心语茶室</t>
  </si>
  <si>
    <t>19幢110卡</t>
  </si>
  <si>
    <t>悦商合【2017】第09号</t>
  </si>
  <si>
    <t>林平</t>
  </si>
  <si>
    <t>13923337126</t>
  </si>
  <si>
    <t>悦胜棋牌室</t>
  </si>
  <si>
    <t>11幢2座212-213卡</t>
  </si>
  <si>
    <t>悦商合【2017】第10号</t>
  </si>
  <si>
    <t>杨逢春</t>
  </si>
  <si>
    <t>13822791341</t>
  </si>
  <si>
    <t>乐器培训</t>
  </si>
  <si>
    <t>休闲娱乐</t>
  </si>
  <si>
    <t>20幢</t>
  </si>
  <si>
    <t>20幢104卡</t>
  </si>
  <si>
    <t>悦商合【2017】第11号</t>
  </si>
  <si>
    <t>吴常英</t>
  </si>
  <si>
    <t>13822791341（周杰明）</t>
  </si>
  <si>
    <t>艺术培训器材</t>
  </si>
  <si>
    <t>11幢1座305-306卡</t>
  </si>
  <si>
    <t>悦商合【2017】第16号</t>
  </si>
  <si>
    <t>林凤琴</t>
  </si>
  <si>
    <t>13823907182</t>
  </si>
  <si>
    <t>家政服务</t>
  </si>
  <si>
    <t>服务</t>
  </si>
  <si>
    <t>2019-6-1起每年递增6%</t>
  </si>
  <si>
    <t>三期</t>
  </si>
  <si>
    <t>9幢</t>
  </si>
  <si>
    <t>9幢06卡</t>
  </si>
  <si>
    <t>悦商合【2017】第17号</t>
  </si>
  <si>
    <t>中山市渫碟鲜餐饮有限公司</t>
  </si>
  <si>
    <t>13128551225</t>
  </si>
  <si>
    <t>喋渫鲜酒楼</t>
  </si>
  <si>
    <t>16幢102-103卡</t>
  </si>
  <si>
    <t>悦商合【2017】第18号</t>
  </si>
  <si>
    <t>梁妃良</t>
  </si>
  <si>
    <t>港式茶餐厅</t>
  </si>
  <si>
    <t>报装</t>
  </si>
  <si>
    <t>悦创天地107-108卡</t>
  </si>
  <si>
    <t>悦商合【2017】第19号</t>
  </si>
  <si>
    <t>陈远辉</t>
  </si>
  <si>
    <t>13728785098</t>
  </si>
  <si>
    <t>披萨店</t>
  </si>
  <si>
    <t>2019-7-1起每年递增6%</t>
  </si>
  <si>
    <t>15幢105卡</t>
  </si>
  <si>
    <t>悦商合【2017】第20号</t>
  </si>
  <si>
    <t>陈佳 王德成</t>
  </si>
  <si>
    <t>13691960920 15361365007</t>
  </si>
  <si>
    <t>汽车美容</t>
  </si>
  <si>
    <t>2幢</t>
  </si>
  <si>
    <t>2幢106-107卡</t>
  </si>
  <si>
    <t>悦商合【2017】第21号</t>
  </si>
  <si>
    <t>吴杰雄</t>
  </si>
  <si>
    <t>18933379736</t>
  </si>
  <si>
    <t>五金、灯饰</t>
  </si>
  <si>
    <t>2019-5-16起每年递增6%</t>
  </si>
  <si>
    <t>18幢107卡</t>
  </si>
  <si>
    <t>悦商合【2017】第22号</t>
  </si>
  <si>
    <t>杨沛乾</t>
  </si>
  <si>
    <t>娇莉芙</t>
  </si>
  <si>
    <t>2019-8-1起每年递增6%</t>
  </si>
  <si>
    <t>5幢105-106卡</t>
  </si>
  <si>
    <t>悦商合【2017】第23号</t>
  </si>
  <si>
    <t>许志雄</t>
  </si>
  <si>
    <t>2019-7-16起每年递增6%</t>
  </si>
  <si>
    <t>1幢</t>
  </si>
  <si>
    <t>1幢201-204卡</t>
  </si>
  <si>
    <t>悦商合【2017】第24号</t>
  </si>
  <si>
    <t>中山市德云达供应链管理有限公司</t>
  </si>
  <si>
    <t>18925393918</t>
  </si>
  <si>
    <t>58速运</t>
  </si>
  <si>
    <t>2019-10-1起每年递增6%</t>
  </si>
  <si>
    <t>悦创天地130卡</t>
  </si>
  <si>
    <t>悦商合【2017】第25号</t>
  </si>
  <si>
    <t>深圳市海王星辰健康药房连锁有限公司</t>
  </si>
  <si>
    <t>13450925775</t>
  </si>
  <si>
    <t>海王星辰</t>
  </si>
  <si>
    <t>10幢</t>
  </si>
  <si>
    <t>10幢31-32卡</t>
  </si>
  <si>
    <t>悦商合【2017】第26号</t>
  </si>
  <si>
    <t>周正宇</t>
  </si>
  <si>
    <t>15900042599</t>
  </si>
  <si>
    <t>皇家冒菜</t>
  </si>
  <si>
    <t>2019-9-16起每年递增6%</t>
  </si>
  <si>
    <t>15幢104卡</t>
  </si>
  <si>
    <t>悦商合【2017】第27号</t>
  </si>
  <si>
    <t>谢明安</t>
  </si>
  <si>
    <t>13928108021</t>
  </si>
  <si>
    <t>悦创天地109卡</t>
  </si>
  <si>
    <t>悦商合【2017】第28号</t>
  </si>
  <si>
    <t>林靖淳</t>
  </si>
  <si>
    <t>15016199938</t>
  </si>
  <si>
    <t>2幢102卡</t>
  </si>
  <si>
    <t>悦商合【2017】第29号</t>
  </si>
  <si>
    <t>李耀武</t>
  </si>
  <si>
    <t>13923322576</t>
  </si>
  <si>
    <t>15幢207-209卡，16幢201卡</t>
  </si>
  <si>
    <t>悦商合【2017】第30号</t>
  </si>
  <si>
    <t>曾莹晖</t>
  </si>
  <si>
    <t>13715644339</t>
  </si>
  <si>
    <t>教育培训</t>
  </si>
  <si>
    <t>11幢1座307卡</t>
  </si>
  <si>
    <t>悦商合【2017】第31号</t>
  </si>
  <si>
    <t>余绮娜</t>
  </si>
  <si>
    <t>13823046496</t>
  </si>
  <si>
    <t>1幢108卡</t>
  </si>
  <si>
    <t>悦商合【2017】第32号</t>
  </si>
  <si>
    <t>中山市悦盈房地产代理有限公司</t>
  </si>
  <si>
    <t>0760-89913333</t>
  </si>
  <si>
    <t>房产中介</t>
  </si>
  <si>
    <t>3幢</t>
  </si>
  <si>
    <t>3幢105-106卡</t>
  </si>
  <si>
    <t>悦商合【2017】第33号</t>
  </si>
  <si>
    <t>张苏柳</t>
  </si>
  <si>
    <t>18898394299</t>
  </si>
  <si>
    <t>12幢1座122卡</t>
  </si>
  <si>
    <t>悦商合【2017】第34号</t>
  </si>
  <si>
    <t>陈子玲</t>
  </si>
  <si>
    <t>13822726048</t>
  </si>
  <si>
    <t>12幢1座103卡</t>
  </si>
  <si>
    <t>悦商合【2017】第36号</t>
  </si>
  <si>
    <t>李妍</t>
  </si>
  <si>
    <t>18826049860</t>
  </si>
  <si>
    <t>2019-8-16起每年递增6%</t>
  </si>
  <si>
    <t>4幢</t>
  </si>
  <si>
    <t>4幢106卡</t>
  </si>
  <si>
    <t>悦商合【2017】第37号</t>
  </si>
  <si>
    <t>林道松</t>
  </si>
  <si>
    <t>18125359179</t>
  </si>
  <si>
    <t>湘菜馆</t>
  </si>
  <si>
    <t>2019-9-1起每年递增6%</t>
  </si>
  <si>
    <t>悦创天地104-106卡</t>
  </si>
  <si>
    <t>悦商合【2017】第38号</t>
  </si>
  <si>
    <t>马国卿</t>
  </si>
  <si>
    <t>13923330838</t>
  </si>
  <si>
    <t>1幢109卡</t>
  </si>
  <si>
    <t>悦商合【2017】第39号</t>
  </si>
  <si>
    <t>魏麒麟</t>
  </si>
  <si>
    <t>18022027222</t>
  </si>
  <si>
    <t>3幢207卡</t>
  </si>
  <si>
    <t>悦商合【2017】第41号</t>
  </si>
  <si>
    <t>郭俊明</t>
  </si>
  <si>
    <t>13924921290</t>
  </si>
  <si>
    <t>1幢119卡</t>
  </si>
  <si>
    <t>悦商合【2017】第43号</t>
  </si>
  <si>
    <t>王应泉</t>
  </si>
  <si>
    <t>13420050558</t>
  </si>
  <si>
    <t>12幢2座118卡</t>
  </si>
  <si>
    <t>悦商合【2017】第44号</t>
  </si>
  <si>
    <t>王芳</t>
  </si>
  <si>
    <t>13725178399</t>
  </si>
  <si>
    <t>12幢2座215卡</t>
  </si>
  <si>
    <t>悦商合【2017】第45号</t>
  </si>
  <si>
    <t>周思函</t>
  </si>
  <si>
    <t>13422799385/18902828332</t>
  </si>
  <si>
    <t>4幢207卡</t>
  </si>
  <si>
    <t>悦商合【2017】第46号</t>
  </si>
  <si>
    <t>4幢208-209卡</t>
  </si>
  <si>
    <t>悦商合【2017】第48号</t>
  </si>
  <si>
    <t>黎兰山</t>
  </si>
  <si>
    <t>13706020058</t>
  </si>
  <si>
    <t>6幢1座</t>
  </si>
  <si>
    <t>6幢1座102卡</t>
  </si>
  <si>
    <t>悦商合【2017】第49号</t>
  </si>
  <si>
    <t>杨明辉</t>
  </si>
  <si>
    <t>13425530195</t>
  </si>
  <si>
    <t>悦创天地110-111卡</t>
  </si>
  <si>
    <t>悦商市合【2016】第1号</t>
  </si>
  <si>
    <t>中山市悦盈中泰市场经营管理有限公司</t>
  </si>
  <si>
    <t>0760-89900093</t>
  </si>
  <si>
    <t>2017-7-1起每年递增6%</t>
  </si>
  <si>
    <t>10幢01-08卡</t>
  </si>
  <si>
    <t>悦商写合【2016】第02号</t>
  </si>
  <si>
    <t>杨明</t>
  </si>
  <si>
    <t>13189341111</t>
  </si>
  <si>
    <t>鑫赏面店海鲜部</t>
  </si>
  <si>
    <t>悦创天地117-120卡</t>
  </si>
  <si>
    <t>杨明</t>
    <phoneticPr fontId="3" type="noConversion"/>
  </si>
  <si>
    <t>悦商写合【2016】第03号</t>
  </si>
  <si>
    <t>悦创天地116卡</t>
  </si>
  <si>
    <t>悦商写合【2016】第05号</t>
  </si>
  <si>
    <t>中山亿阳信通科技有限公司</t>
  </si>
  <si>
    <t>13631160313</t>
  </si>
  <si>
    <t>30（2018年5月1日开始31.8）</t>
  </si>
  <si>
    <t>悦创天地703卡</t>
  </si>
  <si>
    <t>悦商写合【2016】第07号</t>
  </si>
  <si>
    <t>黄敏光 黄卫东</t>
  </si>
  <si>
    <t>13420403048</t>
  </si>
  <si>
    <t>秋名道</t>
  </si>
  <si>
    <t>悦创天地115卡</t>
  </si>
  <si>
    <t>悦商合【2015】第008号</t>
  </si>
  <si>
    <t>蒋健宁</t>
    <phoneticPr fontId="3" type="noConversion"/>
  </si>
  <si>
    <t>13928121088</t>
  </si>
  <si>
    <t>为食簋茶楼</t>
  </si>
  <si>
    <t>合营项目</t>
  </si>
  <si>
    <t>13幢107-112，204-214卡</t>
  </si>
  <si>
    <t>悦商合【2015】第01号</t>
  </si>
  <si>
    <t>深圳市品优生活超市有限公司</t>
  </si>
  <si>
    <t>0755-89509928</t>
  </si>
  <si>
    <t>品优生活超市</t>
  </si>
  <si>
    <t>商业中心116-130卡</t>
  </si>
  <si>
    <t>悦商合【2015】第88号</t>
  </si>
  <si>
    <t>中山市智恒游乐管理有限公司</t>
  </si>
  <si>
    <t>13925308838</t>
  </si>
  <si>
    <t>智趣冰雪王国</t>
  </si>
  <si>
    <t>每两年递增5%</t>
  </si>
  <si>
    <t>商业中心207-210，306-308卡</t>
  </si>
  <si>
    <t>悦商合【2015】第89号</t>
  </si>
  <si>
    <t>广东大器无声投资管理有限公司</t>
  </si>
  <si>
    <t>0760-23768508</t>
  </si>
  <si>
    <t>大象东方蜡像艺术体验馆</t>
  </si>
  <si>
    <t>商业中心201-203卡</t>
  </si>
  <si>
    <t>悦商合【2016】第30号</t>
  </si>
  <si>
    <t>陈发昌</t>
  </si>
  <si>
    <t>0760-89900111</t>
  </si>
  <si>
    <t>爱婴岛</t>
  </si>
  <si>
    <t>15</t>
  </si>
  <si>
    <t>商业中心204-206</t>
  </si>
  <si>
    <t>景达自用2</t>
  </si>
  <si>
    <t>梁世雷</t>
  </si>
  <si>
    <t>办公室</t>
  </si>
  <si>
    <t>自用</t>
  </si>
  <si>
    <t>12幢2座315卡</t>
  </si>
  <si>
    <t>管理费</t>
  </si>
  <si>
    <t>商业（有租约）</t>
    <phoneticPr fontId="7" type="noConversion"/>
  </si>
  <si>
    <t>可视性</t>
    <phoneticPr fontId="45" type="noConversion"/>
  </si>
  <si>
    <t>较好</t>
  </si>
  <si>
    <t>六通</t>
  </si>
  <si>
    <t>多面临街</t>
    <phoneticPr fontId="45" type="noConversion"/>
  </si>
  <si>
    <t>双面临街</t>
  </si>
  <si>
    <t>双面临街</t>
    <phoneticPr fontId="45" type="noConversion"/>
  </si>
  <si>
    <t>单面临街</t>
  </si>
  <si>
    <t>单面临街</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</si>
  <si>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</si>
  <si>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</si>
  <si>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</si>
  <si>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</si>
  <si>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</si>
  <si>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</si>
  <si>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1层</t>
  </si>
  <si>
    <t>1层</t>
    <phoneticPr fontId="45" type="noConversion"/>
  </si>
  <si>
    <t>1-2层</t>
  </si>
  <si>
    <t>1-2层</t>
    <phoneticPr fontId="45" type="noConversion"/>
  </si>
  <si>
    <t>2层</t>
    <phoneticPr fontId="45" type="noConversion"/>
  </si>
  <si>
    <t>综合体</t>
    <phoneticPr fontId="45" type="noConversion"/>
  </si>
  <si>
    <t>商业街</t>
  </si>
  <si>
    <t>商业街</t>
    <phoneticPr fontId="45" type="noConversion"/>
  </si>
  <si>
    <t>底商</t>
    <phoneticPr fontId="45" type="noConversion"/>
  </si>
  <si>
    <t>钢混</t>
  </si>
  <si>
    <t>钢混</t>
    <phoneticPr fontId="45" type="noConversion"/>
  </si>
  <si>
    <t>砖混</t>
    <phoneticPr fontId="45" type="noConversion"/>
  </si>
  <si>
    <t>砖</t>
    <phoneticPr fontId="45" type="noConversion"/>
  </si>
  <si>
    <t>精装修</t>
    <phoneticPr fontId="45" type="noConversion"/>
  </si>
  <si>
    <t>简装</t>
  </si>
  <si>
    <t>简装</t>
    <phoneticPr fontId="45" type="noConversion"/>
  </si>
  <si>
    <t>毛坯</t>
  </si>
  <si>
    <t>毛坯</t>
    <phoneticPr fontId="45" type="noConversion"/>
  </si>
  <si>
    <t>普通装修</t>
  </si>
  <si>
    <t>普通装修</t>
    <phoneticPr fontId="45" type="noConversion"/>
  </si>
  <si>
    <t>六通</t>
    <phoneticPr fontId="45" type="noConversion"/>
  </si>
  <si>
    <t>五通</t>
    <phoneticPr fontId="45" type="noConversion"/>
  </si>
  <si>
    <t>四通</t>
    <phoneticPr fontId="45" type="noConversion"/>
  </si>
  <si>
    <t>三通</t>
    <phoneticPr fontId="45" type="noConversion"/>
  </si>
  <si>
    <t>挑高层高</t>
  </si>
  <si>
    <t>挑高层高</t>
    <phoneticPr fontId="45" type="noConversion"/>
  </si>
  <si>
    <t>标准层高</t>
    <phoneticPr fontId="45" type="noConversion"/>
  </si>
  <si>
    <t>30-200</t>
    <phoneticPr fontId="45" type="noConversion"/>
  </si>
  <si>
    <t>商业</t>
    <phoneticPr fontId="45" type="noConversion"/>
  </si>
  <si>
    <t>30-40（含）</t>
  </si>
  <si>
    <t>正邦.华颢豪庭</t>
    <phoneticPr fontId="3" type="noConversion"/>
  </si>
  <si>
    <t>中山市南区城南一路28号</t>
    <phoneticPr fontId="3" type="noConversion"/>
  </si>
  <si>
    <t>映翠豪庭</t>
    <phoneticPr fontId="3" type="noConversion"/>
  </si>
  <si>
    <t>中山市悦城路12号</t>
    <phoneticPr fontId="3" type="noConversion"/>
  </si>
  <si>
    <t>越秀星汇云锦</t>
    <phoneticPr fontId="3" type="noConversion"/>
  </si>
  <si>
    <t>中山市南区兴南路25号</t>
    <phoneticPr fontId="3" type="noConversion"/>
  </si>
  <si>
    <t>押一</t>
  </si>
  <si>
    <t>收益法</t>
  </si>
  <si>
    <t>收益法 (2)</t>
  </si>
  <si>
    <t>收益法 (2)</t>
    <phoneticPr fontId="17" type="noConversion"/>
  </si>
  <si>
    <t>收益法（汇总）</t>
  </si>
  <si>
    <t>项目局部</t>
  </si>
  <si>
    <t>一层</t>
    <phoneticPr fontId="45" type="noConversion"/>
  </si>
  <si>
    <t>二层</t>
    <phoneticPr fontId="45" type="noConversion"/>
  </si>
  <si>
    <t>三层</t>
    <phoneticPr fontId="45" type="noConversion"/>
  </si>
  <si>
    <t>四层</t>
    <phoneticPr fontId="45" type="noConversion"/>
  </si>
  <si>
    <t>楼层</t>
    <phoneticPr fontId="45" type="noConversion"/>
  </si>
  <si>
    <t>楼层系数</t>
    <phoneticPr fontId="45" type="noConversion"/>
  </si>
  <si>
    <t>面积</t>
    <phoneticPr fontId="45" type="noConversion"/>
  </si>
  <si>
    <t>修正单价</t>
    <phoneticPr fontId="45" type="noConversion"/>
  </si>
  <si>
    <t>汇总</t>
    <phoneticPr fontId="45"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</si>
  <si>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</si>
  <si>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</si>
  <si>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</si>
  <si>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</si>
  <si>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</si>
  <si>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</si>
  <si>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</si>
  <si>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</si>
  <si>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</si>
  <si>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</si>
  <si>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</si>
  <si>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</si>
  <si>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</si>
  <si>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写字楼底铺</t>
    <phoneticPr fontId="3" type="noConversion"/>
  </si>
  <si>
    <t>分层面积汇总表</t>
    <phoneticPr fontId="205" type="noConversion"/>
  </si>
  <si>
    <t>楼层面积占比</t>
    <phoneticPr fontId="45" type="noConversion"/>
  </si>
  <si>
    <t>总价</t>
    <phoneticPr fontId="45" type="noConversion"/>
  </si>
  <si>
    <t>单价</t>
    <phoneticPr fontId="45" type="noConversion"/>
  </si>
  <si>
    <t>商业测算结果</t>
    <phoneticPr fontId="45" type="noConversion"/>
  </si>
  <si>
    <t>比较法</t>
    <phoneticPr fontId="45" type="noConversion"/>
  </si>
  <si>
    <t>收益法</t>
    <phoneticPr fontId="45" type="noConversion"/>
  </si>
  <si>
    <t>欧雅公馆</t>
    <phoneticPr fontId="3" type="noConversion"/>
  </si>
  <si>
    <t>中山市石岐区博爱二路2号</t>
    <phoneticPr fontId="3" type="noConversion"/>
  </si>
  <si>
    <t>办公</t>
    <phoneticPr fontId="46" type="noConversion"/>
  </si>
  <si>
    <t>公寓</t>
  </si>
  <si>
    <t>公寓</t>
    <phoneticPr fontId="46" type="noConversion"/>
  </si>
  <si>
    <t>40-50（含）</t>
  </si>
  <si>
    <t>典型户型修正</t>
  </si>
  <si>
    <t>典型户型修正</t>
    <phoneticPr fontId="17" type="noConversion"/>
  </si>
  <si>
    <t>快速路</t>
  </si>
  <si>
    <t>快速路</t>
    <phoneticPr fontId="46" type="noConversion"/>
  </si>
  <si>
    <t>主干道</t>
  </si>
  <si>
    <t>主干道</t>
    <phoneticPr fontId="46" type="noConversion"/>
  </si>
  <si>
    <t>30-100</t>
    <phoneticPr fontId="46" type="noConversion"/>
  </si>
  <si>
    <t>次干道</t>
    <phoneticPr fontId="46" type="noConversion"/>
  </si>
  <si>
    <t>支路</t>
  </si>
  <si>
    <t>支路</t>
    <phoneticPr fontId="46" type="noConversion"/>
  </si>
  <si>
    <t>钢混</t>
    <phoneticPr fontId="46" type="noConversion"/>
  </si>
  <si>
    <t>混合</t>
    <phoneticPr fontId="46" type="noConversion"/>
  </si>
  <si>
    <t>砖</t>
    <phoneticPr fontId="46" type="noConversion"/>
  </si>
  <si>
    <t>精装修</t>
  </si>
  <si>
    <t>精装修</t>
    <phoneticPr fontId="46" type="noConversion"/>
  </si>
  <si>
    <t>普通装修</t>
    <phoneticPr fontId="46" type="noConversion"/>
  </si>
  <si>
    <t>甲级</t>
    <phoneticPr fontId="46" type="noConversion"/>
  </si>
  <si>
    <t>乙级</t>
    <phoneticPr fontId="46" type="noConversion"/>
  </si>
  <si>
    <t>丙级</t>
    <phoneticPr fontId="46" type="noConversion"/>
  </si>
  <si>
    <t>专业</t>
  </si>
  <si>
    <t>专业</t>
    <phoneticPr fontId="46" type="noConversion"/>
  </si>
  <si>
    <t>非专业</t>
    <phoneticPr fontId="46" type="noConversion"/>
  </si>
  <si>
    <t>六通</t>
    <phoneticPr fontId="46" type="noConversion"/>
  </si>
  <si>
    <t>五通</t>
    <phoneticPr fontId="46" type="noConversion"/>
  </si>
  <si>
    <t>四通</t>
    <phoneticPr fontId="46" type="noConversion"/>
  </si>
  <si>
    <t>三通</t>
    <phoneticPr fontId="46" type="noConversion"/>
  </si>
  <si>
    <t>挑高层高</t>
    <phoneticPr fontId="46" type="noConversion"/>
  </si>
  <si>
    <t>标准层高</t>
  </si>
  <si>
    <t>标准层高</t>
    <phoneticPr fontId="46" type="noConversion"/>
  </si>
  <si>
    <t>简装</t>
    <phoneticPr fontId="46" type="noConversion"/>
  </si>
  <si>
    <t>毛坯</t>
    <phoneticPr fontId="46" type="noConversion"/>
  </si>
  <si>
    <t>标准写字楼</t>
  </si>
  <si>
    <t>标准写字楼</t>
    <phoneticPr fontId="46" type="noConversion"/>
  </si>
  <si>
    <t>公寓</t>
    <phoneticPr fontId="46" type="noConversion"/>
  </si>
  <si>
    <t>鸿福.翰城</t>
    <phoneticPr fontId="3" type="noConversion"/>
  </si>
  <si>
    <t>中山市南区恒和街1号</t>
    <phoneticPr fontId="3" type="noConversion"/>
  </si>
  <si>
    <t>较差</t>
  </si>
  <si>
    <t>中澳滨河湾</t>
    <phoneticPr fontId="3" type="noConversion"/>
  </si>
  <si>
    <t>中山市南区悦来南路34号</t>
    <phoneticPr fontId="3" type="noConversion"/>
  </si>
  <si>
    <t>收益法 (3)</t>
  </si>
  <si>
    <t>收益法 (3)</t>
    <phoneticPr fontId="17" type="noConversion"/>
  </si>
  <si>
    <t>比较法-办公</t>
  </si>
  <si>
    <t>地下车位</t>
  </si>
  <si>
    <t>地下车位</t>
    <phoneticPr fontId="4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</si>
  <si>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6" type="noConversion"/>
  </si>
  <si>
    <r>
      <rPr>
        <sz val="11"/>
        <color indexed="8"/>
        <rFont val="宋体"/>
        <family val="3"/>
        <charset val="134"/>
      </rPr>
      <t>负</t>
    </r>
    <r>
      <rPr>
        <sz val="11"/>
        <color indexed="8"/>
        <rFont val="Arial"/>
        <family val="2"/>
      </rPr>
      <t>2</t>
    </r>
    <r>
      <rPr>
        <sz val="11"/>
        <color indexed="8"/>
        <rFont val="宋体"/>
        <family val="3"/>
        <charset val="134"/>
      </rPr>
      <t>层</t>
    </r>
    <phoneticPr fontId="46" type="noConversion"/>
  </si>
  <si>
    <t>住宅</t>
    <phoneticPr fontId="46" type="noConversion"/>
  </si>
  <si>
    <t>商业</t>
    <phoneticPr fontId="46" type="noConversion"/>
  </si>
  <si>
    <t>办公</t>
    <phoneticPr fontId="46" type="noConversion"/>
  </si>
  <si>
    <t>平面</t>
  </si>
  <si>
    <t>平面</t>
    <phoneticPr fontId="46" type="noConversion"/>
  </si>
  <si>
    <t>立体</t>
    <phoneticPr fontId="46" type="noConversion"/>
  </si>
  <si>
    <t>是</t>
    <phoneticPr fontId="46" type="noConversion"/>
  </si>
  <si>
    <t>否</t>
    <phoneticPr fontId="46" type="noConversion"/>
  </si>
  <si>
    <t>负1层</t>
  </si>
  <si>
    <t>收益法 (4)</t>
  </si>
  <si>
    <t>收益法 (4)</t>
    <phoneticPr fontId="17" type="noConversion"/>
  </si>
  <si>
    <t>比较法-车位</t>
  </si>
  <si>
    <t>价值汇总</t>
    <phoneticPr fontId="8" type="noConversion"/>
  </si>
  <si>
    <t>商业</t>
    <phoneticPr fontId="8" type="noConversion"/>
  </si>
  <si>
    <t>办公</t>
    <phoneticPr fontId="8" type="noConversion"/>
  </si>
  <si>
    <t>地下车库</t>
    <phoneticPr fontId="8" type="noConversion"/>
  </si>
  <si>
    <t>合计</t>
    <phoneticPr fontId="8" type="noConversion"/>
  </si>
  <si>
    <t>比较法</t>
    <phoneticPr fontId="8" type="noConversion"/>
  </si>
  <si>
    <t>收益法</t>
    <phoneticPr fontId="8" type="noConversion"/>
  </si>
  <si>
    <t>加权总价</t>
    <phoneticPr fontId="8" type="noConversion"/>
  </si>
  <si>
    <t>单价</t>
    <phoneticPr fontId="8" type="noConversion"/>
  </si>
  <si>
    <t>面积</t>
    <phoneticPr fontId="8" type="noConversion"/>
  </si>
  <si>
    <t>一期</t>
    <phoneticPr fontId="205" type="noConversion"/>
  </si>
  <si>
    <t>商业</t>
    <phoneticPr fontId="205" type="noConversion"/>
  </si>
  <si>
    <t>车位</t>
    <phoneticPr fontId="205" type="noConversion"/>
  </si>
  <si>
    <t>二期</t>
    <phoneticPr fontId="205" type="noConversion"/>
  </si>
  <si>
    <t>商业</t>
    <phoneticPr fontId="205" type="noConversion"/>
  </si>
  <si>
    <t>办公</t>
    <phoneticPr fontId="205" type="noConversion"/>
  </si>
  <si>
    <t>三期</t>
    <phoneticPr fontId="205" type="noConversion"/>
  </si>
  <si>
    <t>合计</t>
    <phoneticPr fontId="205" type="noConversion"/>
  </si>
  <si>
    <t>/</t>
    <phoneticPr fontId="205" type="noConversion"/>
  </si>
  <si>
    <t>面积小计</t>
    <phoneticPr fontId="3" type="noConversion"/>
  </si>
  <si>
    <t>面积小计</t>
    <phoneticPr fontId="205" type="noConversion"/>
  </si>
  <si>
    <t>小计</t>
    <phoneticPr fontId="3" type="noConversion"/>
  </si>
</sst>
</file>

<file path=xl/styles.xml><?xml version="1.0" encoding="utf-8"?>
<styleSheet xmlns="http://schemas.openxmlformats.org/spreadsheetml/2006/main">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 numFmtId="199" formatCode="_(* #,##0.00_);_(* \(#,##0.00\);_(* &quot;-&quot;??_);_(@_)"/>
    <numFmt numFmtId="200" formatCode="_-* #,##0_-;\-* #,##0_-;_-* &quot;-&quot;??_-;_-@_-"/>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2"/>
      <name val="Times New Roman"/>
      <family val="1"/>
    </font>
    <font>
      <sz val="8"/>
      <name val="宋体"/>
      <family val="3"/>
      <charset val="134"/>
    </font>
    <font>
      <sz val="8"/>
      <name val="Times New Roman"/>
      <family val="1"/>
    </font>
    <font>
      <b/>
      <sz val="9"/>
      <color indexed="81"/>
      <name val="Tahoma"/>
      <family val="2"/>
    </font>
    <font>
      <sz val="9"/>
      <color indexed="81"/>
      <name val="Tahoma"/>
      <family val="2"/>
    </font>
    <font>
      <sz val="11"/>
      <color theme="1"/>
      <name val="宋体"/>
      <family val="3"/>
      <charset val="134"/>
      <scheme val="minor"/>
    </font>
    <font>
      <sz val="12"/>
      <color indexed="8"/>
      <name val="宋体"/>
      <family val="3"/>
      <charset val="134"/>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FC000"/>
        <bgColor indexed="64"/>
      </patternFill>
    </fill>
    <fill>
      <patternFill patternType="solid">
        <fgColor indexed="22"/>
        <bgColor indexed="64"/>
      </patternFill>
    </fill>
    <fill>
      <patternFill patternType="solid">
        <fgColor indexed="43"/>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8" fillId="0" borderId="0" applyFont="0" applyFill="0" applyBorder="0" applyAlignment="0" applyProtection="0">
      <alignment vertical="center"/>
    </xf>
    <xf numFmtId="0" fontId="269" fillId="0" borderId="0">
      <alignment vertical="center"/>
    </xf>
  </cellStyleXfs>
  <cellXfs count="395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6" fillId="0" borderId="5" xfId="0" applyFont="1" applyFill="1" applyBorder="1" applyAlignment="1">
      <alignment vertical="center"/>
    </xf>
    <xf numFmtId="0" fontId="206" fillId="0" borderId="1" xfId="0" applyFont="1" applyFill="1" applyBorder="1" applyAlignment="1">
      <alignment horizontal="center" vertical="center"/>
    </xf>
    <xf numFmtId="0" fontId="206" fillId="0" borderId="1" xfId="0" applyNumberFormat="1" applyFont="1" applyFill="1" applyBorder="1" applyAlignment="1">
      <alignment horizontal="center" vertical="center" wrapText="1"/>
    </xf>
    <xf numFmtId="0" fontId="263" fillId="0" borderId="1" xfId="0" applyFont="1" applyFill="1" applyBorder="1" applyAlignment="1">
      <alignment horizontal="center" vertical="center"/>
    </xf>
    <xf numFmtId="0" fontId="263" fillId="0" borderId="1" xfId="0" applyFont="1" applyFill="1" applyBorder="1">
      <alignment vertical="center"/>
    </xf>
    <xf numFmtId="0" fontId="264" fillId="0"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263" fillId="16" borderId="1" xfId="0" applyFont="1" applyFill="1" applyBorder="1" applyAlignment="1">
      <alignment horizontal="center" vertical="center"/>
    </xf>
    <xf numFmtId="0" fontId="265" fillId="0" borderId="1" xfId="0" applyFont="1" applyFill="1" applyBorder="1">
      <alignment vertical="center"/>
    </xf>
    <xf numFmtId="0" fontId="263" fillId="17" borderId="1" xfId="0" applyFont="1" applyFill="1" applyBorder="1" applyAlignment="1">
      <alignment horizontal="center" vertical="center"/>
    </xf>
    <xf numFmtId="0" fontId="263" fillId="7" borderId="1" xfId="0" applyFont="1" applyFill="1" applyBorder="1">
      <alignment vertical="center"/>
    </xf>
    <xf numFmtId="0" fontId="56" fillId="0" borderId="1" xfId="0" applyFont="1" applyFill="1" applyBorder="1" applyAlignment="1">
      <alignment horizontal="center" vertical="center" wrapText="1"/>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269" fillId="0" borderId="0" xfId="0" applyFont="1" applyAlignment="1">
      <alignment horizontal="center" vertical="center" wrapText="1"/>
    </xf>
    <xf numFmtId="14" fontId="269" fillId="0" borderId="0" xfId="0" applyNumberFormat="1" applyFont="1" applyAlignment="1">
      <alignment horizontal="center" vertical="center" wrapText="1"/>
    </xf>
    <xf numFmtId="0" fontId="269" fillId="18" borderId="0" xfId="0" applyFont="1" applyFill="1" applyAlignment="1">
      <alignment horizontal="center" vertical="center" wrapText="1"/>
    </xf>
    <xf numFmtId="197" fontId="269" fillId="19" borderId="1" xfId="0" applyNumberFormat="1" applyFont="1" applyFill="1" applyBorder="1" applyAlignment="1">
      <alignment horizontal="right" vertical="center" wrapText="1"/>
    </xf>
    <xf numFmtId="0" fontId="269" fillId="0" borderId="0" xfId="0" applyNumberFormat="1" applyFont="1" applyAlignment="1">
      <alignment horizontal="left" vertical="center" wrapText="1"/>
    </xf>
    <xf numFmtId="0" fontId="269" fillId="0" borderId="0" xfId="0" applyNumberFormat="1" applyFont="1" applyAlignment="1">
      <alignment horizontal="center" vertical="center" wrapText="1"/>
    </xf>
    <xf numFmtId="10" fontId="269" fillId="0" borderId="0" xfId="0" applyNumberFormat="1" applyFont="1" applyAlignment="1">
      <alignment horizontal="center" vertical="center" wrapText="1"/>
    </xf>
    <xf numFmtId="197" fontId="269" fillId="0" borderId="0" xfId="0" applyNumberFormat="1" applyFont="1" applyAlignment="1">
      <alignment horizontal="right" vertical="center" wrapText="1"/>
    </xf>
    <xf numFmtId="43" fontId="269" fillId="0" borderId="0" xfId="0" applyNumberFormat="1" applyFont="1" applyAlignment="1">
      <alignment horizontal="center" vertical="center" wrapText="1"/>
    </xf>
    <xf numFmtId="0" fontId="269" fillId="18" borderId="1" xfId="0" applyNumberFormat="1" applyFont="1" applyFill="1" applyBorder="1" applyAlignment="1">
      <alignment horizontal="center" vertical="center" wrapText="1"/>
    </xf>
    <xf numFmtId="43" fontId="269" fillId="0" borderId="0" xfId="0" applyNumberFormat="1" applyFont="1" applyAlignment="1">
      <alignment horizontal="left" vertical="center" wrapText="1"/>
    </xf>
    <xf numFmtId="0" fontId="0" fillId="18" borderId="0" xfId="0" applyFill="1" applyAlignment="1">
      <alignment vertical="center" wrapText="1"/>
    </xf>
    <xf numFmtId="179" fontId="0" fillId="0" borderId="0" xfId="0" applyNumberFormat="1" applyAlignment="1">
      <alignment vertical="center" wrapText="1"/>
    </xf>
    <xf numFmtId="0" fontId="0" fillId="0" borderId="0" xfId="0" applyNumberFormat="1" applyAlignment="1">
      <alignment vertical="center" wrapText="1"/>
    </xf>
    <xf numFmtId="49" fontId="269" fillId="0" borderId="1" xfId="0" applyNumberFormat="1" applyFont="1" applyFill="1" applyBorder="1" applyAlignment="1" applyProtection="1">
      <alignment horizontal="center" vertical="center" wrapText="1"/>
      <protection locked="0"/>
    </xf>
    <xf numFmtId="49" fontId="56" fillId="0" borderId="1" xfId="0" applyNumberFormat="1" applyFont="1" applyFill="1" applyBorder="1" applyAlignment="1">
      <alignment horizontal="center" vertical="center" wrapText="1"/>
    </xf>
    <xf numFmtId="10" fontId="269" fillId="0" borderId="1" xfId="0" applyNumberFormat="1" applyFont="1" applyFill="1" applyBorder="1" applyAlignment="1" applyProtection="1">
      <alignment horizontal="center" vertical="center" wrapText="1"/>
      <protection locked="0"/>
    </xf>
    <xf numFmtId="196" fontId="269" fillId="0" borderId="1" xfId="0" applyNumberFormat="1" applyFont="1" applyFill="1" applyBorder="1" applyAlignment="1" applyProtection="1">
      <alignment horizontal="center" vertical="center" wrapText="1"/>
      <protection locked="0"/>
    </xf>
    <xf numFmtId="196" fontId="269" fillId="18" borderId="1" xfId="0" applyNumberFormat="1" applyFont="1" applyFill="1" applyBorder="1" applyAlignment="1" applyProtection="1">
      <alignment horizontal="center" vertical="center" wrapText="1"/>
      <protection locked="0"/>
    </xf>
    <xf numFmtId="177" fontId="269" fillId="0" borderId="1" xfId="13" applyNumberFormat="1" applyFont="1" applyBorder="1" applyAlignment="1" applyProtection="1">
      <alignment horizontal="center" vertical="center" wrapText="1"/>
      <protection locked="0"/>
    </xf>
    <xf numFmtId="179" fontId="269" fillId="0" borderId="1" xfId="0" applyNumberFormat="1" applyFont="1" applyFill="1" applyBorder="1" applyAlignment="1" applyProtection="1">
      <alignment horizontal="center" vertical="center" wrapText="1"/>
      <protection locked="0"/>
    </xf>
    <xf numFmtId="179" fontId="56" fillId="0" borderId="1" xfId="0" applyNumberFormat="1" applyFont="1" applyFill="1" applyBorder="1" applyAlignment="1">
      <alignment horizontal="center" vertical="center" wrapText="1"/>
    </xf>
    <xf numFmtId="49" fontId="269" fillId="0" borderId="5" xfId="0" applyNumberFormat="1" applyFont="1" applyFill="1" applyBorder="1" applyAlignment="1" applyProtection="1">
      <alignment horizontal="center" vertical="center" wrapText="1"/>
      <protection locked="0"/>
    </xf>
    <xf numFmtId="197" fontId="269" fillId="0" borderId="1" xfId="0" applyNumberFormat="1" applyFont="1" applyFill="1" applyBorder="1" applyAlignment="1">
      <alignment horizontal="right" vertical="center" wrapText="1"/>
    </xf>
    <xf numFmtId="43" fontId="269" fillId="0" borderId="1" xfId="0" applyNumberFormat="1" applyFont="1" applyFill="1" applyBorder="1" applyAlignment="1" applyProtection="1">
      <alignment horizontal="left" vertical="center" wrapText="1"/>
      <protection locked="0"/>
    </xf>
    <xf numFmtId="197" fontId="269" fillId="0" borderId="0" xfId="0" applyNumberFormat="1" applyFont="1" applyFill="1" applyBorder="1" applyAlignment="1" applyProtection="1">
      <alignment horizontal="left" vertical="center" wrapText="1"/>
      <protection locked="0"/>
    </xf>
    <xf numFmtId="49" fontId="56" fillId="0" borderId="1" xfId="0" applyNumberFormat="1" applyFont="1" applyBorder="1" applyAlignment="1">
      <alignment horizontal="center" vertical="center" wrapText="1"/>
    </xf>
    <xf numFmtId="49" fontId="269" fillId="0" borderId="1" xfId="0" applyNumberFormat="1" applyFont="1" applyBorder="1" applyAlignment="1" applyProtection="1">
      <alignment horizontal="center" vertical="center" wrapText="1"/>
      <protection locked="0"/>
    </xf>
    <xf numFmtId="10" fontId="56" fillId="0" borderId="1" xfId="0" applyNumberFormat="1" applyFont="1" applyBorder="1" applyAlignment="1">
      <alignment horizontal="center" vertical="center" wrapText="1"/>
    </xf>
    <xf numFmtId="196" fontId="56" fillId="0" borderId="1" xfId="0" applyNumberFormat="1" applyFont="1" applyBorder="1" applyAlignment="1">
      <alignment horizontal="center" vertical="center" wrapText="1"/>
    </xf>
    <xf numFmtId="196" fontId="56" fillId="18" borderId="1" xfId="0" applyNumberFormat="1" applyFont="1" applyFill="1" applyBorder="1" applyAlignment="1">
      <alignment horizontal="center" vertical="center" wrapText="1"/>
    </xf>
    <xf numFmtId="177" fontId="56" fillId="0" borderId="1" xfId="13" applyNumberFormat="1" applyFont="1" applyBorder="1" applyAlignment="1">
      <alignment horizontal="center" vertical="center" wrapText="1"/>
    </xf>
    <xf numFmtId="179" fontId="56" fillId="0" borderId="1" xfId="0" applyNumberFormat="1" applyFont="1" applyBorder="1" applyAlignment="1">
      <alignment horizontal="center" vertical="center" wrapText="1"/>
    </xf>
    <xf numFmtId="49" fontId="56" fillId="0" borderId="5" xfId="13" applyNumberFormat="1" applyFont="1" applyBorder="1" applyAlignment="1">
      <alignment horizontal="center" vertical="center" wrapText="1"/>
    </xf>
    <xf numFmtId="197" fontId="269" fillId="0" borderId="0" xfId="0" applyNumberFormat="1" applyFont="1" applyFill="1" applyBorder="1" applyAlignment="1">
      <alignment horizontal="right" vertical="center" wrapText="1"/>
    </xf>
    <xf numFmtId="10" fontId="269" fillId="0" borderId="1" xfId="0" applyNumberFormat="1" applyFont="1" applyBorder="1" applyAlignment="1" applyProtection="1">
      <alignment horizontal="center" vertical="center" wrapText="1"/>
      <protection locked="0"/>
    </xf>
    <xf numFmtId="198" fontId="56" fillId="0" borderId="1" xfId="13" applyNumberFormat="1" applyFont="1" applyBorder="1" applyAlignment="1">
      <alignment horizontal="right" vertical="center" wrapText="1"/>
    </xf>
    <xf numFmtId="49" fontId="56" fillId="7" borderId="1" xfId="0" applyNumberFormat="1" applyFont="1" applyFill="1" applyBorder="1" applyAlignment="1">
      <alignment horizontal="center" vertical="center" wrapText="1"/>
    </xf>
    <xf numFmtId="49" fontId="269" fillId="7" borderId="1" xfId="0" applyNumberFormat="1" applyFont="1" applyFill="1" applyBorder="1" applyAlignment="1" applyProtection="1">
      <alignment horizontal="center" vertical="center" wrapText="1"/>
      <protection locked="0"/>
    </xf>
    <xf numFmtId="10" fontId="56" fillId="7" borderId="1" xfId="0" applyNumberFormat="1" applyFont="1" applyFill="1" applyBorder="1" applyAlignment="1">
      <alignment horizontal="center" vertical="center" wrapText="1"/>
    </xf>
    <xf numFmtId="196" fontId="56" fillId="7" borderId="1" xfId="0" applyNumberFormat="1" applyFont="1" applyFill="1" applyBorder="1" applyAlignment="1">
      <alignment horizontal="center" vertical="center" wrapText="1"/>
    </xf>
    <xf numFmtId="196" fontId="269" fillId="7" borderId="1" xfId="0" applyNumberFormat="1" applyFont="1" applyFill="1" applyBorder="1" applyAlignment="1" applyProtection="1">
      <alignment horizontal="center" vertical="center" wrapText="1"/>
      <protection locked="0"/>
    </xf>
    <xf numFmtId="177" fontId="269" fillId="7" borderId="1" xfId="13" applyNumberFormat="1" applyFont="1" applyFill="1" applyBorder="1" applyAlignment="1" applyProtection="1">
      <alignment horizontal="center" vertical="center" wrapText="1"/>
      <protection locked="0"/>
    </xf>
    <xf numFmtId="179" fontId="56" fillId="7" borderId="1" xfId="0" applyNumberFormat="1" applyFont="1" applyFill="1" applyBorder="1" applyAlignment="1">
      <alignment horizontal="center" vertical="center" wrapText="1"/>
    </xf>
    <xf numFmtId="179" fontId="269" fillId="7" borderId="1" xfId="0" applyNumberFormat="1" applyFont="1" applyFill="1" applyBorder="1" applyAlignment="1" applyProtection="1">
      <alignment horizontal="center" vertical="center" wrapText="1"/>
      <protection locked="0"/>
    </xf>
    <xf numFmtId="49" fontId="269" fillId="7" borderId="5" xfId="0" applyNumberFormat="1" applyFont="1" applyFill="1" applyBorder="1" applyAlignment="1" applyProtection="1">
      <alignment horizontal="center" vertical="center" wrapText="1"/>
      <protection locked="0"/>
    </xf>
    <xf numFmtId="197" fontId="269" fillId="7" borderId="1" xfId="0" applyNumberFormat="1" applyFont="1" applyFill="1" applyBorder="1" applyAlignment="1">
      <alignment horizontal="right" vertical="center" wrapText="1"/>
    </xf>
    <xf numFmtId="43" fontId="269" fillId="7" borderId="0" xfId="0" applyNumberFormat="1" applyFont="1" applyFill="1" applyAlignment="1">
      <alignment horizontal="center" vertical="center" wrapText="1"/>
    </xf>
    <xf numFmtId="0" fontId="269" fillId="7" borderId="0" xfId="0" applyNumberFormat="1" applyFont="1" applyFill="1" applyAlignment="1">
      <alignment horizontal="center" vertical="center" wrapText="1"/>
    </xf>
    <xf numFmtId="0" fontId="269" fillId="7" borderId="0" xfId="0" applyFont="1" applyFill="1" applyAlignment="1">
      <alignment horizontal="center" vertical="center" wrapText="1"/>
    </xf>
    <xf numFmtId="10" fontId="56" fillId="0" borderId="1" xfId="0" applyNumberFormat="1" applyFont="1" applyFill="1" applyBorder="1" applyAlignment="1">
      <alignment horizontal="center" vertical="center" wrapText="1"/>
    </xf>
    <xf numFmtId="196" fontId="56" fillId="0" borderId="1" xfId="0" applyNumberFormat="1" applyFont="1" applyFill="1" applyBorder="1" applyAlignment="1">
      <alignment horizontal="center" vertical="center" wrapText="1"/>
    </xf>
    <xf numFmtId="49" fontId="56" fillId="20" borderId="1" xfId="0" applyNumberFormat="1" applyFont="1" applyFill="1" applyBorder="1" applyAlignment="1">
      <alignment horizontal="center" vertical="center" wrapText="1"/>
    </xf>
    <xf numFmtId="49" fontId="56" fillId="9" borderId="1" xfId="0" applyNumberFormat="1" applyFont="1" applyFill="1" applyBorder="1" applyAlignment="1">
      <alignment horizontal="center" vertical="center" wrapText="1"/>
    </xf>
    <xf numFmtId="49" fontId="269" fillId="9" borderId="1" xfId="0" applyNumberFormat="1" applyFont="1" applyFill="1" applyBorder="1" applyAlignment="1" applyProtection="1">
      <alignment horizontal="center" vertical="center" wrapText="1"/>
      <protection locked="0"/>
    </xf>
    <xf numFmtId="10" fontId="269" fillId="9" borderId="1" xfId="0" applyNumberFormat="1" applyFont="1" applyFill="1" applyBorder="1" applyAlignment="1" applyProtection="1">
      <alignment horizontal="center" vertical="center" wrapText="1"/>
      <protection locked="0"/>
    </xf>
    <xf numFmtId="196" fontId="269" fillId="9" borderId="1" xfId="0" applyNumberFormat="1" applyFont="1" applyFill="1" applyBorder="1" applyAlignment="1" applyProtection="1">
      <alignment horizontal="center" vertical="center" wrapText="1"/>
      <protection locked="0"/>
    </xf>
    <xf numFmtId="177" fontId="269" fillId="9" borderId="1" xfId="13" applyNumberFormat="1" applyFont="1" applyFill="1" applyBorder="1" applyAlignment="1" applyProtection="1">
      <alignment horizontal="center" vertical="center" wrapText="1"/>
      <protection locked="0"/>
    </xf>
    <xf numFmtId="179" fontId="269" fillId="9" borderId="1" xfId="0" applyNumberFormat="1" applyFont="1" applyFill="1" applyBorder="1" applyAlignment="1" applyProtection="1">
      <alignment horizontal="center" vertical="center" wrapText="1"/>
      <protection locked="0"/>
    </xf>
    <xf numFmtId="179" fontId="56" fillId="9" borderId="1" xfId="0" applyNumberFormat="1" applyFont="1" applyFill="1" applyBorder="1" applyAlignment="1">
      <alignment horizontal="center" vertical="center" wrapText="1"/>
    </xf>
    <xf numFmtId="49" fontId="269" fillId="9" borderId="5" xfId="0" applyNumberFormat="1" applyFont="1" applyFill="1" applyBorder="1" applyAlignment="1" applyProtection="1">
      <alignment horizontal="center" vertical="center" wrapText="1"/>
      <protection locked="0"/>
    </xf>
    <xf numFmtId="197" fontId="269" fillId="9" borderId="1" xfId="0" applyNumberFormat="1" applyFont="1" applyFill="1" applyBorder="1" applyAlignment="1">
      <alignment horizontal="right" vertical="center" wrapText="1"/>
    </xf>
    <xf numFmtId="197" fontId="269" fillId="9" borderId="0" xfId="0" applyNumberFormat="1" applyFont="1" applyFill="1" applyBorder="1" applyAlignment="1">
      <alignment horizontal="right" vertical="center" wrapText="1"/>
    </xf>
    <xf numFmtId="43" fontId="269" fillId="9" borderId="1" xfId="0" applyNumberFormat="1" applyFont="1" applyFill="1" applyBorder="1" applyAlignment="1" applyProtection="1">
      <alignment horizontal="left" vertical="center" wrapText="1"/>
      <protection locked="0"/>
    </xf>
    <xf numFmtId="43" fontId="269" fillId="9" borderId="0" xfId="0" applyNumberFormat="1" applyFont="1" applyFill="1" applyAlignment="1">
      <alignment horizontal="center" vertical="center" wrapText="1"/>
    </xf>
    <xf numFmtId="0" fontId="269" fillId="9" borderId="0" xfId="0" applyNumberFormat="1" applyFont="1" applyFill="1" applyAlignment="1">
      <alignment horizontal="center" vertical="center" wrapText="1"/>
    </xf>
    <xf numFmtId="0" fontId="269" fillId="9" borderId="0" xfId="0" applyFont="1" applyFill="1" applyAlignment="1">
      <alignment horizontal="center" vertical="center" wrapText="1"/>
    </xf>
    <xf numFmtId="10" fontId="269" fillId="7" borderId="1" xfId="0" applyNumberFormat="1" applyFont="1" applyFill="1" applyBorder="1" applyAlignment="1" applyProtection="1">
      <alignment horizontal="center" vertical="center" wrapText="1"/>
      <protection locked="0"/>
    </xf>
    <xf numFmtId="49" fontId="56" fillId="7" borderId="5" xfId="13" applyNumberFormat="1" applyFont="1" applyFill="1" applyBorder="1" applyAlignment="1">
      <alignment horizontal="center" vertical="center" wrapText="1"/>
    </xf>
    <xf numFmtId="49" fontId="269" fillId="0" borderId="5" xfId="13"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49" fontId="56" fillId="5" borderId="1" xfId="0" applyNumberFormat="1" applyFont="1" applyFill="1" applyBorder="1" applyAlignment="1">
      <alignment horizontal="center" vertical="center" wrapText="1"/>
    </xf>
    <xf numFmtId="49" fontId="269" fillId="5" borderId="1" xfId="0" applyNumberFormat="1" applyFont="1" applyFill="1" applyBorder="1" applyAlignment="1" applyProtection="1">
      <alignment horizontal="center" vertical="center" wrapText="1"/>
      <protection locked="0"/>
    </xf>
    <xf numFmtId="10" fontId="56" fillId="5" borderId="1" xfId="0" applyNumberFormat="1" applyFont="1" applyFill="1" applyBorder="1" applyAlignment="1">
      <alignment horizontal="center" vertical="center" wrapText="1"/>
    </xf>
    <xf numFmtId="196" fontId="56" fillId="5" borderId="1" xfId="0" applyNumberFormat="1" applyFont="1" applyFill="1" applyBorder="1" applyAlignment="1">
      <alignment horizontal="center" vertical="center" wrapText="1"/>
    </xf>
    <xf numFmtId="196" fontId="269" fillId="5" borderId="1" xfId="0" applyNumberFormat="1" applyFont="1" applyFill="1" applyBorder="1" applyAlignment="1" applyProtection="1">
      <alignment horizontal="center" vertical="center" wrapText="1"/>
      <protection locked="0"/>
    </xf>
    <xf numFmtId="177" fontId="269" fillId="5" borderId="1" xfId="13" applyNumberFormat="1" applyFont="1" applyFill="1" applyBorder="1" applyAlignment="1" applyProtection="1">
      <alignment horizontal="center" vertical="center" wrapText="1"/>
      <protection locked="0"/>
    </xf>
    <xf numFmtId="179" fontId="56" fillId="5" borderId="1" xfId="0" applyNumberFormat="1" applyFont="1" applyFill="1" applyBorder="1" applyAlignment="1">
      <alignment horizontal="center" vertical="center" wrapText="1"/>
    </xf>
    <xf numFmtId="179" fontId="269" fillId="5" borderId="1" xfId="0" applyNumberFormat="1" applyFont="1" applyFill="1" applyBorder="1" applyAlignment="1" applyProtection="1">
      <alignment horizontal="center" vertical="center" wrapText="1"/>
      <protection locked="0"/>
    </xf>
    <xf numFmtId="49" fontId="56" fillId="5" borderId="5" xfId="13" applyNumberFormat="1" applyFont="1" applyFill="1" applyBorder="1" applyAlignment="1">
      <alignment horizontal="center" vertical="center" wrapText="1"/>
    </xf>
    <xf numFmtId="197" fontId="269" fillId="5" borderId="1" xfId="0" applyNumberFormat="1" applyFont="1" applyFill="1" applyBorder="1" applyAlignment="1">
      <alignment horizontal="right" vertical="center" wrapText="1"/>
    </xf>
    <xf numFmtId="197" fontId="269" fillId="5" borderId="0" xfId="0" applyNumberFormat="1" applyFont="1" applyFill="1" applyBorder="1" applyAlignment="1">
      <alignment horizontal="right" vertical="center" wrapText="1"/>
    </xf>
    <xf numFmtId="43" fontId="269" fillId="5" borderId="1" xfId="0" applyNumberFormat="1" applyFont="1" applyFill="1" applyBorder="1" applyAlignment="1" applyProtection="1">
      <alignment horizontal="left" vertical="center" wrapText="1"/>
      <protection locked="0"/>
    </xf>
    <xf numFmtId="43" fontId="269" fillId="5" borderId="0" xfId="0" applyNumberFormat="1" applyFont="1" applyFill="1" applyAlignment="1">
      <alignment horizontal="center" vertical="center" wrapText="1"/>
    </xf>
    <xf numFmtId="0" fontId="269" fillId="5" borderId="0" xfId="0" applyNumberFormat="1" applyFont="1" applyFill="1" applyAlignment="1">
      <alignment horizontal="center" vertical="center" wrapText="1"/>
    </xf>
    <xf numFmtId="0" fontId="269" fillId="5" borderId="0" xfId="0" applyFont="1" applyFill="1" applyAlignment="1">
      <alignment horizontal="center" vertical="center" wrapText="1"/>
    </xf>
    <xf numFmtId="196" fontId="56" fillId="0" borderId="1" xfId="13" applyNumberFormat="1" applyFont="1" applyBorder="1" applyAlignment="1">
      <alignment horizontal="center" vertical="center" wrapText="1"/>
    </xf>
    <xf numFmtId="196" fontId="56" fillId="7" borderId="1" xfId="13" applyNumberFormat="1" applyFont="1" applyFill="1" applyBorder="1" applyAlignment="1">
      <alignment horizontal="center" vertical="center" wrapText="1"/>
    </xf>
    <xf numFmtId="177" fontId="56" fillId="7" borderId="1" xfId="13" applyNumberFormat="1" applyFont="1" applyFill="1" applyBorder="1" applyAlignment="1">
      <alignment horizontal="center" vertical="center" wrapText="1"/>
    </xf>
    <xf numFmtId="49" fontId="269" fillId="0" borderId="1" xfId="0" applyNumberFormat="1" applyFont="1" applyFill="1" applyBorder="1" applyAlignment="1">
      <alignment horizontal="center" vertical="center" wrapText="1"/>
    </xf>
    <xf numFmtId="0" fontId="56" fillId="3" borderId="1" xfId="0" applyFont="1" applyFill="1" applyBorder="1" applyAlignment="1">
      <alignment horizontal="center" vertical="center" wrapText="1" shrinkToFit="1"/>
    </xf>
    <xf numFmtId="199" fontId="269" fillId="0" borderId="1" xfId="13" applyNumberFormat="1" applyFont="1" applyFill="1" applyBorder="1" applyAlignment="1" applyProtection="1">
      <alignment horizontal="center" vertical="center" wrapText="1"/>
    </xf>
    <xf numFmtId="0" fontId="56" fillId="0" borderId="1" xfId="0" applyFont="1" applyFill="1" applyBorder="1" applyAlignment="1">
      <alignment horizontal="center" wrapText="1"/>
    </xf>
    <xf numFmtId="0" fontId="269" fillId="0" borderId="1" xfId="0" applyFont="1" applyFill="1" applyBorder="1" applyAlignment="1">
      <alignment horizontal="center" vertical="center" wrapText="1"/>
    </xf>
    <xf numFmtId="14" fontId="269" fillId="0" borderId="1" xfId="0" applyNumberFormat="1" applyFont="1" applyFill="1" applyBorder="1" applyAlignment="1">
      <alignment horizontal="center" vertical="center" wrapText="1"/>
    </xf>
    <xf numFmtId="14" fontId="269" fillId="18" borderId="1" xfId="0" applyNumberFormat="1" applyFont="1" applyFill="1" applyBorder="1" applyAlignment="1">
      <alignment horizontal="center" vertical="center" wrapText="1"/>
    </xf>
    <xf numFmtId="199" fontId="269" fillId="0" borderId="1" xfId="13" applyNumberFormat="1" applyFont="1" applyFill="1" applyBorder="1" applyAlignment="1">
      <alignment horizontal="center" vertical="center" wrapText="1"/>
    </xf>
    <xf numFmtId="49" fontId="56" fillId="0" borderId="5" xfId="0" applyNumberFormat="1" applyFont="1" applyFill="1" applyBorder="1" applyAlignment="1">
      <alignment horizontal="center" vertical="center" wrapText="1"/>
    </xf>
    <xf numFmtId="199" fontId="56" fillId="0" borderId="1" xfId="13" applyNumberFormat="1" applyFont="1" applyBorder="1" applyAlignment="1">
      <alignment horizontal="center" vertical="center" wrapText="1"/>
    </xf>
    <xf numFmtId="0" fontId="269" fillId="0" borderId="0" xfId="0" applyNumberFormat="1" applyFont="1" applyFill="1" applyAlignment="1">
      <alignment horizontal="center" vertical="center" wrapText="1"/>
    </xf>
    <xf numFmtId="49" fontId="269" fillId="0" borderId="0" xfId="0" applyNumberFormat="1" applyFont="1" applyFill="1" applyAlignment="1">
      <alignment horizontal="center" vertical="center" wrapText="1"/>
    </xf>
    <xf numFmtId="197" fontId="56" fillId="0" borderId="1" xfId="13" applyNumberFormat="1" applyFont="1" applyBorder="1" applyAlignment="1">
      <alignment horizontal="right" vertical="center" wrapText="1"/>
    </xf>
    <xf numFmtId="0" fontId="269" fillId="0" borderId="0" xfId="0" applyNumberFormat="1" applyFont="1" applyAlignment="1">
      <alignment vertical="center" wrapText="1"/>
    </xf>
    <xf numFmtId="0" fontId="269" fillId="0" borderId="0" xfId="0" applyFont="1" applyAlignment="1">
      <alignment vertical="center" wrapText="1"/>
    </xf>
    <xf numFmtId="197" fontId="269" fillId="0" borderId="0" xfId="0" applyNumberFormat="1" applyFont="1" applyAlignment="1">
      <alignment horizontal="center" vertical="center" wrapText="1"/>
    </xf>
    <xf numFmtId="43" fontId="269" fillId="0" borderId="0" xfId="0" applyNumberFormat="1" applyFont="1" applyAlignment="1">
      <alignment vertical="center" wrapText="1"/>
    </xf>
    <xf numFmtId="49" fontId="56" fillId="0" borderId="1" xfId="13" applyNumberFormat="1" applyFont="1" applyBorder="1" applyAlignment="1">
      <alignment horizontal="center" vertical="center" wrapText="1"/>
    </xf>
    <xf numFmtId="0" fontId="269" fillId="0" borderId="0" xfId="0" applyNumberFormat="1" applyFont="1" applyAlignment="1">
      <alignment horizontal="center" wrapText="1"/>
    </xf>
    <xf numFmtId="0" fontId="269" fillId="0" borderId="0" xfId="0" applyFont="1" applyAlignment="1">
      <alignment horizontal="center" wrapText="1"/>
    </xf>
    <xf numFmtId="49" fontId="56" fillId="2" borderId="1" xfId="0" applyNumberFormat="1" applyFont="1" applyFill="1" applyBorder="1" applyAlignment="1">
      <alignment horizontal="center" vertical="center" wrapText="1"/>
    </xf>
    <xf numFmtId="0" fontId="269" fillId="2" borderId="0" xfId="0" applyFont="1" applyFill="1" applyAlignment="1">
      <alignment horizontal="center" vertical="center" wrapText="1"/>
    </xf>
    <xf numFmtId="10" fontId="56" fillId="2" borderId="1" xfId="0" applyNumberFormat="1" applyFont="1" applyFill="1" applyBorder="1" applyAlignment="1">
      <alignment horizontal="center" vertical="center" wrapText="1"/>
    </xf>
    <xf numFmtId="196" fontId="56" fillId="2" borderId="1" xfId="0" applyNumberFormat="1" applyFont="1" applyFill="1" applyBorder="1" applyAlignment="1">
      <alignment horizontal="center" vertical="center" wrapText="1"/>
    </xf>
    <xf numFmtId="196" fontId="269" fillId="2" borderId="1" xfId="0" applyNumberFormat="1" applyFont="1" applyFill="1" applyBorder="1" applyAlignment="1" applyProtection="1">
      <alignment horizontal="center" vertical="center" wrapText="1"/>
      <protection locked="0"/>
    </xf>
    <xf numFmtId="49" fontId="269" fillId="2" borderId="1" xfId="0" applyNumberFormat="1" applyFont="1" applyFill="1" applyBorder="1" applyAlignment="1" applyProtection="1">
      <alignment horizontal="center" vertical="center" wrapText="1"/>
      <protection locked="0"/>
    </xf>
    <xf numFmtId="179" fontId="56" fillId="2" borderId="1" xfId="0" applyNumberFormat="1" applyFont="1" applyFill="1" applyBorder="1" applyAlignment="1">
      <alignment horizontal="center" vertical="center" wrapText="1"/>
    </xf>
    <xf numFmtId="179" fontId="269" fillId="2" borderId="1" xfId="0" applyNumberFormat="1" applyFont="1" applyFill="1" applyBorder="1" applyAlignment="1" applyProtection="1">
      <alignment horizontal="center" vertical="center" wrapText="1"/>
      <protection locked="0"/>
    </xf>
    <xf numFmtId="49" fontId="56" fillId="2" borderId="5" xfId="13" applyNumberFormat="1" applyFont="1" applyFill="1" applyBorder="1" applyAlignment="1">
      <alignment horizontal="center" vertical="center" wrapText="1"/>
    </xf>
    <xf numFmtId="197" fontId="269" fillId="2" borderId="1" xfId="0" applyNumberFormat="1" applyFont="1" applyFill="1" applyBorder="1" applyAlignment="1">
      <alignment horizontal="right" vertical="center" wrapText="1"/>
    </xf>
    <xf numFmtId="197" fontId="269" fillId="2" borderId="2" xfId="0" applyNumberFormat="1" applyFont="1" applyFill="1" applyBorder="1" applyAlignment="1">
      <alignment horizontal="right" vertical="center" wrapText="1"/>
    </xf>
    <xf numFmtId="197" fontId="269" fillId="2" borderId="0" xfId="0" applyNumberFormat="1" applyFont="1" applyFill="1" applyBorder="1" applyAlignment="1">
      <alignment horizontal="right" vertical="center" wrapText="1"/>
    </xf>
    <xf numFmtId="0" fontId="269" fillId="2" borderId="0" xfId="0" applyNumberFormat="1" applyFont="1" applyFill="1" applyAlignment="1">
      <alignment horizontal="center" vertical="center" wrapText="1"/>
    </xf>
    <xf numFmtId="196" fontId="56" fillId="2" borderId="1" xfId="13" applyNumberFormat="1" applyFont="1" applyFill="1" applyBorder="1" applyAlignment="1">
      <alignment horizontal="center" vertical="center" wrapText="1"/>
    </xf>
    <xf numFmtId="177" fontId="56" fillId="2" borderId="1" xfId="13" applyNumberFormat="1" applyFont="1" applyFill="1" applyBorder="1" applyAlignment="1">
      <alignment horizontal="center" vertical="center" wrapText="1"/>
    </xf>
    <xf numFmtId="49" fontId="56" fillId="2" borderId="5" xfId="0" applyNumberFormat="1" applyFont="1" applyFill="1" applyBorder="1" applyAlignment="1">
      <alignment horizontal="center" vertical="center" wrapText="1"/>
    </xf>
    <xf numFmtId="197" fontId="56" fillId="2" borderId="1" xfId="13" applyNumberFormat="1" applyFont="1" applyFill="1" applyBorder="1" applyAlignment="1">
      <alignment horizontal="right" vertical="center" wrapText="1"/>
    </xf>
    <xf numFmtId="197" fontId="56" fillId="2" borderId="0" xfId="13" applyNumberFormat="1" applyFont="1" applyFill="1" applyBorder="1" applyAlignment="1">
      <alignment horizontal="right" vertical="center" wrapText="1"/>
    </xf>
    <xf numFmtId="49" fontId="269" fillId="2" borderId="1" xfId="0" applyNumberFormat="1" applyFont="1" applyFill="1" applyBorder="1" applyAlignment="1">
      <alignment horizontal="center" vertical="center" wrapText="1"/>
    </xf>
    <xf numFmtId="179" fontId="269" fillId="2" borderId="1" xfId="0" applyNumberFormat="1" applyFont="1" applyFill="1" applyBorder="1" applyAlignment="1">
      <alignment horizontal="center" vertical="center" wrapText="1"/>
    </xf>
    <xf numFmtId="49" fontId="56" fillId="21" borderId="1" xfId="0" applyNumberFormat="1" applyFont="1" applyFill="1" applyBorder="1" applyAlignment="1">
      <alignment horizontal="center" vertical="center" wrapText="1"/>
    </xf>
    <xf numFmtId="49" fontId="269" fillId="21" borderId="1" xfId="0" applyNumberFormat="1" applyFont="1" applyFill="1" applyBorder="1" applyAlignment="1" applyProtection="1">
      <alignment horizontal="center" vertical="center" wrapText="1"/>
      <protection locked="0"/>
    </xf>
    <xf numFmtId="10" fontId="56" fillId="21" borderId="1" xfId="0" applyNumberFormat="1" applyFont="1" applyFill="1" applyBorder="1" applyAlignment="1">
      <alignment horizontal="center" vertical="center" wrapText="1"/>
    </xf>
    <xf numFmtId="196" fontId="56" fillId="21" borderId="1" xfId="0" applyNumberFormat="1" applyFont="1" applyFill="1" applyBorder="1" applyAlignment="1">
      <alignment horizontal="center" vertical="center" wrapText="1"/>
    </xf>
    <xf numFmtId="196" fontId="56" fillId="21" borderId="1" xfId="13" applyNumberFormat="1" applyFont="1" applyFill="1" applyBorder="1" applyAlignment="1">
      <alignment horizontal="center" vertical="center" wrapText="1"/>
    </xf>
    <xf numFmtId="177" fontId="56" fillId="21" borderId="1" xfId="13" applyNumberFormat="1" applyFont="1" applyFill="1" applyBorder="1" applyAlignment="1">
      <alignment horizontal="center" vertical="center" wrapText="1"/>
    </xf>
    <xf numFmtId="179" fontId="56" fillId="21" borderId="1" xfId="0" applyNumberFormat="1" applyFont="1" applyFill="1" applyBorder="1" applyAlignment="1">
      <alignment horizontal="center" vertical="center" wrapText="1"/>
    </xf>
    <xf numFmtId="49" fontId="56" fillId="21" borderId="5" xfId="13" applyNumberFormat="1" applyFont="1" applyFill="1" applyBorder="1" applyAlignment="1">
      <alignment horizontal="center" vertical="center" wrapText="1"/>
    </xf>
    <xf numFmtId="197" fontId="269" fillId="21" borderId="1" xfId="0" applyNumberFormat="1" applyFont="1" applyFill="1" applyBorder="1" applyAlignment="1">
      <alignment horizontal="right" vertical="center" wrapText="1"/>
    </xf>
    <xf numFmtId="197" fontId="269" fillId="21" borderId="0" xfId="0" applyNumberFormat="1" applyFont="1" applyFill="1" applyBorder="1" applyAlignment="1">
      <alignment horizontal="right" vertical="center" wrapText="1"/>
    </xf>
    <xf numFmtId="177" fontId="194" fillId="0" borderId="1" xfId="1" applyNumberFormat="1" applyFont="1" applyFill="1" applyBorder="1" applyAlignment="1" applyProtection="1">
      <alignment vertical="center"/>
      <protection locked="0"/>
    </xf>
    <xf numFmtId="58" fontId="25"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43" fontId="56" fillId="0" borderId="1" xfId="13" applyFont="1" applyBorder="1">
      <alignment vertical="center"/>
    </xf>
    <xf numFmtId="43" fontId="0" fillId="0" borderId="1" xfId="13" applyFont="1" applyBorder="1">
      <alignment vertical="center"/>
    </xf>
    <xf numFmtId="0" fontId="0" fillId="0" borderId="1" xfId="0" applyBorder="1" applyAlignment="1">
      <alignment horizontal="center" vertical="center"/>
    </xf>
    <xf numFmtId="43" fontId="56" fillId="0" borderId="1" xfId="13" applyFont="1" applyBorder="1" applyAlignment="1">
      <alignment horizontal="center" vertical="center"/>
    </xf>
    <xf numFmtId="43" fontId="0" fillId="0" borderId="1" xfId="13" applyFont="1" applyBorder="1" applyAlignment="1">
      <alignment horizontal="center" vertical="center"/>
    </xf>
    <xf numFmtId="43" fontId="30" fillId="6" borderId="0" xfId="0" applyNumberFormat="1" applyFont="1" applyFill="1" applyAlignment="1" applyProtection="1">
      <alignment horizontal="center" vertical="center"/>
      <protection locked="0"/>
    </xf>
    <xf numFmtId="43" fontId="35" fillId="6" borderId="0" xfId="0" applyNumberFormat="1" applyFont="1" applyFill="1" applyAlignment="1" applyProtection="1">
      <alignment horizontal="center" vertical="center"/>
      <protection locked="0"/>
    </xf>
    <xf numFmtId="43" fontId="0" fillId="0" borderId="0" xfId="0" applyNumberFormat="1">
      <alignment vertical="center"/>
    </xf>
    <xf numFmtId="43" fontId="30" fillId="0" borderId="0" xfId="0" applyNumberFormat="1" applyFont="1" applyFill="1" applyAlignment="1" applyProtection="1">
      <alignment horizontal="center" vertical="center"/>
      <protection locked="0"/>
    </xf>
    <xf numFmtId="0" fontId="0" fillId="0" borderId="13" xfId="0" applyBorder="1" applyAlignment="1">
      <alignment horizontal="center" vertical="center"/>
    </xf>
    <xf numFmtId="200" fontId="30" fillId="7"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43" fontId="85" fillId="0" borderId="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0" fillId="16" borderId="1" xfId="0" applyFill="1" applyBorder="1" applyAlignment="1">
      <alignment horizontal="center" vertical="center"/>
    </xf>
    <xf numFmtId="0" fontId="0" fillId="17" borderId="5" xfId="0" applyFill="1" applyBorder="1" applyAlignment="1">
      <alignment horizontal="center" vertical="center"/>
    </xf>
    <xf numFmtId="0" fontId="0" fillId="17" borderId="54" xfId="0" applyFill="1" applyBorder="1" applyAlignment="1">
      <alignment horizontal="center" vertical="center"/>
    </xf>
    <xf numFmtId="0" fontId="0" fillId="17" borderId="3" xfId="0" applyFill="1" applyBorder="1" applyAlignment="1">
      <alignment horizontal="center" vertical="center"/>
    </xf>
    <xf numFmtId="0" fontId="0" fillId="0" borderId="1" xfId="0" applyFill="1" applyBorder="1" applyAlignment="1">
      <alignment horizontal="center" vertical="center"/>
    </xf>
    <xf numFmtId="0" fontId="263" fillId="0" borderId="13" xfId="0" applyFont="1" applyFill="1" applyBorder="1" applyAlignment="1">
      <alignment horizontal="center" vertical="center"/>
    </xf>
    <xf numFmtId="0" fontId="263" fillId="0" borderId="2" xfId="0" applyFont="1" applyFill="1" applyBorder="1" applyAlignment="1">
      <alignment horizontal="center" vertical="center"/>
    </xf>
    <xf numFmtId="0" fontId="262" fillId="0" borderId="1" xfId="0" applyFont="1" applyFill="1" applyBorder="1" applyAlignment="1">
      <alignment horizontal="center" vertical="center"/>
    </xf>
    <xf numFmtId="0" fontId="206" fillId="0" borderId="1" xfId="0" applyFont="1" applyFill="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43" fontId="269" fillId="0" borderId="0" xfId="0" applyNumberFormat="1" applyFont="1" applyAlignment="1">
      <alignment horizontal="center" vertical="center" wrapText="1"/>
    </xf>
    <xf numFmtId="0" fontId="269" fillId="0" borderId="0" xfId="0" applyFont="1" applyAlignment="1">
      <alignment horizontal="center" vertical="center" wrapText="1"/>
    </xf>
    <xf numFmtId="0" fontId="130" fillId="0" borderId="1" xfId="0" applyFont="1" applyBorder="1">
      <alignment vertical="center"/>
    </xf>
    <xf numFmtId="0" fontId="130" fillId="0" borderId="1" xfId="0" applyFont="1" applyBorder="1" applyAlignment="1">
      <alignment horizontal="center" vertical="center"/>
    </xf>
    <xf numFmtId="0" fontId="130" fillId="0" borderId="1" xfId="0" applyFont="1" applyFill="1" applyBorder="1" applyAlignment="1">
      <alignment horizontal="center" vertical="center"/>
    </xf>
    <xf numFmtId="0" fontId="56" fillId="7" borderId="1" xfId="14" applyFont="1" applyFill="1" applyBorder="1" applyAlignment="1">
      <alignment horizontal="center" vertical="center"/>
    </xf>
    <xf numFmtId="43" fontId="270" fillId="7" borderId="1" xfId="13" applyFont="1" applyFill="1" applyBorder="1">
      <alignment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三期商业内部交易及备案价格" xfId="14"/>
    <cellStyle name="千位分隔" xfId="13" builtinId="3"/>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一期车位"/>
      <sheetName val="一期商业"/>
      <sheetName val="二期写字楼"/>
      <sheetName val="二期车位"/>
      <sheetName val="二期商业"/>
      <sheetName val="三期车位"/>
      <sheetName val="三期商业"/>
    </sheetNames>
    <sheetDataSet>
      <sheetData sheetId="0"/>
      <sheetData sheetId="1">
        <row r="528">
          <cell r="H528">
            <v>15731.789999999919</v>
          </cell>
          <cell r="I528">
            <v>3752.780000000002</v>
          </cell>
        </row>
      </sheetData>
      <sheetData sheetId="2">
        <row r="271">
          <cell r="G271">
            <v>33400.429999999978</v>
          </cell>
          <cell r="H271">
            <v>7967.7399999999925</v>
          </cell>
        </row>
      </sheetData>
      <sheetData sheetId="3">
        <row r="161">
          <cell r="G161">
            <v>16940.830000000005</v>
          </cell>
          <cell r="H161">
            <v>3367.3800000000065</v>
          </cell>
        </row>
      </sheetData>
      <sheetData sheetId="4">
        <row r="783">
          <cell r="I783">
            <v>26772.89</v>
          </cell>
          <cell r="J783">
            <v>5320.9999999999736</v>
          </cell>
        </row>
      </sheetData>
      <sheetData sheetId="5">
        <row r="138">
          <cell r="G138">
            <v>13541.079999999994</v>
          </cell>
          <cell r="H138">
            <v>2691.5700000000015</v>
          </cell>
        </row>
      </sheetData>
      <sheetData sheetId="6">
        <row r="1461">
          <cell r="J1461">
            <v>7794.91</v>
          </cell>
        </row>
        <row r="1994">
          <cell r="I1994">
            <v>90140.329999999929</v>
          </cell>
        </row>
      </sheetData>
      <sheetData sheetId="7">
        <row r="141">
          <cell r="G141">
            <v>14715.669999999991</v>
          </cell>
          <cell r="H141">
            <v>2583.31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G31" sqref="G31"/>
    </sheetView>
  </sheetViews>
  <sheetFormatPr defaultRowHeight="14.25"/>
  <cols>
    <col min="1" max="1" width="35.625" style="3050" customWidth="1"/>
    <col min="2" max="2" width="81" style="3067" customWidth="1"/>
    <col min="3" max="16384" width="9" style="3065"/>
  </cols>
  <sheetData>
    <row r="1" spans="1:2" s="3053" customFormat="1" ht="16.5" thickBot="1">
      <c r="A1" s="3052" t="s">
        <v>2796</v>
      </c>
      <c r="B1" s="3051" t="s">
        <v>2885</v>
      </c>
    </row>
    <row r="2" spans="1:2" s="3056" customFormat="1" ht="15" thickTop="1">
      <c r="A2" s="3054" t="s">
        <v>2797</v>
      </c>
      <c r="B2" s="3055" t="str">
        <f>'预评函-封皮'!B37:I37</f>
        <v>广东省中山市中山市南区永安一路9号悦盈新成花园房地产市场价值预评估</v>
      </c>
    </row>
    <row r="3" spans="1:2" s="3059" customFormat="1">
      <c r="A3" s="3057" t="s">
        <v>2798</v>
      </c>
      <c r="B3" s="3058" t="str">
        <f>'预评函-封皮'!B40</f>
        <v>中山市悦创房地产投资有限公司、中山市悦恒商业管理有限公司</v>
      </c>
    </row>
    <row r="4" spans="1:2" s="3059" customFormat="1">
      <c r="A4" s="3057" t="s">
        <v>2799</v>
      </c>
      <c r="B4" s="3058" t="str">
        <f ca="1">'预评函-封皮'!B46</f>
        <v>梁津（注册号：1119970066)、郑燚（注册号：1120070131)</v>
      </c>
    </row>
    <row r="5" spans="1:2" s="3053" customFormat="1" ht="15" thickBot="1">
      <c r="A5" s="3060" t="s">
        <v>2800</v>
      </c>
      <c r="B5" s="3061" t="str">
        <f>'预评函-封皮'!B49</f>
        <v>康正预评字2017-1-0821-P01DYGJ3号</v>
      </c>
    </row>
    <row r="6" spans="1:2" s="3056" customFormat="1" ht="15" thickTop="1">
      <c r="A6" s="3054" t="s">
        <v>2801</v>
      </c>
      <c r="B6" s="3055" t="str">
        <f>'预评函-1'!A4</f>
        <v>受贵公司委托，我公司对广东省中山市中山市南区永安一路9号悦盈新成花园房地产市场价值进行了预评估。</v>
      </c>
    </row>
    <row r="7" spans="1:2" s="3059" customFormat="1">
      <c r="A7" s="3057" t="s">
        <v>2841</v>
      </c>
      <c r="B7" s="3058" t="str">
        <f>'预评函-1'!A7</f>
        <v>估价对象为广东省中山市中山市南区永安一路9号悦盈新成花园房地产，为所有。根据《国有土地使用证》[中府国用（2015）第易2602655号等]、，估价对象（分摊）出让国有建设用地使用权面积为33478.69平方米，建筑面积为165498.45平方米。</v>
      </c>
    </row>
    <row r="8" spans="1:2" s="3059" customFormat="1">
      <c r="A8" s="3057" t="s">
        <v>2842</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2843</v>
      </c>
      <c r="B9" s="3058" t="str">
        <f>'预评函-1'!A10</f>
        <v>估价对象为广东省中山市中山市南区永安一路9号悦盈新成花园房地产,属开发建设的居住项目，该项目尚在开发建设中。根据《国有土地使用证》[中府国用（2015）第易2602655号等]、，估价对象（分摊）出让国有建设用地使用权面积为33478.69平方米，规划建筑面积为165498.45平方米。</v>
      </c>
    </row>
    <row r="10" spans="1:2" s="3059" customFormat="1">
      <c r="A10" s="3057" t="s">
        <v>2844</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2802</v>
      </c>
      <c r="B11" s="3058" t="str">
        <f>'预评函-1'!A13</f>
        <v>为估价委托人了解估价对象房地产市场价值提供参考依据。</v>
      </c>
    </row>
    <row r="12" spans="1:2" s="3059" customFormat="1">
      <c r="A12" s="3057" t="s">
        <v>2803</v>
      </c>
      <c r="B12" s="3058" t="str">
        <f>'预评函-1'!A15</f>
        <v>2017年8月23日（评估专业人员实地查勘之日）</v>
      </c>
    </row>
    <row r="13" spans="1:2" s="3059" customFormat="1">
      <c r="A13" s="3057" t="s">
        <v>2804</v>
      </c>
      <c r="B13" s="3058" t="str">
        <f>'预评函-1'!A18</f>
        <v>本次估价的“房地产价值”是指在正常市场情况下，在价值时点2017年8月23日，估价对象规划用途为商业、办公、地下车库，土地取得方式为出让，出让国有建设用地使用权剩余土地使用年限为商业27.6年，办公37.6年，地下车库37.6年，假定未设立法定优先受偿款下的房地产市场价值。</v>
      </c>
    </row>
    <row r="14" spans="1:2" s="3059" customFormat="1">
      <c r="A14" s="3057" t="s">
        <v>2805</v>
      </c>
      <c r="B14" s="3058" t="str">
        <f>'预评函-1'!A19</f>
        <v>其中，“出让国有建设用地使用权价值”是指估价对象用途为商业、办公、地下车库，实际开发程度为宗地红线外“七通”（即、、、、、、）、红线内场地平整条件下，剩余土地使用年限为商业27.6年，办公37.6年，地下车库37.6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2806</v>
      </c>
      <c r="B15" s="3058" t="str">
        <f>'预评函-1'!A20</f>
        <v>——</v>
      </c>
    </row>
    <row r="16" spans="1:2" s="3059" customFormat="1">
      <c r="A16" s="3057" t="s">
        <v>2807</v>
      </c>
      <c r="B16" s="3058" t="str">
        <f>'预评函-1'!A21</f>
        <v>——</v>
      </c>
    </row>
    <row r="17" spans="1:2" s="3059" customFormat="1">
      <c r="A17" s="3057" t="s">
        <v>2808</v>
      </c>
      <c r="B17" s="3058" t="str">
        <f>'预评函-1'!A22</f>
        <v>——</v>
      </c>
    </row>
    <row r="18" spans="1:2" s="3053" customFormat="1" ht="15" thickBot="1">
      <c r="A18" s="3060" t="s">
        <v>2809</v>
      </c>
      <c r="B18" s="3061" t="str">
        <f>'预评函-1'!A24</f>
        <v>本次评估采用的主估价方法为收益法和基准地价系数修正法。</v>
      </c>
    </row>
    <row r="19" spans="1:2" s="3056" customFormat="1" ht="15" thickTop="1">
      <c r="A19" s="3054" t="s">
        <v>2810</v>
      </c>
      <c r="B19" s="3055"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59" customFormat="1">
      <c r="A20" s="3057" t="s">
        <v>2811</v>
      </c>
      <c r="B20" s="3058">
        <f ca="1">'预评函-2'!D5</f>
        <v>129758</v>
      </c>
    </row>
    <row r="21" spans="1:2" s="3059" customFormat="1">
      <c r="A21" s="3057" t="s">
        <v>2812</v>
      </c>
      <c r="B21" s="3058">
        <f ca="1">'预评函-2'!D7</f>
        <v>59766</v>
      </c>
    </row>
    <row r="22" spans="1:2" s="3059" customFormat="1">
      <c r="A22" s="3057" t="s">
        <v>2813</v>
      </c>
      <c r="B22" s="3058" t="str">
        <f ca="1">'预评函-2'!D6</f>
        <v>壹拾贰亿玖仟柒佰伍拾捌万元整</v>
      </c>
    </row>
    <row r="23" spans="1:2" s="3059" customFormat="1">
      <c r="A23" s="3057" t="s">
        <v>2873</v>
      </c>
      <c r="B23" s="3058" t="str">
        <f>'预评函-2'!B8</f>
        <v>2.估价师知悉的法定优先受偿款</v>
      </c>
    </row>
    <row r="24" spans="1:2" s="3059" customFormat="1">
      <c r="A24" s="3057" t="s">
        <v>2879</v>
      </c>
      <c r="B24" s="3058">
        <f>'预评函-2'!D8</f>
        <v>0</v>
      </c>
    </row>
    <row r="25" spans="1:2" s="3059" customFormat="1">
      <c r="A25" s="3057" t="s">
        <v>2814</v>
      </c>
      <c r="B25" s="3058" t="str">
        <f>'预评函-2'!D9</f>
        <v>元整</v>
      </c>
    </row>
    <row r="26" spans="1:2" s="3059" customFormat="1">
      <c r="A26" s="3057" t="s">
        <v>2815</v>
      </c>
      <c r="B26" s="3058">
        <f>'预评函-2'!D10</f>
        <v>0</v>
      </c>
    </row>
    <row r="27" spans="1:2" s="3059" customFormat="1">
      <c r="A27" s="3057" t="s">
        <v>2816</v>
      </c>
      <c r="B27" s="3058">
        <f>'预评函-2'!D11</f>
        <v>0</v>
      </c>
    </row>
    <row r="28" spans="1:2" s="3059" customFormat="1">
      <c r="A28" s="3057" t="s">
        <v>2817</v>
      </c>
      <c r="B28" s="3058">
        <f>'预评函-2'!D12</f>
        <v>0</v>
      </c>
    </row>
    <row r="29" spans="1:2" s="3059" customFormat="1">
      <c r="A29" s="3057" t="s">
        <v>2877</v>
      </c>
      <c r="B29" s="3058" t="str">
        <f>'预评函-2'!B13</f>
        <v>3.房地产抵押价值</v>
      </c>
    </row>
    <row r="30" spans="1:2" s="3059" customFormat="1">
      <c r="A30" s="3057" t="s">
        <v>2878</v>
      </c>
      <c r="B30" s="3058">
        <f ca="1">'预评函-2'!D13</f>
        <v>129758</v>
      </c>
    </row>
    <row r="31" spans="1:2" s="3059" customFormat="1">
      <c r="A31" s="3057" t="s">
        <v>2852</v>
      </c>
      <c r="B31" s="3058">
        <f ca="1">'预评函-2'!D15</f>
        <v>7840</v>
      </c>
    </row>
    <row r="32" spans="1:2" s="3059" customFormat="1">
      <c r="A32" s="3057" t="s">
        <v>2818</v>
      </c>
      <c r="B32" s="3058" t="str">
        <f ca="1">'预评函-2'!D14</f>
        <v>壹拾贰亿玖仟柒佰伍拾捌万元整</v>
      </c>
    </row>
    <row r="33" spans="1:2" s="3059" customFormat="1">
      <c r="A33" s="3057" t="s">
        <v>2854</v>
      </c>
      <c r="B33" s="3058" t="str">
        <f>'预评函-2'!B16</f>
        <v>——</v>
      </c>
    </row>
    <row r="34" spans="1:2" s="3059" customFormat="1">
      <c r="A34" s="3057" t="s">
        <v>2880</v>
      </c>
      <c r="B34" s="3058" t="str">
        <f>'预评函-2'!D16</f>
        <v>——</v>
      </c>
    </row>
    <row r="35" spans="1:2" s="3059" customFormat="1">
      <c r="A35" s="3057" t="s">
        <v>2853</v>
      </c>
      <c r="B35" s="3058" t="str">
        <f>'预评函-2'!D18</f>
        <v>——</v>
      </c>
    </row>
    <row r="36" spans="1:2" s="3059" customFormat="1">
      <c r="A36" s="3057" t="s">
        <v>2819</v>
      </c>
      <c r="B36" s="3058" t="e">
        <f>'预评函-2'!D17</f>
        <v>#VALUE!</v>
      </c>
    </row>
    <row r="37" spans="1:2" s="3059" customFormat="1">
      <c r="A37" s="3057" t="s">
        <v>2855</v>
      </c>
      <c r="B37" s="3058" t="str">
        <f>'预评函-2'!B19</f>
        <v>——</v>
      </c>
    </row>
    <row r="38" spans="1:2" s="3059" customFormat="1">
      <c r="A38" s="3057" t="s">
        <v>2881</v>
      </c>
      <c r="B38" s="3058" t="str">
        <f>'预评函-2'!D19</f>
        <v>——</v>
      </c>
    </row>
    <row r="39" spans="1:2" s="3059" customFormat="1">
      <c r="A39" s="3057" t="s">
        <v>2820</v>
      </c>
      <c r="B39" s="3058" t="str">
        <f>'预评函-2'!D21</f>
        <v>——</v>
      </c>
    </row>
    <row r="40" spans="1:2" s="3059" customFormat="1">
      <c r="A40" s="3057" t="s">
        <v>2821</v>
      </c>
      <c r="B40" s="3058" t="e">
        <f>'预评函-2'!D20</f>
        <v>#VALUE!</v>
      </c>
    </row>
    <row r="41" spans="1:2" s="3059" customFormat="1">
      <c r="A41" s="3057" t="s">
        <v>2876</v>
      </c>
      <c r="B41" s="3058" t="str">
        <f>'预评函-3'!A4</f>
        <v>广东省中山市中山市南区永安一路9号悦盈新成花园房地产</v>
      </c>
    </row>
    <row r="42" spans="1:2" s="3059" customFormat="1">
      <c r="A42" s="3057" t="s">
        <v>2874</v>
      </c>
      <c r="B42" s="3058" t="str">
        <f>'预评函-3'!B2</f>
        <v>建筑面积</v>
      </c>
    </row>
    <row r="43" spans="1:2" s="3059" customFormat="1">
      <c r="A43" s="3057" t="s">
        <v>2875</v>
      </c>
      <c r="B43" s="3058">
        <f>'预评函-3'!B4</f>
        <v>165498.45000000001</v>
      </c>
    </row>
    <row r="44" spans="1:2" s="3059" customFormat="1">
      <c r="A44" s="3057" t="s">
        <v>2851</v>
      </c>
      <c r="B44" s="3058" t="str">
        <f>'预评函-3'!C2</f>
        <v>(分摊)土地面积</v>
      </c>
    </row>
    <row r="45" spans="1:2" s="3059" customFormat="1">
      <c r="A45" s="3057" t="s">
        <v>2822</v>
      </c>
      <c r="B45" s="3058">
        <f>'预评函-3'!C4</f>
        <v>33478.69</v>
      </c>
    </row>
    <row r="46" spans="1:2" s="3059" customFormat="1">
      <c r="A46" s="3057" t="s">
        <v>2849</v>
      </c>
      <c r="B46" s="3058" t="str">
        <f>'预评函-3'!D2</f>
        <v>出让国有建设用地使用权价值</v>
      </c>
    </row>
    <row r="47" spans="1:2" s="3059" customFormat="1">
      <c r="A47" s="3057" t="s">
        <v>2823</v>
      </c>
      <c r="B47" s="3058" t="e">
        <f ca="1">'预评函-3'!D4</f>
        <v>#REF!</v>
      </c>
    </row>
    <row r="48" spans="1:2" s="3059" customFormat="1">
      <c r="A48" s="3057" t="s">
        <v>2824</v>
      </c>
      <c r="B48" s="3058" t="e">
        <f ca="1">'预评函-3'!E4</f>
        <v>#REF!</v>
      </c>
    </row>
    <row r="49" spans="1:2" s="3059" customFormat="1">
      <c r="A49" s="3057" t="s">
        <v>2825</v>
      </c>
      <c r="B49" s="3058" t="e">
        <f ca="1">'预评函-3'!D5</f>
        <v>#REF!</v>
      </c>
    </row>
    <row r="50" spans="1:2" s="3059" customFormat="1">
      <c r="A50" s="3057" t="s">
        <v>2850</v>
      </c>
      <c r="B50" s="3058" t="str">
        <f>'预评函-3'!F2</f>
        <v>在建建筑物价值</v>
      </c>
    </row>
    <row r="51" spans="1:2" s="3059" customFormat="1">
      <c r="A51" s="3057" t="s">
        <v>2826</v>
      </c>
      <c r="B51" s="3058" t="e">
        <f ca="1">'预评函-3'!F4</f>
        <v>#REF!</v>
      </c>
    </row>
    <row r="52" spans="1:2" s="3059" customFormat="1">
      <c r="A52" s="3057" t="s">
        <v>2827</v>
      </c>
      <c r="B52" s="3058" t="e">
        <f ca="1">'预评函-3'!G4</f>
        <v>#REF!</v>
      </c>
    </row>
    <row r="53" spans="1:2" s="3059" customFormat="1">
      <c r="A53" s="3057" t="s">
        <v>2856</v>
      </c>
      <c r="B53" s="3058" t="e">
        <f ca="1">'预评函-3'!F5</f>
        <v>#REF!</v>
      </c>
    </row>
    <row r="54" spans="1:2" s="3059" customFormat="1">
      <c r="A54" s="3057" t="s">
        <v>2883</v>
      </c>
      <c r="B54" s="3058" t="str">
        <f>'预评函-3'!A8</f>
        <v/>
      </c>
    </row>
    <row r="55" spans="1:2" s="3059" customFormat="1">
      <c r="A55" s="3057" t="s">
        <v>2857</v>
      </c>
      <c r="B55" s="3058" t="str">
        <f>'预评函-3'!A10</f>
        <v/>
      </c>
    </row>
    <row r="56" spans="1:2" s="3059" customFormat="1">
      <c r="A56" s="3057" t="s">
        <v>2858</v>
      </c>
      <c r="B56" s="3058" t="str">
        <f>'预评函-3'!A12</f>
        <v/>
      </c>
    </row>
    <row r="57" spans="1:2" s="3053" customFormat="1" ht="15" thickBot="1">
      <c r="A57" s="3060" t="s">
        <v>2884</v>
      </c>
      <c r="B57" s="3061" t="str">
        <f>'预评函-3'!A6</f>
        <v/>
      </c>
    </row>
    <row r="58" spans="1:2" s="3056" customFormat="1" ht="15" thickTop="1">
      <c r="A58" s="3054" t="s">
        <v>2828</v>
      </c>
      <c r="B58" s="3055" t="str">
        <f>'预评函-4'!A12</f>
        <v>2.本次评估设定估价对象房地产权属无争议，未被查封或者以其他形式限制其房地产权利，未设定抵押权等他项权利，不涉及第三方权利义务。</v>
      </c>
    </row>
    <row r="59" spans="1:2" s="3059" customFormat="1">
      <c r="A59" s="3057" t="s">
        <v>2829</v>
      </c>
      <c r="B59" s="3058" t="str">
        <f>'预评函-4'!A13</f>
        <v>——</v>
      </c>
    </row>
    <row r="60" spans="1:2" s="3059" customFormat="1">
      <c r="A60" s="3057" t="s">
        <v>2830</v>
      </c>
      <c r="B60" s="3058" t="str">
        <f>'预评函-4'!A14</f>
        <v>——</v>
      </c>
    </row>
    <row r="61" spans="1:2" s="3059" customFormat="1">
      <c r="A61" s="3057" t="s">
        <v>2831</v>
      </c>
      <c r="B61" s="3058" t="str">
        <f>'预评函-4'!A15</f>
        <v>——</v>
      </c>
    </row>
    <row r="62" spans="1:2" s="3059" customFormat="1">
      <c r="A62" s="3057" t="s">
        <v>2832</v>
      </c>
      <c r="B62" s="3058" t="str">
        <f>'预评函-4'!A16</f>
        <v>（2）根据《工程款支付情况说明》，截至价值时点，估价对象不存在应付未付工程款项。（只要没有施工方盖章的，均“设定”进行表述）</v>
      </c>
    </row>
    <row r="63" spans="1:2" s="3059" customFormat="1">
      <c r="A63" s="3057" t="s">
        <v>2833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2845</v>
      </c>
      <c r="B64" s="3058" t="str">
        <f>'预评函-4'!A18</f>
        <v>——</v>
      </c>
    </row>
    <row r="65" spans="1:2" s="3059" customFormat="1">
      <c r="A65" s="3057" t="s">
        <v>2834</v>
      </c>
      <c r="B65" s="305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2835</v>
      </c>
      <c r="B66" s="3058" t="str">
        <f>'预评函-4'!A20</f>
        <v>——</v>
      </c>
    </row>
    <row r="67" spans="1:2" s="3059" customFormat="1">
      <c r="A67" s="3057" t="s">
        <v>2846</v>
      </c>
      <c r="B67" s="3058" t="str">
        <f>'预评函-4'!A21</f>
        <v>——</v>
      </c>
    </row>
    <row r="68" spans="1:2" s="3059" customFormat="1">
      <c r="A68" s="3057" t="s">
        <v>2847</v>
      </c>
      <c r="B68" s="3058" t="str">
        <f>'预评函-4'!A22</f>
        <v>8.其他需特殊说明事项：无（注意调整序号）</v>
      </c>
    </row>
    <row r="69" spans="1:2" s="3053" customFormat="1" ht="15" thickBot="1">
      <c r="A69" s="3060" t="s">
        <v>2836</v>
      </c>
      <c r="B69" s="3062">
        <f>'预评函-4'!C31</f>
        <v>42551</v>
      </c>
    </row>
    <row r="70" spans="1:2" ht="15" thickTop="1">
      <c r="A70" s="3063" t="s">
        <v>2837</v>
      </c>
      <c r="B70" s="3064" t="str">
        <f>'预评函-4'!A4</f>
        <v>梁津</v>
      </c>
    </row>
    <row r="71" spans="1:2">
      <c r="A71" s="3057" t="s">
        <v>2838</v>
      </c>
      <c r="B71" s="3058">
        <f ca="1">'预评函-4'!B4</f>
        <v>1119970066</v>
      </c>
    </row>
    <row r="72" spans="1:2">
      <c r="A72" s="3057" t="s">
        <v>2839</v>
      </c>
      <c r="B72" s="3066" t="str">
        <f>'预评函-4'!A5</f>
        <v>郑燚</v>
      </c>
    </row>
    <row r="73" spans="1:2" s="3053" customFormat="1" ht="15" thickBot="1">
      <c r="A73" s="3060" t="s">
        <v>2840</v>
      </c>
      <c r="B73" s="3061">
        <f ca="1">'预评函-4'!B5</f>
        <v>1120070131</v>
      </c>
    </row>
    <row r="74" spans="1:2" ht="15" thickTop="1">
      <c r="A74" s="3050" t="s">
        <v>2901</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Z18" sqref="Z18"/>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255</v>
      </c>
      <c r="C1" s="1765" t="s">
        <v>1876</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1848</v>
      </c>
      <c r="Q1" s="11" t="s">
        <v>2641</v>
      </c>
      <c r="R1" s="1483" t="s">
        <v>2631</v>
      </c>
      <c r="S1" s="290" t="s">
        <v>268</v>
      </c>
      <c r="T1" s="291" t="s">
        <v>269</v>
      </c>
      <c r="U1" s="290" t="s">
        <v>270</v>
      </c>
      <c r="V1" s="290" t="s">
        <v>271</v>
      </c>
      <c r="W1" s="1483" t="s">
        <v>1851</v>
      </c>
    </row>
    <row r="2" spans="1:23">
      <c r="A2" s="2794" t="s">
        <v>112</v>
      </c>
      <c r="B2" s="2794" t="s">
        <v>578</v>
      </c>
      <c r="C2" s="1766" t="s">
        <v>1877</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0" t="s">
        <v>2635</v>
      </c>
      <c r="S2" s="292" t="s">
        <v>230</v>
      </c>
      <c r="T2" s="292" t="s">
        <v>231</v>
      </c>
      <c r="U2" s="292" t="s">
        <v>230</v>
      </c>
      <c r="V2" s="292" t="s">
        <v>232</v>
      </c>
      <c r="W2" s="292" t="s">
        <v>230</v>
      </c>
    </row>
    <row r="3" spans="1:23">
      <c r="A3" s="2794" t="s">
        <v>577</v>
      </c>
      <c r="B3" s="2795" t="s">
        <v>2677</v>
      </c>
      <c r="C3" s="1767" t="s">
        <v>1878</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0" t="s">
        <v>2633</v>
      </c>
      <c r="S3" s="292" t="s">
        <v>238</v>
      </c>
      <c r="T3" s="292" t="s">
        <v>239</v>
      </c>
      <c r="U3" s="292" t="s">
        <v>238</v>
      </c>
      <c r="V3" s="292" t="s">
        <v>240</v>
      </c>
      <c r="W3" s="292" t="s">
        <v>238</v>
      </c>
    </row>
    <row r="4" spans="1:23">
      <c r="A4" s="2794" t="s">
        <v>579</v>
      </c>
      <c r="B4" s="2794" t="s">
        <v>580</v>
      </c>
      <c r="C4" s="1766" t="s">
        <v>1879</v>
      </c>
      <c r="D4" s="292" t="s">
        <v>2043</v>
      </c>
      <c r="E4" s="292" t="s">
        <v>277</v>
      </c>
      <c r="F4" s="292" t="s">
        <v>278</v>
      </c>
      <c r="G4" s="292">
        <v>70</v>
      </c>
      <c r="H4" s="292" t="s">
        <v>279</v>
      </c>
      <c r="I4" s="292" t="s">
        <v>280</v>
      </c>
      <c r="K4" s="292" t="s">
        <v>241</v>
      </c>
      <c r="L4" s="292" t="s">
        <v>241</v>
      </c>
      <c r="M4" s="292" t="s">
        <v>241</v>
      </c>
      <c r="N4" s="292" t="s">
        <v>241</v>
      </c>
      <c r="O4" s="292" t="s">
        <v>241</v>
      </c>
      <c r="P4" s="292" t="s">
        <v>241</v>
      </c>
      <c r="Q4" s="292" t="s">
        <v>241</v>
      </c>
      <c r="R4" s="2760" t="s">
        <v>2636</v>
      </c>
      <c r="S4" s="292" t="s">
        <v>241</v>
      </c>
      <c r="T4" s="292" t="s">
        <v>242</v>
      </c>
      <c r="U4" s="292" t="s">
        <v>241</v>
      </c>
      <c r="W4" s="292" t="s">
        <v>241</v>
      </c>
    </row>
    <row r="5" spans="1:23">
      <c r="A5" s="2794" t="s">
        <v>581</v>
      </c>
      <c r="B5" s="2794" t="s">
        <v>582</v>
      </c>
      <c r="C5" s="1766" t="s">
        <v>1880</v>
      </c>
      <c r="F5" s="292" t="s">
        <v>243</v>
      </c>
      <c r="H5" s="292" t="s">
        <v>244</v>
      </c>
      <c r="I5" s="292" t="s">
        <v>245</v>
      </c>
      <c r="K5" s="292" t="s">
        <v>246</v>
      </c>
      <c r="L5" s="292" t="s">
        <v>246</v>
      </c>
      <c r="M5" s="292" t="s">
        <v>246</v>
      </c>
      <c r="N5" s="292" t="s">
        <v>246</v>
      </c>
      <c r="O5" s="292" t="s">
        <v>246</v>
      </c>
      <c r="P5" s="292" t="s">
        <v>246</v>
      </c>
      <c r="Q5" s="292" t="s">
        <v>246</v>
      </c>
      <c r="R5" s="2760" t="s">
        <v>2637</v>
      </c>
      <c r="S5" s="292" t="s">
        <v>246</v>
      </c>
      <c r="T5" s="292" t="s">
        <v>247</v>
      </c>
      <c r="U5" s="292" t="s">
        <v>246</v>
      </c>
      <c r="W5" s="292" t="s">
        <v>246</v>
      </c>
    </row>
    <row r="6" spans="1:23">
      <c r="A6" s="2794" t="s">
        <v>583</v>
      </c>
      <c r="B6" s="2795" t="s">
        <v>2678</v>
      </c>
      <c r="C6" s="1768" t="s">
        <v>161</v>
      </c>
      <c r="F6" s="292" t="s">
        <v>248</v>
      </c>
      <c r="H6" s="292" t="s">
        <v>249</v>
      </c>
      <c r="I6" s="292" t="s">
        <v>250</v>
      </c>
      <c r="K6" s="292" t="s">
        <v>251</v>
      </c>
      <c r="L6" s="292" t="s">
        <v>251</v>
      </c>
      <c r="M6" s="292" t="s">
        <v>251</v>
      </c>
      <c r="N6" s="292" t="s">
        <v>251</v>
      </c>
      <c r="O6" s="292" t="s">
        <v>251</v>
      </c>
      <c r="P6" s="292" t="s">
        <v>251</v>
      </c>
      <c r="Q6" s="292" t="s">
        <v>251</v>
      </c>
      <c r="R6" s="2760" t="s">
        <v>2638</v>
      </c>
      <c r="S6" s="292" t="s">
        <v>251</v>
      </c>
      <c r="T6" s="292"/>
      <c r="U6" s="292" t="s">
        <v>251</v>
      </c>
      <c r="W6" s="292" t="s">
        <v>251</v>
      </c>
    </row>
    <row r="7" spans="1:23">
      <c r="A7" s="2794" t="s">
        <v>585</v>
      </c>
      <c r="B7" s="2795" t="s">
        <v>2679</v>
      </c>
      <c r="C7" s="1766" t="s">
        <v>162</v>
      </c>
      <c r="F7" s="292" t="s">
        <v>252</v>
      </c>
      <c r="H7" s="292" t="s">
        <v>253</v>
      </c>
      <c r="I7" s="292" t="s">
        <v>254</v>
      </c>
    </row>
    <row r="8" spans="1:23">
      <c r="A8" s="2794" t="s">
        <v>587</v>
      </c>
      <c r="B8" s="2794" t="s">
        <v>584</v>
      </c>
      <c r="C8" s="1766" t="s">
        <v>1881</v>
      </c>
      <c r="F8" s="292" t="s">
        <v>281</v>
      </c>
      <c r="H8" s="292"/>
      <c r="I8" s="292" t="s">
        <v>282</v>
      </c>
    </row>
    <row r="9" spans="1:23">
      <c r="A9" s="2794" t="s">
        <v>589</v>
      </c>
      <c r="B9" s="2794" t="s">
        <v>586</v>
      </c>
      <c r="C9" s="1766" t="s">
        <v>1882</v>
      </c>
      <c r="F9" s="292" t="s">
        <v>283</v>
      </c>
      <c r="H9" s="292"/>
    </row>
    <row r="10" spans="1:23">
      <c r="A10" s="2794" t="s">
        <v>591</v>
      </c>
      <c r="B10" s="2794" t="s">
        <v>588</v>
      </c>
      <c r="C10" s="1766" t="s">
        <v>1883</v>
      </c>
      <c r="F10" s="292" t="s">
        <v>51</v>
      </c>
    </row>
    <row r="11" spans="1:23">
      <c r="A11" s="2794" t="s">
        <v>593</v>
      </c>
      <c r="B11" s="2794" t="s">
        <v>590</v>
      </c>
      <c r="C11" s="1766" t="s">
        <v>1884</v>
      </c>
    </row>
    <row r="12" spans="1:23">
      <c r="A12" s="2794" t="s">
        <v>595</v>
      </c>
      <c r="B12" s="2794" t="s">
        <v>592</v>
      </c>
      <c r="C12" s="1766" t="s">
        <v>1885</v>
      </c>
    </row>
    <row r="13" spans="1:23">
      <c r="A13" s="2794" t="s">
        <v>597</v>
      </c>
      <c r="B13" s="2794" t="s">
        <v>594</v>
      </c>
      <c r="C13" s="1766" t="s">
        <v>1886</v>
      </c>
    </row>
    <row r="14" spans="1:23">
      <c r="A14" s="2794" t="s">
        <v>599</v>
      </c>
      <c r="B14" s="2794" t="s">
        <v>596</v>
      </c>
      <c r="C14" s="292" t="s">
        <v>51</v>
      </c>
    </row>
    <row r="15" spans="1:23">
      <c r="A15" s="2794" t="s">
        <v>600</v>
      </c>
      <c r="B15" s="2794" t="s">
        <v>598</v>
      </c>
      <c r="C15" s="1769"/>
    </row>
    <row r="16" spans="1:23">
      <c r="A16" s="2794" t="s">
        <v>601</v>
      </c>
      <c r="B16" s="2794" t="s">
        <v>1867</v>
      </c>
      <c r="C16" s="1769"/>
    </row>
    <row r="17" spans="1:3">
      <c r="A17" s="2794" t="s">
        <v>602</v>
      </c>
      <c r="B17" s="2794" t="s">
        <v>3904</v>
      </c>
      <c r="C17" s="1769"/>
    </row>
    <row r="18" spans="1:3">
      <c r="A18" s="2794" t="s">
        <v>603</v>
      </c>
      <c r="B18" s="2794" t="s">
        <v>3944</v>
      </c>
      <c r="C18" s="1769"/>
    </row>
    <row r="19" spans="1:3">
      <c r="A19" s="2794" t="s">
        <v>604</v>
      </c>
      <c r="B19" s="2794" t="s">
        <v>3983</v>
      </c>
      <c r="C19" s="1769"/>
    </row>
    <row r="20" spans="1:3">
      <c r="A20" s="2794" t="s">
        <v>605</v>
      </c>
      <c r="B20" s="2794" t="s">
        <v>3999</v>
      </c>
      <c r="C20" s="1769"/>
    </row>
    <row r="21" spans="1:3">
      <c r="A21" s="2794" t="s">
        <v>606</v>
      </c>
      <c r="B21" s="2794" t="s">
        <v>1868</v>
      </c>
      <c r="C21" s="1769"/>
    </row>
    <row r="22" spans="1:3">
      <c r="A22" s="2794" t="s">
        <v>607</v>
      </c>
      <c r="B22" s="2794" t="s">
        <v>1868</v>
      </c>
      <c r="C22" s="1769"/>
    </row>
    <row r="23" spans="1:3">
      <c r="A23" s="2794" t="s">
        <v>608</v>
      </c>
      <c r="B23" s="2794" t="s">
        <v>1868</v>
      </c>
      <c r="C23" s="1769"/>
    </row>
    <row r="24" spans="1:3">
      <c r="A24" s="2794" t="s">
        <v>609</v>
      </c>
      <c r="B24" s="2794" t="s">
        <v>1868</v>
      </c>
      <c r="C24" s="1769"/>
    </row>
    <row r="25" spans="1:3">
      <c r="A25" s="2794" t="s">
        <v>610</v>
      </c>
      <c r="B25" s="2794" t="s">
        <v>1868</v>
      </c>
      <c r="C25" s="1769"/>
    </row>
    <row r="26" spans="1:3">
      <c r="A26" s="2794" t="s">
        <v>611</v>
      </c>
      <c r="B26" s="2794" t="s">
        <v>1868</v>
      </c>
      <c r="C26" s="1769"/>
    </row>
    <row r="27" spans="1:3">
      <c r="A27" s="2794" t="s">
        <v>1868</v>
      </c>
      <c r="B27" s="2794" t="s">
        <v>1868</v>
      </c>
      <c r="C27" s="1769"/>
    </row>
    <row r="28" spans="1:3">
      <c r="A28" s="2794" t="s">
        <v>1868</v>
      </c>
      <c r="B28" s="2794" t="s">
        <v>1868</v>
      </c>
      <c r="C28" s="1769"/>
    </row>
    <row r="29" spans="1:3">
      <c r="A29" s="2794" t="s">
        <v>1868</v>
      </c>
      <c r="B29" s="2794" t="s">
        <v>1868</v>
      </c>
      <c r="C29" s="1769"/>
    </row>
    <row r="30" spans="1:3">
      <c r="A30" s="2794" t="s">
        <v>1868</v>
      </c>
      <c r="B30" s="2794" t="s">
        <v>1868</v>
      </c>
      <c r="C30" s="1769"/>
    </row>
    <row r="31" spans="1:3">
      <c r="A31" s="2794" t="s">
        <v>1868</v>
      </c>
      <c r="B31" s="2794" t="s">
        <v>1868</v>
      </c>
      <c r="C31" s="1769"/>
    </row>
    <row r="32" spans="1:3">
      <c r="A32" s="2794" t="s">
        <v>1868</v>
      </c>
      <c r="B32" s="2794" t="s">
        <v>1868</v>
      </c>
      <c r="C32" s="1769"/>
    </row>
    <row r="33" spans="1:3">
      <c r="A33" s="2794" t="s">
        <v>1868</v>
      </c>
      <c r="B33" s="2794" t="s">
        <v>1868</v>
      </c>
      <c r="C33" s="1769"/>
    </row>
    <row r="34" spans="1:3">
      <c r="A34" s="2794" t="s">
        <v>1868</v>
      </c>
      <c r="B34" s="2794" t="s">
        <v>1868</v>
      </c>
      <c r="C34" s="1769"/>
    </row>
    <row r="35" spans="1:3">
      <c r="A35" s="2794" t="s">
        <v>1868</v>
      </c>
      <c r="B35" s="2794" t="s">
        <v>1868</v>
      </c>
      <c r="C35" s="1769"/>
    </row>
    <row r="36" spans="1:3">
      <c r="A36" s="2794" t="s">
        <v>1868</v>
      </c>
      <c r="B36" s="2794" t="s">
        <v>1868</v>
      </c>
      <c r="C36" s="1769"/>
    </row>
    <row r="37" spans="1:3">
      <c r="A37" s="2794" t="s">
        <v>1868</v>
      </c>
      <c r="B37" s="2794" t="s">
        <v>1868</v>
      </c>
      <c r="C37" s="1769"/>
    </row>
    <row r="38" spans="1:3">
      <c r="A38" s="2794" t="s">
        <v>1868</v>
      </c>
      <c r="B38" s="2794" t="s">
        <v>1868</v>
      </c>
      <c r="C38" s="1769"/>
    </row>
    <row r="39" spans="1:3">
      <c r="A39" s="2794" t="s">
        <v>1868</v>
      </c>
      <c r="B39" s="2794" t="s">
        <v>1868</v>
      </c>
      <c r="C39" s="1769"/>
    </row>
    <row r="40" spans="1:3">
      <c r="A40" s="2794" t="s">
        <v>1868</v>
      </c>
      <c r="B40" s="2794" t="s">
        <v>1868</v>
      </c>
      <c r="C40" s="1769"/>
    </row>
    <row r="41" spans="1:3">
      <c r="A41" s="2794" t="s">
        <v>1868</v>
      </c>
      <c r="B41" s="2794" t="s">
        <v>1868</v>
      </c>
      <c r="C41" s="1769"/>
    </row>
    <row r="42" spans="1:3">
      <c r="A42" s="2794" t="s">
        <v>1868</v>
      </c>
      <c r="B42" s="2794" t="s">
        <v>1868</v>
      </c>
      <c r="C42" s="1769"/>
    </row>
    <row r="43" spans="1:3">
      <c r="A43" s="2794" t="s">
        <v>1868</v>
      </c>
      <c r="B43" s="2794" t="s">
        <v>1868</v>
      </c>
      <c r="C43" s="1769"/>
    </row>
    <row r="44" spans="1:3">
      <c r="A44" s="2794" t="s">
        <v>1868</v>
      </c>
      <c r="B44" s="2794" t="s">
        <v>1868</v>
      </c>
      <c r="C44" s="1769"/>
    </row>
    <row r="45" spans="1:3">
      <c r="A45" s="2794" t="s">
        <v>1868</v>
      </c>
      <c r="B45" s="2794" t="s">
        <v>1868</v>
      </c>
      <c r="C45" s="1769"/>
    </row>
    <row r="46" spans="1:3">
      <c r="A46" s="2794" t="s">
        <v>1868</v>
      </c>
      <c r="B46" s="2794" t="s">
        <v>1868</v>
      </c>
      <c r="C46" s="1769"/>
    </row>
    <row r="47" spans="1:3">
      <c r="A47" s="2794" t="s">
        <v>1868</v>
      </c>
      <c r="B47" s="2794" t="s">
        <v>1868</v>
      </c>
      <c r="C47" s="1769"/>
    </row>
    <row r="48" spans="1:3">
      <c r="A48" s="2794" t="s">
        <v>1868</v>
      </c>
      <c r="B48" s="2794" t="s">
        <v>1868</v>
      </c>
      <c r="C48" s="1769"/>
    </row>
    <row r="49" spans="1:4">
      <c r="A49" s="2794" t="s">
        <v>1868</v>
      </c>
      <c r="B49" s="2794" t="s">
        <v>1868</v>
      </c>
      <c r="C49" s="1769"/>
    </row>
    <row r="50" spans="1:4">
      <c r="A50" s="2794" t="s">
        <v>1868</v>
      </c>
      <c r="B50" s="2794" t="s">
        <v>1868</v>
      </c>
      <c r="C50" s="1769"/>
    </row>
    <row r="51" spans="1:4">
      <c r="A51" s="1949" t="s">
        <v>2010</v>
      </c>
      <c r="B51" s="2091"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山市悦创房地产投资有限公司、中山市悦恒商业管理有限公司拟使用广东省中山市中山市南区永安一路9号悦盈新成花园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91" t="s">
        <v>2864</v>
      </c>
    </row>
    <row r="52" spans="1:4">
      <c r="A52" s="1949" t="s">
        <v>2013</v>
      </c>
      <c r="B52" s="1949" t="s">
        <v>2014</v>
      </c>
      <c r="C52" s="1161" t="s">
        <v>2015</v>
      </c>
      <c r="D52" s="1161" t="s">
        <v>2016</v>
      </c>
    </row>
    <row r="53" spans="1:4">
      <c r="A53" s="3602" t="s">
        <v>2017</v>
      </c>
      <c r="B53" s="2091" t="s">
        <v>2018</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23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602"/>
      <c r="B54" s="2091" t="s">
        <v>2019</v>
      </c>
      <c r="C54" s="1161" t="s">
        <v>2861</v>
      </c>
    </row>
    <row r="55" spans="1:4">
      <c r="A55" s="3602"/>
      <c r="B55" s="2091" t="s">
        <v>2020</v>
      </c>
      <c r="C55" s="1161" t="s">
        <v>2862</v>
      </c>
    </row>
    <row r="56" spans="1:4">
      <c r="A56" s="3602"/>
      <c r="B56" s="2091" t="s">
        <v>2021</v>
      </c>
      <c r="C56" s="1161" t="s">
        <v>2872</v>
      </c>
    </row>
    <row r="57" spans="1:4">
      <c r="A57" s="3602"/>
      <c r="B57" s="2091" t="s">
        <v>2022</v>
      </c>
      <c r="C57" s="1161" t="s">
        <v>2863</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G15" sqref="G15"/>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3" customWidth="1"/>
    <col min="12" max="13" width="10" style="2003"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1" t="s">
        <v>2123</v>
      </c>
      <c r="B1" s="3603" t="str">
        <f>IF(B10="北京市","北京市",C10)&amp;F10&amp;IF(结果表!G1="在建","出让国有建设用地使用权及在建建筑物",IF(结果表!G1="土地","出让国有建设用地使用权",))&amp;B9&amp;"预评估"</f>
        <v>广东省中山市中山市南区永安一路9号悦盈新成花园房地产市场价值预评估</v>
      </c>
      <c r="C1" s="3604"/>
      <c r="D1" s="3604"/>
      <c r="E1" s="3604"/>
      <c r="F1" s="3604"/>
      <c r="G1" s="3604"/>
      <c r="H1" s="3604"/>
      <c r="I1" s="3605"/>
      <c r="J1" s="1992"/>
      <c r="K1" s="2098"/>
      <c r="L1" s="1993"/>
      <c r="M1" s="1993"/>
      <c r="N1" s="1196"/>
      <c r="O1" s="11"/>
      <c r="P1" s="1196"/>
      <c r="Q1" s="1196"/>
      <c r="R1" s="1196"/>
      <c r="S1" s="1195" t="str">
        <f>IF(B10="北京市","北京市",C10)&amp;F10&amp;IF(结果表!G1="在建","出让国有建设用地使用权及在建建筑物房地产抵押价值",IF(结果表!G1="土地","出让国有建设用地使用权抵押价值",B9))</f>
        <v>广东省中山市中山市南区永安一路9号悦盈新成花园房地产市场价值</v>
      </c>
    </row>
    <row r="2" spans="1:19" ht="18" customHeight="1">
      <c r="A2" s="1992" t="s">
        <v>2124</v>
      </c>
      <c r="B2" s="1940" t="s">
        <v>3090</v>
      </c>
      <c r="C2" s="1994"/>
      <c r="D2" s="1992"/>
      <c r="E2" s="1995"/>
      <c r="F2" s="1995"/>
      <c r="G2" s="1992"/>
      <c r="H2" s="1992"/>
      <c r="I2" s="1992"/>
      <c r="J2" s="1992"/>
      <c r="K2" s="2098"/>
      <c r="L2" s="1993"/>
      <c r="M2" s="1993"/>
      <c r="N2" s="1196"/>
      <c r="O2" s="11"/>
      <c r="P2" s="1196"/>
      <c r="Q2" s="1196"/>
      <c r="R2" s="1196"/>
      <c r="S2" s="1195" t="str">
        <f>IF(B10="北京市","北京市",C10)&amp;F10&amp;IF(结果表!G1="在建","出让国有建设用地使用权及在建建筑物房地产",IF(结果表!G1="土地","出让国有建设用地使用权","房地产"))</f>
        <v>广东省中山市中山市南区永安一路9号悦盈新成花园房地产</v>
      </c>
    </row>
    <row r="3" spans="1:19" ht="18" customHeight="1">
      <c r="A3" s="1938" t="s">
        <v>2003</v>
      </c>
      <c r="B3" s="3229">
        <v>42970</v>
      </c>
      <c r="C3" s="1921" t="s">
        <v>2004</v>
      </c>
      <c r="D3" s="3229">
        <v>42970</v>
      </c>
      <c r="E3" s="1992"/>
      <c r="F3" s="1992"/>
      <c r="G3" s="1992"/>
      <c r="H3" s="1992"/>
      <c r="I3" s="1992"/>
      <c r="J3" s="1992"/>
      <c r="K3" s="2098"/>
      <c r="L3" s="1993"/>
      <c r="M3" s="1993"/>
      <c r="N3" s="1196"/>
      <c r="O3" s="11"/>
      <c r="P3" s="1196"/>
      <c r="Q3" s="1196"/>
      <c r="R3" s="1196"/>
      <c r="S3" s="1195"/>
    </row>
    <row r="4" spans="1:19" ht="18" customHeight="1" thickBot="1">
      <c r="A4" s="1922" t="s">
        <v>2005</v>
      </c>
      <c r="B4" s="1923" t="s">
        <v>3086</v>
      </c>
      <c r="C4" s="1924">
        <f ca="1">SUMIF(注册房地产估价师,B4,估价师及机构信息!B3:B24)</f>
        <v>1119970066</v>
      </c>
      <c r="D4" s="1923" t="s">
        <v>3087</v>
      </c>
      <c r="E4" s="1925">
        <f ca="1">SUMIF(注册房地产估价师,D4,估价师及机构信息!B3:B24)</f>
        <v>1120070131</v>
      </c>
      <c r="F4" s="1923" t="s">
        <v>3088</v>
      </c>
      <c r="G4" s="1951">
        <f ca="1">SUMIF(注册房地产估价师,F4,估价师及机构信息!B3:B24)</f>
        <v>1120130048</v>
      </c>
      <c r="H4" s="1923" t="s">
        <v>529</v>
      </c>
      <c r="I4" s="2883">
        <f>SUMIF(注册房地产估价师,H4,估价师及机构信息!B3:B24)</f>
        <v>0</v>
      </c>
      <c r="J4" s="1997"/>
      <c r="K4" s="2099" t="str">
        <f ca="1">CONCATENATE(B4,"（注册号：",C4,")、",D4,"（注册号：",E4,")")</f>
        <v>梁津（注册号：1119970066)、郑燚（注册号：1120070131)</v>
      </c>
      <c r="L4" s="1993"/>
      <c r="M4" s="1993"/>
      <c r="N4" s="1196"/>
      <c r="O4" s="11"/>
      <c r="P4" s="1196"/>
      <c r="Q4" s="1196"/>
      <c r="R4" s="1196"/>
      <c r="S4" s="1195"/>
    </row>
    <row r="5" spans="1:19" ht="18" customHeight="1" thickTop="1">
      <c r="A5" s="1926" t="s">
        <v>2088</v>
      </c>
      <c r="B5" s="3284" t="s">
        <v>3091</v>
      </c>
      <c r="C5" s="2036"/>
      <c r="D5" s="1998"/>
      <c r="E5" s="1997"/>
      <c r="F5" s="1997"/>
      <c r="G5" s="1997"/>
      <c r="H5" s="1997"/>
      <c r="I5" s="1997"/>
      <c r="J5" s="1997"/>
      <c r="K5" s="2099" t="str">
        <f ca="1">IF(F4="——","",IF(H4="——",F4&amp;"（注册号："&amp;G4&amp;")",CONCATENATE(F4,"（注册号：",G4,")、",H4,"（注册号：",I4,")")))</f>
        <v>王萌（注册号：1120130048)</v>
      </c>
      <c r="L5" s="1993"/>
      <c r="M5" s="1993"/>
      <c r="N5" s="1196"/>
      <c r="O5" s="11"/>
      <c r="P5" s="1196"/>
      <c r="Q5" s="1196"/>
      <c r="R5" s="1196"/>
    </row>
    <row r="6" spans="1:19" ht="18" customHeight="1">
      <c r="A6" s="1927" t="s">
        <v>2089</v>
      </c>
      <c r="B6" s="2037" t="s">
        <v>3092</v>
      </c>
      <c r="C6" s="2038"/>
      <c r="D6" s="1999"/>
      <c r="E6" s="1995"/>
      <c r="F6" s="1997"/>
      <c r="G6" s="1997"/>
      <c r="H6" s="1997"/>
      <c r="I6" s="1997"/>
      <c r="J6" s="1997"/>
      <c r="K6" s="2104" t="str">
        <f>IF(COUNTIF(B6,"*上海银行*"),"上海银行","")</f>
        <v/>
      </c>
      <c r="L6" s="1993"/>
      <c r="M6" s="1993"/>
      <c r="N6" s="1196"/>
      <c r="O6" s="11"/>
      <c r="P6" s="1196"/>
      <c r="Q6" s="1196"/>
      <c r="R6" s="1196"/>
    </row>
    <row r="7" spans="1:19" ht="18" customHeight="1">
      <c r="A7" s="1927" t="s">
        <v>2867</v>
      </c>
      <c r="B7" s="3285" t="s">
        <v>3093</v>
      </c>
      <c r="C7" s="2038"/>
      <c r="D7" s="1999"/>
      <c r="E7" s="1995"/>
      <c r="F7" s="1997"/>
      <c r="G7" s="1997"/>
      <c r="H7" s="1997"/>
      <c r="I7" s="1997"/>
      <c r="J7" s="1997"/>
      <c r="K7" s="2100"/>
      <c r="L7" s="1993"/>
      <c r="M7" s="1993"/>
      <c r="N7" s="1196"/>
      <c r="O7" s="11"/>
      <c r="P7" s="1196"/>
      <c r="Q7" s="1196"/>
      <c r="R7" s="1196"/>
    </row>
    <row r="8" spans="1:19" ht="18" customHeight="1">
      <c r="A8" s="1927" t="s">
        <v>1955</v>
      </c>
      <c r="B8" s="2031" t="s">
        <v>3094</v>
      </c>
      <c r="C8" s="2000"/>
      <c r="D8" s="3606" t="s">
        <v>2012</v>
      </c>
      <c r="E8" s="2032"/>
      <c r="F8" s="2033"/>
      <c r="G8" s="1992"/>
      <c r="H8" s="1992"/>
      <c r="I8" s="1992"/>
      <c r="J8" s="1997"/>
      <c r="K8" s="2099"/>
      <c r="L8" s="1993"/>
      <c r="M8" s="1993"/>
      <c r="N8" s="1196"/>
      <c r="O8" s="11"/>
      <c r="P8" s="1196"/>
      <c r="Q8" s="1196"/>
      <c r="R8" s="1196"/>
    </row>
    <row r="9" spans="1:19" ht="18" customHeight="1" thickBot="1">
      <c r="A9" s="1951" t="s">
        <v>1956</v>
      </c>
      <c r="B9" s="1952" t="s">
        <v>3095</v>
      </c>
      <c r="C9" s="2001"/>
      <c r="D9" s="3607"/>
      <c r="E9" s="1952" t="s">
        <v>529</v>
      </c>
      <c r="F9" s="2886"/>
      <c r="G9" s="1996"/>
      <c r="H9" s="1996"/>
      <c r="I9" s="1996"/>
      <c r="J9" s="1997"/>
      <c r="K9" s="2100"/>
      <c r="L9" s="1993"/>
      <c r="M9" s="1993"/>
      <c r="N9" s="1196"/>
      <c r="O9" s="11"/>
      <c r="P9" s="1196"/>
      <c r="Q9" s="1196"/>
      <c r="R9" s="1196"/>
    </row>
    <row r="10" spans="1:19" ht="18" customHeight="1" thickTop="1">
      <c r="A10" s="2006" t="s">
        <v>2060</v>
      </c>
      <c r="B10" s="2052" t="s">
        <v>3096</v>
      </c>
      <c r="C10" s="2034" t="s">
        <v>3097</v>
      </c>
      <c r="D10" s="1998"/>
      <c r="E10" s="1937" t="s">
        <v>1957</v>
      </c>
      <c r="F10" s="3354" t="s">
        <v>3099</v>
      </c>
      <c r="G10" s="2884"/>
      <c r="H10" s="2885"/>
      <c r="I10" s="1998"/>
      <c r="J10" s="1997"/>
      <c r="K10" s="2100"/>
      <c r="L10" s="1993"/>
      <c r="M10" s="1993"/>
      <c r="N10" s="1196"/>
      <c r="O10" s="11"/>
      <c r="P10" s="1196"/>
      <c r="Q10" s="1196"/>
      <c r="R10" s="1196"/>
    </row>
    <row r="11" spans="1:19" ht="18" customHeight="1">
      <c r="A11" s="1955" t="s">
        <v>2061</v>
      </c>
      <c r="B11" s="2051" t="s">
        <v>3098</v>
      </c>
      <c r="C11" s="2035"/>
      <c r="D11" s="2002"/>
      <c r="E11" s="1997"/>
      <c r="F11" s="1997"/>
      <c r="G11" s="1997"/>
      <c r="H11" s="1997"/>
      <c r="I11" s="1997"/>
      <c r="J11" s="1997"/>
      <c r="K11" s="2100"/>
      <c r="L11" s="1993"/>
      <c r="M11" s="1993"/>
      <c r="N11" s="1196"/>
      <c r="O11" s="11"/>
      <c r="P11" s="1196"/>
      <c r="Q11" s="1196"/>
      <c r="R11" s="1196"/>
    </row>
    <row r="12" spans="1:19" ht="18" customHeight="1">
      <c r="A12" s="2050" t="s">
        <v>2087</v>
      </c>
      <c r="B12" s="2051" t="s">
        <v>2023</v>
      </c>
      <c r="C12" s="2009" t="s">
        <v>2091</v>
      </c>
      <c r="D12" s="2021" t="s">
        <v>1949</v>
      </c>
      <c r="E12" s="2021" t="s">
        <v>2704</v>
      </c>
      <c r="F12" s="2021" t="s">
        <v>2705</v>
      </c>
      <c r="G12" s="2021" t="s">
        <v>2706</v>
      </c>
      <c r="H12" s="2021" t="s">
        <v>2707</v>
      </c>
      <c r="I12" s="2021" t="s">
        <v>2708</v>
      </c>
      <c r="J12" s="1997"/>
      <c r="K12" s="2100"/>
      <c r="L12" s="1993"/>
      <c r="M12" s="1993"/>
      <c r="N12" s="1196"/>
      <c r="O12" s="11"/>
      <c r="P12" s="1196"/>
      <c r="Q12" s="1196"/>
      <c r="R12" s="1196"/>
    </row>
    <row r="13" spans="1:19" ht="18" customHeight="1">
      <c r="A13" s="2005"/>
      <c r="B13" s="2080"/>
      <c r="C13" s="2081" t="s">
        <v>2090</v>
      </c>
      <c r="D13" s="3228">
        <v>64009</v>
      </c>
      <c r="E13" s="3228">
        <v>53052</v>
      </c>
      <c r="F13" s="3228">
        <v>56704</v>
      </c>
      <c r="G13" s="3228">
        <v>56704</v>
      </c>
      <c r="H13" s="3228"/>
      <c r="I13" s="2046"/>
      <c r="J13" s="1997"/>
      <c r="K13" s="2100"/>
      <c r="L13" s="1993"/>
      <c r="M13" s="1993"/>
      <c r="N13" s="1196"/>
      <c r="O13" s="11"/>
      <c r="P13" s="1196"/>
      <c r="Q13" s="1196"/>
      <c r="R13" s="1196"/>
    </row>
    <row r="14" spans="1:19" ht="18" customHeight="1">
      <c r="A14" s="2005"/>
      <c r="B14" s="2080"/>
      <c r="C14" s="2081" t="s">
        <v>2092</v>
      </c>
      <c r="D14" s="2049"/>
      <c r="E14" s="2049"/>
      <c r="F14" s="2049"/>
      <c r="G14" s="2049"/>
      <c r="H14" s="2049"/>
      <c r="I14" s="2049"/>
      <c r="J14" s="1997"/>
      <c r="K14" s="2101"/>
      <c r="L14" s="1993"/>
      <c r="M14" s="1993"/>
      <c r="N14" s="1196"/>
      <c r="O14" s="11"/>
      <c r="P14" s="1196"/>
      <c r="Q14" s="1196"/>
      <c r="R14" s="1196"/>
    </row>
    <row r="15" spans="1:19" ht="18" customHeight="1">
      <c r="A15" s="2006"/>
      <c r="B15" s="2082"/>
      <c r="C15" s="2081" t="s">
        <v>2093</v>
      </c>
      <c r="D15" s="2048">
        <f>IF(B12="出让",IF(D13="","",ROUNDDOWN(MIN((D13-$D$3)/365,D14),2)),D14)</f>
        <v>57.64</v>
      </c>
      <c r="E15" s="2048">
        <f>IF(B12="出让",IF(E13="","",ROUNDDOWN(MIN((E13-$D$3)/365,E14),2)),E14)</f>
        <v>27.62</v>
      </c>
      <c r="F15" s="2048">
        <f>IF(B12="出让",IF(F13="","",ROUNDDOWN(MIN((F13-$D$3)/365,F14),2)),F14)</f>
        <v>37.619999999999997</v>
      </c>
      <c r="G15" s="2048">
        <f>IF(B12="出让",IF(G13="","",ROUNDDOWN(MIN((G13-$D$3)/365,G14),2)),G14)</f>
        <v>37.619999999999997</v>
      </c>
      <c r="H15" s="2048" t="str">
        <f>IF(B12="出让",IF(H13="","",ROUNDDOWN(MIN((H13-$D$3)/365,H14),2)),H14)</f>
        <v/>
      </c>
      <c r="I15" s="2048" t="str">
        <f>IF(B12="出让",IF(I13="","",ROUNDDOWN(MIN((I13-$D$3)/365,I14),2)),I14)</f>
        <v/>
      </c>
      <c r="J15" s="1997"/>
      <c r="K15" s="2102"/>
      <c r="L15" s="1230"/>
      <c r="M15" s="1230"/>
      <c r="N15" s="2017"/>
      <c r="O15" s="1230"/>
      <c r="P15" s="2017"/>
      <c r="Q15" s="1196"/>
      <c r="R15" s="1196"/>
    </row>
    <row r="16" spans="1:19" ht="30.75" customHeight="1">
      <c r="A16" s="1937" t="s">
        <v>2094</v>
      </c>
      <c r="B16" s="3613" t="s">
        <v>3101</v>
      </c>
      <c r="C16" s="3614"/>
      <c r="D16" s="3615"/>
      <c r="E16" s="1953" t="s">
        <v>2024</v>
      </c>
      <c r="F16" s="3616" t="s">
        <v>3100</v>
      </c>
      <c r="G16" s="3617"/>
      <c r="H16" s="3617"/>
      <c r="I16" s="3618"/>
      <c r="J16" s="1196"/>
      <c r="K16" s="2102"/>
      <c r="L16" s="1230"/>
      <c r="M16" s="1230"/>
      <c r="N16" s="2017"/>
      <c r="O16" s="1230"/>
      <c r="P16" s="2017"/>
      <c r="Q16" s="1196"/>
      <c r="R16" s="1196"/>
    </row>
    <row r="17" spans="1:22" ht="18" customHeight="1">
      <c r="A17" s="2004" t="s">
        <v>1958</v>
      </c>
      <c r="B17" s="1938" t="s">
        <v>1959</v>
      </c>
      <c r="C17" s="2083">
        <f>'数据-汇总表'!E3</f>
        <v>165498.45000000001</v>
      </c>
      <c r="D17" s="1939" t="s">
        <v>1960</v>
      </c>
      <c r="E17" s="3619" t="s">
        <v>3102</v>
      </c>
      <c r="F17" s="3620"/>
      <c r="G17" s="3620"/>
      <c r="H17" s="3620"/>
      <c r="I17" s="3621"/>
      <c r="J17" s="1196"/>
      <c r="K17" s="2693"/>
      <c r="L17" s="1230"/>
      <c r="M17" s="1230"/>
      <c r="N17" s="2017"/>
      <c r="O17" s="1230"/>
      <c r="P17" s="2017"/>
      <c r="Q17" s="1196"/>
      <c r="R17" s="1196"/>
      <c r="S17" s="1196"/>
      <c r="T17" s="1196"/>
      <c r="U17" s="1196"/>
      <c r="V17" s="1196"/>
    </row>
    <row r="18" spans="1:22" ht="36" customHeight="1" thickBot="1">
      <c r="A18" s="2892" t="s">
        <v>2700</v>
      </c>
      <c r="B18" s="1922" t="s">
        <v>1961</v>
      </c>
      <c r="C18" s="2893">
        <f>'数据-汇总表'!D3</f>
        <v>33478.69</v>
      </c>
      <c r="D18" s="2894" t="s">
        <v>1960</v>
      </c>
      <c r="E18" s="3622" t="s">
        <v>3103</v>
      </c>
      <c r="F18" s="3623"/>
      <c r="G18" s="3623"/>
      <c r="H18" s="3623"/>
      <c r="I18" s="3624"/>
      <c r="J18" s="1196"/>
      <c r="K18" s="2693"/>
      <c r="L18" s="1230"/>
      <c r="M18" s="1230"/>
      <c r="N18" s="2017"/>
      <c r="O18" s="1230"/>
      <c r="P18" s="2017"/>
      <c r="Q18" s="1196"/>
      <c r="R18" s="1196"/>
      <c r="S18" s="1196"/>
      <c r="T18" s="1196"/>
      <c r="U18" s="1196"/>
      <c r="V18" s="1196"/>
    </row>
    <row r="19" spans="1:22" ht="37.5" customHeight="1" thickTop="1" thickBot="1">
      <c r="A19" s="2891" t="s">
        <v>2041</v>
      </c>
      <c r="B19" s="2057" t="s">
        <v>2042</v>
      </c>
      <c r="C19" s="2058" t="s">
        <v>529</v>
      </c>
      <c r="D19" s="2040" t="s">
        <v>2045</v>
      </c>
      <c r="E19" s="2039" t="s">
        <v>529</v>
      </c>
      <c r="F19" s="2041" t="str">
        <f>IF(AND(C19="是",E19="否"),"是否提供他项权证或相关说明","")</f>
        <v/>
      </c>
      <c r="G19" s="2042"/>
      <c r="H19" s="1997"/>
      <c r="I19" s="1997"/>
      <c r="J19" s="1997"/>
      <c r="K19" s="2100"/>
      <c r="L19" s="1993"/>
      <c r="M19" s="1993"/>
      <c r="N19" s="2017"/>
      <c r="O19" s="1230"/>
      <c r="P19" s="2017"/>
      <c r="Q19" s="1196"/>
      <c r="R19" s="1196"/>
      <c r="S19" s="1196"/>
      <c r="T19" s="1196"/>
      <c r="U19" s="1196"/>
      <c r="V19" s="1196"/>
    </row>
    <row r="20" spans="1:22" ht="18" customHeight="1">
      <c r="A20" s="2059" t="s">
        <v>2046</v>
      </c>
      <c r="B20" s="3609" t="s">
        <v>2047</v>
      </c>
      <c r="C20" s="3610"/>
      <c r="D20" s="3611" t="s">
        <v>2048</v>
      </c>
      <c r="E20" s="3612"/>
      <c r="F20" s="2065" t="s">
        <v>2049</v>
      </c>
      <c r="G20" s="1997"/>
      <c r="H20" s="1997"/>
      <c r="I20" s="1997"/>
      <c r="J20" s="1997"/>
      <c r="K20" s="3608" t="s">
        <v>2044</v>
      </c>
      <c r="L20" s="260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3"/>
      <c r="N20" s="2017"/>
      <c r="O20" s="1230"/>
      <c r="P20" s="2017"/>
      <c r="Q20" s="1196"/>
      <c r="R20" s="1196"/>
      <c r="S20" s="1196"/>
      <c r="T20" s="1196"/>
      <c r="U20" s="1196"/>
      <c r="V20" s="1196"/>
    </row>
    <row r="21" spans="1:22" ht="24.75" customHeight="1">
      <c r="A21" s="2059"/>
      <c r="B21" s="2060" t="s">
        <v>2050</v>
      </c>
      <c r="C21" s="2029" t="s">
        <v>2052</v>
      </c>
      <c r="D21" s="1986" t="s">
        <v>2053</v>
      </c>
      <c r="E21" s="2030" t="s">
        <v>529</v>
      </c>
      <c r="F21" s="1975"/>
      <c r="G21" s="1997"/>
      <c r="H21" s="1997"/>
      <c r="I21" s="1997"/>
      <c r="J21" s="1997"/>
      <c r="K21" s="3608"/>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3"/>
      <c r="N21" s="2017"/>
      <c r="O21" s="1230"/>
      <c r="P21" s="2017"/>
      <c r="Q21" s="1196"/>
      <c r="R21" s="1196"/>
      <c r="S21" s="1196"/>
      <c r="T21" s="1196"/>
      <c r="U21" s="1196"/>
      <c r="V21" s="1196"/>
    </row>
    <row r="22" spans="1:22" ht="24.75" customHeight="1" thickBot="1">
      <c r="A22" s="2059"/>
      <c r="B22" s="2061" t="s">
        <v>2051</v>
      </c>
      <c r="C22" s="2029" t="s">
        <v>2052</v>
      </c>
      <c r="D22" s="1992"/>
      <c r="E22" s="1992"/>
      <c r="F22" s="2066"/>
      <c r="G22" s="1997"/>
      <c r="H22" s="1997"/>
      <c r="I22" s="1997"/>
      <c r="J22" s="1997"/>
      <c r="K22" s="3608"/>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30"/>
      <c r="P22" s="2017"/>
      <c r="Q22" s="1196"/>
      <c r="R22" s="1196"/>
      <c r="S22" s="1196"/>
      <c r="T22" s="1196"/>
      <c r="U22" s="1196"/>
      <c r="V22" s="1196"/>
    </row>
    <row r="23" spans="1:22" ht="18" customHeight="1">
      <c r="A23" s="1974" t="s">
        <v>2054</v>
      </c>
      <c r="B23" s="2062" t="s">
        <v>2055</v>
      </c>
      <c r="C23" s="2063"/>
      <c r="D23" s="1976" t="s">
        <v>2055</v>
      </c>
      <c r="E23" s="1984"/>
      <c r="F23" s="2066"/>
      <c r="G23" s="1997"/>
      <c r="H23" s="1997"/>
      <c r="I23" s="1997"/>
      <c r="J23" s="1997"/>
      <c r="K23" s="226"/>
      <c r="L23" s="2607"/>
      <c r="M23" s="1993"/>
      <c r="N23" s="2017"/>
      <c r="O23" s="1230"/>
      <c r="P23" s="2017"/>
      <c r="Q23" s="1196"/>
      <c r="R23" s="1196"/>
      <c r="S23" s="1196"/>
      <c r="T23" s="1196"/>
      <c r="U23" s="1196"/>
      <c r="V23" s="1196"/>
    </row>
    <row r="24" spans="1:22" ht="18" customHeight="1">
      <c r="A24" s="1977"/>
      <c r="B24" s="2062" t="s">
        <v>2056</v>
      </c>
      <c r="C24" s="2064"/>
      <c r="D24" s="1974" t="s">
        <v>2056</v>
      </c>
      <c r="E24" s="1985"/>
      <c r="F24" s="2066"/>
      <c r="G24" s="1997"/>
      <c r="H24" s="1997"/>
      <c r="I24" s="1997"/>
      <c r="J24" s="1997"/>
      <c r="K24" s="226"/>
      <c r="L24" s="2607"/>
      <c r="M24" s="1993"/>
      <c r="N24" s="2017"/>
      <c r="O24" s="1230"/>
      <c r="P24" s="2017"/>
      <c r="Q24" s="1196"/>
      <c r="R24" s="1196"/>
      <c r="S24" s="1196"/>
      <c r="T24" s="1196"/>
      <c r="U24" s="1196"/>
      <c r="V24" s="1196"/>
    </row>
    <row r="25" spans="1:22" ht="18" customHeight="1">
      <c r="A25" s="1977"/>
      <c r="B25" s="2062" t="s">
        <v>2057</v>
      </c>
      <c r="C25" s="2064"/>
      <c r="D25" s="1974" t="s">
        <v>2057</v>
      </c>
      <c r="E25" s="1985"/>
      <c r="F25" s="2066"/>
      <c r="G25" s="1997"/>
      <c r="H25" s="1997"/>
      <c r="I25" s="1997"/>
      <c r="J25" s="1997"/>
      <c r="K25" s="2100"/>
      <c r="L25" s="1993"/>
      <c r="M25" s="1993"/>
      <c r="N25" s="2017"/>
      <c r="O25" s="1230"/>
      <c r="P25" s="2017"/>
      <c r="Q25" s="1196"/>
      <c r="R25" s="1196"/>
      <c r="S25" s="1196"/>
      <c r="T25" s="1196"/>
      <c r="U25" s="1196"/>
      <c r="V25" s="1196"/>
    </row>
    <row r="26" spans="1:22" ht="18" customHeight="1" thickBot="1">
      <c r="A26" s="2054"/>
      <c r="B26" s="2067" t="s">
        <v>2058</v>
      </c>
      <c r="C26" s="2068"/>
      <c r="D26" s="2056" t="s">
        <v>2058</v>
      </c>
      <c r="E26" s="2055"/>
      <c r="F26" s="2069"/>
      <c r="G26" s="1996"/>
      <c r="H26" s="1996"/>
      <c r="I26" s="1996"/>
      <c r="J26" s="1997"/>
      <c r="K26" s="2100"/>
      <c r="L26" s="1993"/>
      <c r="M26" s="1993"/>
      <c r="N26" s="2017"/>
      <c r="O26" s="1230"/>
      <c r="P26" s="2017"/>
      <c r="Q26" s="1196"/>
      <c r="R26" s="1196"/>
      <c r="S26" s="1196"/>
      <c r="T26" s="1196"/>
      <c r="U26" s="1196"/>
      <c r="V26" s="1196"/>
    </row>
    <row r="27" spans="1:22" ht="18" customHeight="1" thickTop="1">
      <c r="A27" s="3626" t="s">
        <v>2062</v>
      </c>
      <c r="B27" s="2006" t="s">
        <v>2063</v>
      </c>
      <c r="C27" s="1928" t="s">
        <v>3104</v>
      </c>
      <c r="D27" s="1929"/>
      <c r="E27" s="1997"/>
      <c r="F27" s="1997"/>
      <c r="G27" s="1997"/>
      <c r="H27" s="1997"/>
      <c r="I27" s="1997"/>
      <c r="J27" s="1196"/>
      <c r="K27" s="2102"/>
      <c r="L27" s="1230"/>
      <c r="M27" s="1230"/>
      <c r="N27" s="2017"/>
      <c r="O27" s="1230"/>
      <c r="P27" s="2017"/>
      <c r="Q27" s="1196"/>
      <c r="R27" s="1196"/>
      <c r="S27" s="1196"/>
      <c r="T27" s="1196"/>
      <c r="U27" s="1196"/>
      <c r="V27" s="1196"/>
    </row>
    <row r="28" spans="1:22" ht="18" customHeight="1">
      <c r="A28" s="3626"/>
      <c r="B28" s="1938" t="s">
        <v>2064</v>
      </c>
      <c r="C28" s="1930"/>
      <c r="D28" s="1931"/>
      <c r="E28" s="1997"/>
      <c r="F28" s="1997"/>
      <c r="G28" s="1997"/>
      <c r="H28" s="1997"/>
      <c r="I28" s="1997"/>
      <c r="J28" s="1196"/>
      <c r="K28" s="2106"/>
      <c r="L28" s="1993"/>
      <c r="M28" s="1993"/>
      <c r="N28" s="1196"/>
      <c r="O28" s="11"/>
      <c r="P28" s="1196"/>
      <c r="Q28" s="1196"/>
      <c r="R28" s="1196"/>
      <c r="S28" s="1196"/>
      <c r="T28" s="1196"/>
      <c r="U28" s="1196"/>
      <c r="V28" s="1196"/>
    </row>
    <row r="29" spans="1:22" ht="18" customHeight="1">
      <c r="A29" s="3626"/>
      <c r="B29" s="1938" t="s">
        <v>2065</v>
      </c>
      <c r="C29" s="1932" t="s">
        <v>41</v>
      </c>
      <c r="D29" s="1933"/>
      <c r="E29" s="1997"/>
      <c r="F29" s="1997"/>
      <c r="G29" s="1997"/>
      <c r="H29" s="1997"/>
      <c r="I29" s="1997"/>
      <c r="J29" s="1196"/>
      <c r="K29" s="2106"/>
      <c r="L29" s="1993"/>
      <c r="M29" s="1993"/>
      <c r="N29" s="1196"/>
      <c r="O29" s="11"/>
      <c r="P29" s="1196"/>
      <c r="Q29" s="1196"/>
      <c r="R29" s="1196"/>
      <c r="S29" s="1196"/>
      <c r="T29" s="1196"/>
      <c r="U29" s="1196"/>
      <c r="V29" s="1196"/>
    </row>
    <row r="30" spans="1:22" ht="18" customHeight="1">
      <c r="A30" s="3627"/>
      <c r="B30" s="1938" t="s">
        <v>2066</v>
      </c>
      <c r="C30" s="3628"/>
      <c r="D30" s="3629"/>
      <c r="E30" s="1997"/>
      <c r="F30" s="1997"/>
      <c r="G30" s="1997"/>
      <c r="H30" s="1997"/>
      <c r="I30" s="1997"/>
      <c r="J30" s="1196"/>
      <c r="K30" s="2106"/>
      <c r="L30" s="1993"/>
      <c r="M30" s="1993"/>
      <c r="N30" s="1196"/>
      <c r="O30" s="11"/>
      <c r="P30" s="1196"/>
      <c r="Q30" s="1196"/>
      <c r="R30" s="1196"/>
      <c r="S30" s="1196"/>
      <c r="T30" s="1196"/>
      <c r="U30" s="1196"/>
      <c r="V30" s="1196"/>
    </row>
    <row r="31" spans="1:22" ht="18" customHeight="1">
      <c r="A31" s="3630" t="s">
        <v>2067</v>
      </c>
      <c r="B31" s="1934" t="s">
        <v>3105</v>
      </c>
      <c r="C31" s="1935" t="str">
        <f>IF(B31="现房","成新及维护状况正常否",IF(B31="在建","工程状态是否正常",IF(B31="土地","是否闲置","-")))</f>
        <v>成新及维护状况正常否</v>
      </c>
      <c r="D31" s="2007"/>
      <c r="E31" s="1936"/>
      <c r="F31" s="1997"/>
      <c r="G31" s="1997"/>
      <c r="H31" s="1997"/>
      <c r="I31" s="1997"/>
      <c r="J31" s="1997"/>
      <c r="K31" s="2104"/>
      <c r="L31" s="1993"/>
      <c r="M31" s="1993"/>
      <c r="N31" s="1196"/>
      <c r="O31" s="11"/>
      <c r="P31" s="1196"/>
      <c r="Q31" s="1196"/>
      <c r="R31" s="1196"/>
      <c r="S31" s="1196"/>
      <c r="T31" s="1196"/>
      <c r="U31" s="1196"/>
      <c r="V31" s="1196"/>
    </row>
    <row r="32" spans="1:22" ht="18" customHeight="1">
      <c r="A32" s="3631"/>
      <c r="B32" s="1934"/>
      <c r="C32" s="1935" t="str">
        <f>IF(B32="现房","成新及维护状况是否正常",IF(B32="在建","工程状态是否正常",IF(B32="土地","是否闲置","-")))</f>
        <v>-</v>
      </c>
      <c r="D32" s="2007"/>
      <c r="E32" s="1936"/>
      <c r="F32" s="1997"/>
      <c r="G32" s="1997"/>
      <c r="H32" s="1997"/>
      <c r="I32" s="1997"/>
      <c r="J32" s="1997"/>
      <c r="K32" s="2100"/>
      <c r="L32" s="1993"/>
      <c r="M32" s="1993"/>
      <c r="N32" s="1196"/>
      <c r="O32" s="11"/>
      <c r="P32" s="1196"/>
      <c r="Q32" s="1196"/>
      <c r="R32" s="1196"/>
      <c r="S32" s="1196"/>
      <c r="T32" s="1196"/>
      <c r="U32" s="1196"/>
      <c r="V32" s="1196"/>
    </row>
    <row r="33" spans="1:22" ht="18" customHeight="1">
      <c r="A33" s="3631"/>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6"/>
      <c r="O33" s="11"/>
      <c r="P33" s="1196"/>
      <c r="Q33" s="1196"/>
      <c r="R33" s="1196"/>
      <c r="S33" s="1196"/>
      <c r="T33" s="1196"/>
      <c r="U33" s="1196"/>
      <c r="V33" s="1196"/>
    </row>
    <row r="34" spans="1:22" ht="18" customHeight="1">
      <c r="A34" s="1938" t="s">
        <v>2025</v>
      </c>
      <c r="B34" s="1957"/>
      <c r="C34" s="1957"/>
      <c r="D34" s="1957"/>
      <c r="E34" s="1957"/>
      <c r="F34" s="1957"/>
      <c r="G34" s="1957"/>
      <c r="H34" s="1957"/>
      <c r="I34" s="1997"/>
      <c r="J34" s="1997"/>
      <c r="K34" s="2881">
        <f>COUNTIF(B34:H34,"——")</f>
        <v>0</v>
      </c>
      <c r="L34" s="2009" t="s">
        <v>2096</v>
      </c>
      <c r="M34" s="2009" t="s">
        <v>2097</v>
      </c>
      <c r="N34" s="2009" t="s">
        <v>2098</v>
      </c>
      <c r="O34" s="2009" t="s">
        <v>2099</v>
      </c>
      <c r="P34" s="2009" t="s">
        <v>2100</v>
      </c>
      <c r="Q34" s="2009" t="s">
        <v>2101</v>
      </c>
      <c r="R34" s="2009" t="s">
        <v>2102</v>
      </c>
      <c r="S34" s="3625" t="s">
        <v>2103</v>
      </c>
      <c r="T34" s="2010" t="str">
        <f>NUMBERSTRING(7-K34,1)&amp;"通"</f>
        <v>七通</v>
      </c>
      <c r="U34" s="1196"/>
      <c r="V34" s="1196"/>
    </row>
    <row r="35" spans="1:22" ht="18" customHeight="1">
      <c r="A35" s="2011"/>
      <c r="B35" s="3632" t="s">
        <v>1874</v>
      </c>
      <c r="C35" s="3632"/>
      <c r="D35" s="3632"/>
      <c r="E35" s="3632"/>
      <c r="F35" s="2012" t="str">
        <f>C10</f>
        <v>广东省中山市</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625"/>
      <c r="T35" s="23" t="str">
        <f>IF(T34="一通",L35,IF(T34="二通",M35,IF(T34="三通",N35,IF(T34="四通",O35,IF(T34="五通",P35,IF(T34="六通",Q35,R35))))))</f>
        <v>、、、、、、</v>
      </c>
      <c r="U35" s="1196"/>
      <c r="V35" s="1196"/>
    </row>
    <row r="36" spans="1:22" ht="18" customHeight="1">
      <c r="A36" s="2013"/>
      <c r="B36" s="2012" t="s">
        <v>1954</v>
      </c>
      <c r="C36" s="2012" t="s">
        <v>1950</v>
      </c>
      <c r="D36" s="2012" t="s">
        <v>1949</v>
      </c>
      <c r="E36" s="2012" t="s">
        <v>1951</v>
      </c>
      <c r="F36" s="2014"/>
      <c r="G36" s="1997"/>
      <c r="H36" s="1997"/>
      <c r="I36" s="1997"/>
      <c r="J36" s="1997"/>
      <c r="K36" s="2100"/>
      <c r="L36" s="1993"/>
      <c r="M36" s="1993"/>
      <c r="N36" s="1196"/>
      <c r="O36" s="11"/>
      <c r="P36" s="1196"/>
      <c r="Q36" s="1196"/>
      <c r="R36" s="1196"/>
      <c r="S36" s="1196"/>
      <c r="T36" s="1196"/>
      <c r="U36" s="1196"/>
      <c r="V36" s="1196"/>
    </row>
    <row r="37" spans="1:22" ht="18" customHeight="1">
      <c r="A37" s="2015" t="s">
        <v>1873</v>
      </c>
      <c r="B37" s="2016"/>
      <c r="C37" s="2016"/>
      <c r="D37" s="2016"/>
      <c r="E37" s="2016"/>
      <c r="F37" s="2014"/>
      <c r="G37" s="1997"/>
      <c r="H37" s="1997"/>
      <c r="I37" s="1997"/>
      <c r="J37" s="1997"/>
      <c r="K37" s="2100"/>
      <c r="L37" s="1993"/>
      <c r="M37" s="1993"/>
      <c r="N37" s="1196"/>
      <c r="O37" s="11"/>
      <c r="P37" s="1196"/>
      <c r="Q37" s="1196"/>
      <c r="R37" s="1196"/>
      <c r="S37" s="1196"/>
      <c r="T37" s="1196"/>
      <c r="U37" s="1196"/>
      <c r="V37" s="1196"/>
    </row>
    <row r="38" spans="1:22" ht="18" customHeight="1" thickBot="1">
      <c r="A38" s="2043" t="s">
        <v>1875</v>
      </c>
      <c r="B38" s="2044"/>
      <c r="C38" s="2044"/>
      <c r="D38" s="2044"/>
      <c r="E38" s="2044"/>
      <c r="F38" s="2045"/>
      <c r="G38" s="1996"/>
      <c r="H38" s="1996"/>
      <c r="I38" s="1996"/>
      <c r="J38" s="1997"/>
      <c r="K38" s="2100"/>
      <c r="L38" s="1993"/>
      <c r="M38" s="1993"/>
      <c r="N38" s="1196"/>
      <c r="O38" s="11"/>
      <c r="P38" s="1196"/>
      <c r="Q38" s="1196"/>
      <c r="R38" s="1196"/>
      <c r="S38" s="1196"/>
      <c r="T38" s="1196"/>
      <c r="U38" s="1196"/>
      <c r="V38" s="1196"/>
    </row>
    <row r="39" spans="1:22" s="3307" customFormat="1" ht="18" customHeight="1" thickTop="1" thickBot="1">
      <c r="A39" s="3308" t="s">
        <v>3026</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6"/>
      <c r="B40" s="1196"/>
      <c r="C40" s="1196"/>
      <c r="D40" s="1196"/>
      <c r="E40" s="1196"/>
      <c r="F40" s="1196"/>
      <c r="G40" s="1196"/>
      <c r="H40" s="1196"/>
      <c r="I40" s="1217"/>
      <c r="J40" s="2017"/>
      <c r="K40" s="2105"/>
      <c r="L40" s="1230"/>
      <c r="M40" s="1230"/>
      <c r="N40" s="2017"/>
      <c r="O40" s="1230"/>
      <c r="P40" s="1196"/>
      <c r="Q40" s="1196"/>
      <c r="R40" s="1196"/>
      <c r="S40" s="1196"/>
      <c r="T40" s="1196"/>
      <c r="U40" s="1196"/>
      <c r="V40" s="1196"/>
    </row>
    <row r="41" spans="1:22" ht="18" customHeight="1">
      <c r="A41" s="2018" t="s">
        <v>2068</v>
      </c>
      <c r="B41" s="2019"/>
      <c r="C41" s="2020"/>
      <c r="D41" s="1196"/>
      <c r="E41" s="1196"/>
      <c r="F41" s="1196"/>
      <c r="G41" s="1196"/>
      <c r="H41" s="1196"/>
      <c r="I41" s="11"/>
      <c r="J41" s="1196"/>
      <c r="K41" s="2106"/>
      <c r="L41" s="1993"/>
      <c r="M41" s="1993"/>
      <c r="N41" s="1196"/>
      <c r="O41" s="11"/>
      <c r="P41" s="1196"/>
      <c r="Q41" s="1196"/>
      <c r="R41" s="1196"/>
      <c r="S41" s="1196"/>
      <c r="T41" s="1196"/>
      <c r="U41" s="1196"/>
      <c r="V41" s="1196"/>
    </row>
    <row r="42" spans="1:22" ht="18" customHeight="1">
      <c r="A42" s="2009" t="s">
        <v>2069</v>
      </c>
      <c r="B42" s="1983" t="s">
        <v>2070</v>
      </c>
      <c r="C42" s="1983" t="s">
        <v>2071</v>
      </c>
      <c r="D42" s="1983" t="s">
        <v>2072</v>
      </c>
      <c r="E42" s="1983" t="s">
        <v>2073</v>
      </c>
      <c r="F42" s="1983" t="s">
        <v>2074</v>
      </c>
      <c r="G42" s="1983" t="s">
        <v>2075</v>
      </c>
      <c r="H42" s="1983" t="s">
        <v>2076</v>
      </c>
      <c r="I42" s="1983" t="s">
        <v>2077</v>
      </c>
      <c r="J42" s="2096" t="s">
        <v>2078</v>
      </c>
      <c r="K42" s="2021" t="s">
        <v>2079</v>
      </c>
      <c r="L42" s="2021" t="s">
        <v>2080</v>
      </c>
      <c r="M42" s="2021" t="s">
        <v>2081</v>
      </c>
      <c r="N42" s="1983" t="s">
        <v>2082</v>
      </c>
      <c r="O42" s="1983" t="s">
        <v>2083</v>
      </c>
      <c r="P42" s="1983" t="s">
        <v>2084</v>
      </c>
      <c r="Q42" s="2009" t="s">
        <v>2085</v>
      </c>
      <c r="R42" s="2009" t="s">
        <v>2086</v>
      </c>
      <c r="S42" s="1196"/>
      <c r="T42" s="1196"/>
      <c r="U42" s="1196"/>
      <c r="V42" s="1196"/>
    </row>
    <row r="43" spans="1:22" s="2237" customFormat="1" ht="18" customHeight="1">
      <c r="A43" s="1416"/>
      <c r="B43" s="216"/>
      <c r="C43" s="216"/>
      <c r="D43" s="216"/>
      <c r="E43" s="216"/>
      <c r="F43" s="216"/>
      <c r="G43" s="216"/>
      <c r="H43" s="2"/>
      <c r="I43" s="2"/>
      <c r="J43" s="9"/>
      <c r="K43" s="4"/>
      <c r="L43" s="4"/>
      <c r="M43" s="2"/>
      <c r="N43" s="216"/>
      <c r="O43" s="2"/>
      <c r="P43" s="216"/>
      <c r="Q43" s="216"/>
      <c r="R43" s="216"/>
      <c r="S43" s="3238"/>
      <c r="T43" s="3238"/>
      <c r="U43" s="3238"/>
      <c r="V43" s="3238"/>
    </row>
    <row r="44" spans="1:22" s="2237" customFormat="1" ht="18" customHeight="1">
      <c r="A44" s="1416"/>
      <c r="B44" s="1416"/>
      <c r="C44" s="216"/>
      <c r="D44" s="216"/>
      <c r="E44" s="216"/>
      <c r="F44" s="216"/>
      <c r="G44" s="216"/>
      <c r="H44" s="2"/>
      <c r="I44" s="2"/>
      <c r="J44" s="9"/>
      <c r="K44" s="4"/>
      <c r="L44" s="4"/>
      <c r="M44" s="2"/>
      <c r="N44" s="216"/>
      <c r="O44" s="2"/>
      <c r="P44" s="216"/>
      <c r="Q44" s="216"/>
      <c r="R44" s="216"/>
      <c r="S44" s="3238"/>
      <c r="T44" s="3238"/>
      <c r="U44" s="3238"/>
      <c r="V44" s="3238"/>
    </row>
    <row r="45" spans="1:22" s="2237" customFormat="1" ht="18" customHeight="1">
      <c r="A45" s="1416"/>
      <c r="B45" s="1416"/>
      <c r="C45" s="216"/>
      <c r="D45" s="216"/>
      <c r="E45" s="216"/>
      <c r="F45" s="216"/>
      <c r="G45" s="216"/>
      <c r="H45" s="2"/>
      <c r="I45" s="2"/>
      <c r="J45" s="9"/>
      <c r="K45" s="4"/>
      <c r="L45" s="4"/>
      <c r="M45" s="2"/>
      <c r="N45" s="216"/>
      <c r="O45" s="2"/>
      <c r="P45" s="216"/>
      <c r="Q45" s="216"/>
      <c r="R45" s="216"/>
      <c r="S45" s="3238"/>
      <c r="T45" s="3238"/>
      <c r="U45" s="3238"/>
      <c r="V45" s="3238"/>
    </row>
    <row r="46" spans="1:22" s="2237" customFormat="1" ht="18" customHeight="1">
      <c r="A46" s="1416"/>
      <c r="B46" s="1416"/>
      <c r="C46" s="216"/>
      <c r="D46" s="216"/>
      <c r="E46" s="216"/>
      <c r="F46" s="216"/>
      <c r="G46" s="216"/>
      <c r="H46" s="2"/>
      <c r="I46" s="2"/>
      <c r="J46" s="9"/>
      <c r="K46" s="4"/>
      <c r="L46" s="4"/>
      <c r="M46" s="2"/>
      <c r="N46" s="216"/>
      <c r="O46" s="2"/>
      <c r="P46" s="216"/>
      <c r="Q46" s="216"/>
      <c r="R46" s="216"/>
      <c r="S46" s="3238"/>
      <c r="T46" s="3238"/>
      <c r="U46" s="3238"/>
      <c r="V46" s="3238"/>
    </row>
    <row r="47" spans="1:22" s="2237" customFormat="1" ht="18" customHeight="1">
      <c r="A47" s="1416"/>
      <c r="B47" s="1416"/>
      <c r="C47" s="216"/>
      <c r="D47" s="216"/>
      <c r="E47" s="216"/>
      <c r="F47" s="216"/>
      <c r="G47" s="216"/>
      <c r="H47" s="2"/>
      <c r="I47" s="2"/>
      <c r="J47" s="9"/>
      <c r="K47" s="4"/>
      <c r="L47" s="4"/>
      <c r="M47" s="2"/>
      <c r="N47" s="216"/>
      <c r="O47" s="2"/>
      <c r="P47" s="216"/>
      <c r="Q47" s="216"/>
      <c r="R47" s="216"/>
      <c r="S47" s="3238"/>
      <c r="T47" s="3238"/>
      <c r="U47" s="3238"/>
      <c r="V47" s="3238"/>
    </row>
    <row r="48" spans="1:22" s="2237" customFormat="1" ht="18" customHeight="1">
      <c r="A48" s="1416"/>
      <c r="B48" s="1416"/>
      <c r="C48" s="216"/>
      <c r="D48" s="216"/>
      <c r="E48" s="216"/>
      <c r="F48" s="216"/>
      <c r="G48" s="216"/>
      <c r="H48" s="2"/>
      <c r="I48" s="2"/>
      <c r="J48" s="9"/>
      <c r="K48" s="4"/>
      <c r="L48" s="4"/>
      <c r="M48" s="2"/>
      <c r="N48" s="216"/>
      <c r="O48" s="2"/>
      <c r="P48" s="216"/>
      <c r="Q48" s="216"/>
      <c r="R48" s="216"/>
      <c r="S48" s="3238"/>
      <c r="T48" s="3238"/>
      <c r="U48" s="3238"/>
      <c r="V48" s="3238"/>
    </row>
    <row r="49" spans="1:22" s="2237" customFormat="1" ht="18" customHeight="1">
      <c r="A49" s="1416"/>
      <c r="B49" s="1416"/>
      <c r="C49" s="216"/>
      <c r="D49" s="216"/>
      <c r="E49" s="216"/>
      <c r="F49" s="216"/>
      <c r="G49" s="216"/>
      <c r="H49" s="2"/>
      <c r="I49" s="2"/>
      <c r="J49" s="9"/>
      <c r="K49" s="4"/>
      <c r="L49" s="4"/>
      <c r="M49" s="2"/>
      <c r="N49" s="216"/>
      <c r="O49" s="2"/>
      <c r="P49" s="216"/>
      <c r="Q49" s="216"/>
      <c r="R49" s="216"/>
      <c r="S49" s="3238"/>
      <c r="T49" s="3238"/>
      <c r="U49" s="3238"/>
      <c r="V49" s="3238"/>
    </row>
    <row r="50" spans="1:22" s="2237" customFormat="1" ht="18" customHeight="1">
      <c r="A50" s="1416"/>
      <c r="B50" s="1416"/>
      <c r="C50" s="216"/>
      <c r="D50" s="216"/>
      <c r="E50" s="216"/>
      <c r="F50" s="216"/>
      <c r="G50" s="216"/>
      <c r="H50" s="2"/>
      <c r="I50" s="2"/>
      <c r="J50" s="9"/>
      <c r="K50" s="4"/>
      <c r="L50" s="4"/>
      <c r="M50" s="2"/>
      <c r="N50" s="216"/>
      <c r="O50" s="2"/>
      <c r="P50" s="216"/>
      <c r="Q50" s="216"/>
      <c r="R50" s="216"/>
      <c r="S50" s="3238"/>
      <c r="T50" s="3238"/>
      <c r="U50" s="3238"/>
      <c r="V50" s="3238"/>
    </row>
    <row r="51" spans="1:22" s="2237" customFormat="1" ht="18" customHeight="1">
      <c r="A51" s="1416"/>
      <c r="B51" s="1416"/>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5" sqref="M15"/>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46" width="9.5" style="1162" hidden="1" customWidth="1"/>
    <col min="47" max="47" width="18.125" style="1162" hidden="1"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6" t="s">
        <v>2404</v>
      </c>
      <c r="AZ2" s="2517" t="s">
        <v>2405</v>
      </c>
      <c r="BA2" s="2518" t="s">
        <v>2406</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商业!G16</f>
        <v>33478.689999999981</v>
      </c>
      <c r="B3" s="302">
        <f>IF(C3="否",G5-AT5,G5)</f>
        <v>165498.45000000001</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19"/>
      <c r="AZ3" s="2520"/>
      <c r="BA3" s="2521"/>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165498.45000000001</v>
      </c>
      <c r="H5" s="305">
        <f t="shared" ref="H5:AT5" si="0">SUM(H13:H656)</f>
        <v>165498.45000000001</v>
      </c>
      <c r="I5" s="305">
        <f t="shared" si="0"/>
        <v>21711.050000000003</v>
      </c>
      <c r="J5" s="305">
        <f t="shared" si="0"/>
        <v>0</v>
      </c>
      <c r="K5" s="305">
        <f t="shared" si="0"/>
        <v>16940.830000000002</v>
      </c>
      <c r="L5" s="305">
        <f t="shared" si="0"/>
        <v>0</v>
      </c>
      <c r="M5" s="305">
        <f t="shared" si="0"/>
        <v>86900.44</v>
      </c>
      <c r="N5" s="305">
        <f t="shared" si="0"/>
        <v>0</v>
      </c>
      <c r="O5" s="305">
        <f t="shared" si="0"/>
        <v>39946.129999999997</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165498.45000000001</v>
      </c>
      <c r="BA5" s="307">
        <f t="shared" si="1"/>
        <v>165498.45000000001</v>
      </c>
      <c r="BB5" s="307">
        <f t="shared" si="1"/>
        <v>21711.050000000003</v>
      </c>
      <c r="BC5" s="307">
        <f t="shared" si="1"/>
        <v>16940.830000000002</v>
      </c>
      <c r="BD5" s="307">
        <f t="shared" si="1"/>
        <v>86900.44</v>
      </c>
      <c r="BE5" s="307">
        <f t="shared" si="1"/>
        <v>39946.129999999997</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618</v>
      </c>
      <c r="B6" s="223"/>
      <c r="C6" s="223"/>
      <c r="D6" s="224"/>
      <c r="E6" s="305">
        <f>H6+AC6+AT6</f>
        <v>33478.68</v>
      </c>
      <c r="F6" s="305" t="s">
        <v>23</v>
      </c>
      <c r="G6" s="305" t="s">
        <v>25</v>
      </c>
      <c r="H6" s="309">
        <f>SUMIF(I$12:AB$12,"总值",I6:AB6)</f>
        <v>33478.68</v>
      </c>
      <c r="I6" s="305">
        <f t="shared" ref="I6:AB6" si="2">ROUND($A$3*I5/$B$3,2)</f>
        <v>4391.93</v>
      </c>
      <c r="J6" s="305">
        <f t="shared" si="2"/>
        <v>0</v>
      </c>
      <c r="K6" s="305">
        <f t="shared" si="2"/>
        <v>3426.96</v>
      </c>
      <c r="L6" s="305">
        <f t="shared" si="2"/>
        <v>0</v>
      </c>
      <c r="M6" s="305">
        <f t="shared" si="2"/>
        <v>17579.09</v>
      </c>
      <c r="N6" s="305">
        <f t="shared" si="2"/>
        <v>0</v>
      </c>
      <c r="O6" s="305">
        <f t="shared" si="2"/>
        <v>8080.7</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33478.69</v>
      </c>
      <c r="AZ6" s="305" t="s">
        <v>29</v>
      </c>
      <c r="BA6" s="305">
        <f>ROUND($AY$6*BA5/$AZ$5,2)</f>
        <v>33478.69</v>
      </c>
      <c r="BB6" s="305">
        <f>ROUND($AY$6*BB5/$AZ$5,2)</f>
        <v>4391.93</v>
      </c>
      <c r="BC6" s="305">
        <f t="shared" ref="BC6:BH6" si="4">ROUND($AY$6*BC5/$AZ$5,2)</f>
        <v>3426.96</v>
      </c>
      <c r="BD6" s="305">
        <f t="shared" si="4"/>
        <v>17579.09</v>
      </c>
      <c r="BE6" s="305">
        <f t="shared" si="4"/>
        <v>8080.7</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3109</v>
      </c>
      <c r="J9" s="245"/>
      <c r="K9" s="244" t="s">
        <v>3109</v>
      </c>
      <c r="L9" s="245"/>
      <c r="M9" s="244" t="s">
        <v>3112</v>
      </c>
      <c r="N9" s="245"/>
      <c r="O9" s="244" t="s">
        <v>3109</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3037</v>
      </c>
      <c r="J10" s="245"/>
      <c r="K10" s="252" t="s">
        <v>139</v>
      </c>
      <c r="L10" s="245"/>
      <c r="M10" s="252" t="s">
        <v>3113</v>
      </c>
      <c r="N10" s="245"/>
      <c r="O10" s="252" t="s">
        <v>3037</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3110</v>
      </c>
      <c r="J11" s="259"/>
      <c r="K11" s="258" t="s">
        <v>3111</v>
      </c>
      <c r="L11" s="259"/>
      <c r="M11" s="258" t="s">
        <v>3113</v>
      </c>
      <c r="N11" s="259"/>
      <c r="O11" s="258" t="s">
        <v>3110</v>
      </c>
      <c r="P11" s="259"/>
      <c r="Q11" s="258"/>
      <c r="R11" s="259"/>
      <c r="S11" s="258"/>
      <c r="T11" s="259"/>
      <c r="U11" s="258"/>
      <c r="V11" s="259"/>
      <c r="W11" s="258"/>
      <c r="X11" s="259"/>
      <c r="Y11" s="258"/>
      <c r="Z11" s="259"/>
      <c r="AA11" s="258"/>
      <c r="AB11" s="259"/>
      <c r="AC11" s="240"/>
      <c r="AD11" s="2509" t="s">
        <v>2393</v>
      </c>
      <c r="AE11" s="2488"/>
      <c r="AF11" s="2509" t="s">
        <v>2393</v>
      </c>
      <c r="AG11" s="2488"/>
      <c r="AH11" s="2509" t="s">
        <v>2394</v>
      </c>
      <c r="AI11" s="2510"/>
      <c r="AJ11" s="2509" t="s">
        <v>2394</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t="str">
        <f>M10</f>
        <v>车库</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底商</v>
      </c>
      <c r="BC12" s="267" t="str">
        <f>K11</f>
        <v>办公楼</v>
      </c>
      <c r="BD12" s="267" t="str">
        <f>M11</f>
        <v>车库</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3106</v>
      </c>
      <c r="D13" s="217" t="s">
        <v>3048</v>
      </c>
      <c r="E13" s="305">
        <f>IF($C$3="是",ROUND($A$3*G13/$B$3,2),ROUND($A$3*(G13-AT13)/$B$3,2))</f>
        <v>4391.93</v>
      </c>
      <c r="F13" s="321"/>
      <c r="G13" s="322">
        <f>H13+AC13+AT13</f>
        <v>21711.050000000003</v>
      </c>
      <c r="H13" s="309">
        <f>SUMIF(I$12:AB$12,"总值",I13:AB13)</f>
        <v>21711.050000000003</v>
      </c>
      <c r="I13" s="1417">
        <f>商业!K5-Sheet1!AO2</f>
        <v>21711.050000000003</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商业</v>
      </c>
      <c r="AY13" s="304">
        <f>ROUND($AY$6*AZ13/$AZ$5,2)</f>
        <v>4391.93</v>
      </c>
      <c r="AZ13" s="305">
        <f>BA13+BL13</f>
        <v>21711.050000000003</v>
      </c>
      <c r="BA13" s="305">
        <f>SUM(BB13:BK13)</f>
        <v>21711.050000000003</v>
      </c>
      <c r="BB13" s="305">
        <f>IF($D13="是",I13-J13,0)</f>
        <v>21711.050000000003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3107</v>
      </c>
      <c r="D14" s="217" t="s">
        <v>3048</v>
      </c>
      <c r="E14" s="305">
        <f>IF($C$3="是",ROUND($A$3*G14/$B$3,2),ROUND($A$3*(G14-AT14)/$B$3,2))</f>
        <v>3426.96</v>
      </c>
      <c r="F14" s="321"/>
      <c r="G14" s="322">
        <f>H14+AC14+AT14</f>
        <v>16940.830000000002</v>
      </c>
      <c r="H14" s="309">
        <f>SUMIF(I$12:AB$12,"总值",I14:AB14)</f>
        <v>16940.830000000002</v>
      </c>
      <c r="I14" s="1417"/>
      <c r="J14" s="1417"/>
      <c r="K14" s="1417">
        <f>商业!L5</f>
        <v>16940.830000000002</v>
      </c>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办公</v>
      </c>
      <c r="AY14" s="304">
        <f>ROUND($AY$6*AZ14/$AZ$5,2)</f>
        <v>3426.96</v>
      </c>
      <c r="AZ14" s="305">
        <f>BA14+BL14</f>
        <v>16940.830000000002</v>
      </c>
      <c r="BA14" s="305">
        <f>SUM(BB14:BK14)</f>
        <v>16940.830000000002</v>
      </c>
      <c r="BB14" s="305">
        <f>IF($D14="是",I14-J14,0)</f>
        <v>0</v>
      </c>
      <c r="BC14" s="305">
        <f>IF($D14="是",K14-L14,0)</f>
        <v>16940.830000000002</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t="s">
        <v>3108</v>
      </c>
      <c r="D15" s="217" t="s">
        <v>3048</v>
      </c>
      <c r="E15" s="305">
        <f>IF($C$3="是",ROUND($A$3*G15/$B$3,2),ROUND($A$3*(G15-AT15)/$B$3,2))</f>
        <v>17579.09</v>
      </c>
      <c r="F15" s="321"/>
      <c r="G15" s="322">
        <f>H15+AC15+AT15</f>
        <v>86900.44</v>
      </c>
      <c r="H15" s="309">
        <f>SUMIF(I$12:AB$12,"总值",I15:AB15)</f>
        <v>86900.44</v>
      </c>
      <c r="I15" s="1417"/>
      <c r="J15" s="1417"/>
      <c r="K15" s="1417"/>
      <c r="L15" s="1417"/>
      <c r="M15" s="1417">
        <f>商业!M5</f>
        <v>86900.44</v>
      </c>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t="str">
        <f t="shared" si="6"/>
        <v>地下车库</v>
      </c>
      <c r="AY15" s="304">
        <f>ROUND($AY$6*AZ15/$AZ$5,2)</f>
        <v>17579.09</v>
      </c>
      <c r="AZ15" s="305">
        <f>BA15+BL15</f>
        <v>86900.44</v>
      </c>
      <c r="BA15" s="305">
        <f>SUM(BB15:BK15)</f>
        <v>86900.44</v>
      </c>
      <c r="BB15" s="305">
        <f>IF($D15="是",I15-J15,0)</f>
        <v>0</v>
      </c>
      <c r="BC15" s="305">
        <f>IF($D15="是",K15-L15,0)</f>
        <v>0</v>
      </c>
      <c r="BD15" s="305">
        <f>IF($D15="是",M15-N15,0)</f>
        <v>86900.44</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24">
      <c r="A16" s="216"/>
      <c r="B16" s="216"/>
      <c r="C16" s="1416" t="s">
        <v>3123</v>
      </c>
      <c r="D16" s="217" t="s">
        <v>3048</v>
      </c>
      <c r="E16" s="305">
        <f>IF($C$3="是",ROUND($A$3*G16/$B$3,2),ROUND($A$3*(G16-AT16)/$B$3,2))</f>
        <v>8080.7</v>
      </c>
      <c r="F16" s="321"/>
      <c r="G16" s="322">
        <f>H16+AC16+AT16</f>
        <v>39946.129999999997</v>
      </c>
      <c r="H16" s="309">
        <f>SUMIF(I$12:AB$12,"总值",I16:AB16)</f>
        <v>39946.129999999997</v>
      </c>
      <c r="I16" s="1417"/>
      <c r="J16" s="1417"/>
      <c r="K16" s="1417"/>
      <c r="L16" s="1417"/>
      <c r="M16" s="1417"/>
      <c r="N16" s="1417"/>
      <c r="O16" s="1417">
        <f>Sheet1!AO2</f>
        <v>39946.129999999997</v>
      </c>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t="str">
        <f t="shared" si="6"/>
        <v>商业（有租约）</v>
      </c>
      <c r="AY16" s="304">
        <f>ROUND($AY$6*AZ16/$AZ$5,2)</f>
        <v>8080.7</v>
      </c>
      <c r="AZ16" s="305">
        <f>BA16+BL16</f>
        <v>39946.129999999997</v>
      </c>
      <c r="BA16" s="305">
        <f>SUM(BB16:BK16)</f>
        <v>39946.129999999997</v>
      </c>
      <c r="BB16" s="305">
        <f>IF($D16="是",I16-J16,0)</f>
        <v>0</v>
      </c>
      <c r="BC16" s="305">
        <f>IF($D16="是",K16-L16,0)</f>
        <v>0</v>
      </c>
      <c r="BD16" s="305">
        <f>IF($D16="是",M16-N16,0)</f>
        <v>0</v>
      </c>
      <c r="BE16" s="305">
        <f>IF($D16="是",O16-P16,0)</f>
        <v>39946.129999999997</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3"/>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8">
        <f t="shared" ref="AV18:AV112" si="11">A18</f>
        <v>0</v>
      </c>
      <c r="AW18" s="2208">
        <f t="shared" ref="AW18:AW112" si="12">B18</f>
        <v>0</v>
      </c>
      <c r="AX18" s="2208">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3"/>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3"/>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3"/>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3"/>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3"/>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3"/>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3"/>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3"/>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3"/>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3"/>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3"/>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3"/>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3"/>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3"/>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3"/>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3"/>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3"/>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3"/>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3"/>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3"/>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73" t="s">
        <v>2</v>
      </c>
      <c r="B1" s="3573" t="s">
        <v>37</v>
      </c>
      <c r="C1" s="3573" t="s">
        <v>38</v>
      </c>
      <c r="D1" s="3633" t="s">
        <v>198</v>
      </c>
      <c r="E1" s="3633" t="s">
        <v>199</v>
      </c>
      <c r="F1" s="3633"/>
      <c r="G1" s="3633"/>
      <c r="H1" s="3633"/>
      <c r="I1" s="3633"/>
      <c r="J1" s="3633"/>
      <c r="K1" s="3633"/>
      <c r="L1" s="3633"/>
      <c r="M1" s="3633"/>
    </row>
    <row r="2" spans="1:13" ht="27" customHeight="1">
      <c r="A2" s="3573"/>
      <c r="B2" s="3573"/>
      <c r="C2" s="3573"/>
      <c r="D2" s="3633"/>
      <c r="E2" s="3633" t="s">
        <v>182</v>
      </c>
      <c r="F2" s="3633" t="s">
        <v>183</v>
      </c>
      <c r="G2" s="3633"/>
      <c r="H2" s="3633"/>
      <c r="I2" s="3633"/>
      <c r="J2" s="3633" t="s">
        <v>184</v>
      </c>
      <c r="K2" s="3633"/>
      <c r="L2" s="3633"/>
      <c r="M2" s="3633"/>
    </row>
    <row r="3" spans="1:13" ht="28.5">
      <c r="A3" s="3573"/>
      <c r="B3" s="3573"/>
      <c r="C3" s="3573"/>
      <c r="D3" s="3633"/>
      <c r="E3" s="3633"/>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633" t="s">
        <v>200</v>
      </c>
      <c r="B9" s="3633"/>
      <c r="C9" s="363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4" sqref="G24"/>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641</v>
      </c>
      <c r="B1" s="2222"/>
      <c r="C1" s="2222"/>
      <c r="D1" s="2222"/>
      <c r="E1" s="2222"/>
      <c r="F1" s="2222"/>
      <c r="G1" s="2222"/>
      <c r="H1" s="2222"/>
      <c r="I1" s="2222"/>
      <c r="J1" s="2222"/>
      <c r="K1" s="2222"/>
      <c r="L1" s="2222"/>
      <c r="M1" s="2222"/>
      <c r="N1" s="2222"/>
      <c r="O1" s="2222"/>
      <c r="P1" s="2222"/>
    </row>
    <row r="2" spans="1:16">
      <c r="A2" s="3643" t="s">
        <v>642</v>
      </c>
      <c r="B2" s="3643"/>
      <c r="C2" s="3643"/>
      <c r="D2" s="2206" t="s">
        <v>643</v>
      </c>
      <c r="E2" s="19" t="s">
        <v>644</v>
      </c>
      <c r="F2" s="2222"/>
      <c r="G2" s="1179"/>
      <c r="H2" s="1180"/>
      <c r="I2" s="2214" t="s">
        <v>645</v>
      </c>
      <c r="J2" s="2222"/>
      <c r="K2" s="2222"/>
      <c r="L2" s="2222"/>
      <c r="M2" s="2222"/>
      <c r="N2" s="2231"/>
      <c r="O2" s="2222"/>
      <c r="P2" s="2222"/>
    </row>
    <row r="3" spans="1:16" ht="15.75" thickBot="1">
      <c r="A3" s="3644" t="s">
        <v>646</v>
      </c>
      <c r="B3" s="3644"/>
      <c r="C3" s="3644"/>
      <c r="D3" s="335">
        <f>'数据-基础表'!AY6</f>
        <v>33478.69</v>
      </c>
      <c r="E3" s="335">
        <f>'数据-基础表'!AZ5</f>
        <v>165498.45000000001</v>
      </c>
      <c r="F3" s="2222"/>
      <c r="G3" s="442"/>
      <c r="H3" s="440" t="s">
        <v>647</v>
      </c>
      <c r="I3" s="344">
        <f>ROUND('数据-基础表'!B3/'数据-基础表'!A3,2)</f>
        <v>4.9400000000000004</v>
      </c>
      <c r="J3" s="2222"/>
      <c r="K3" s="2222"/>
      <c r="L3" s="2222"/>
      <c r="M3" s="2222"/>
      <c r="N3" s="2231"/>
      <c r="O3" s="2222"/>
      <c r="P3" s="2222"/>
    </row>
    <row r="4" spans="1:16" ht="14.25">
      <c r="A4" s="3645"/>
      <c r="B4" s="3646"/>
      <c r="C4" s="3647"/>
      <c r="D4" s="20" t="s">
        <v>643</v>
      </c>
      <c r="E4" s="21" t="s">
        <v>644</v>
      </c>
      <c r="F4" s="2222"/>
      <c r="G4" s="1181" t="s">
        <v>1792</v>
      </c>
      <c r="H4" s="440" t="s">
        <v>648</v>
      </c>
      <c r="I4" s="344">
        <f>ROUND(SUMIF('数据-基础表'!I9:AS9,"地上",'数据-基础表'!I5:AS5)/'数据-基础表'!A3,2)</f>
        <v>2.35</v>
      </c>
      <c r="J4" s="2222"/>
      <c r="K4" s="2222"/>
      <c r="L4" s="2222"/>
      <c r="M4" s="2222"/>
      <c r="N4" s="2231"/>
      <c r="O4" s="2222"/>
      <c r="P4" s="2222"/>
    </row>
    <row r="5" spans="1:16" ht="14.25">
      <c r="A5" s="22" t="s">
        <v>649</v>
      </c>
      <c r="B5" s="3648" t="s">
        <v>650</v>
      </c>
      <c r="C5" s="3648"/>
      <c r="D5" s="337">
        <f>ROUND($D$3*E5/$E$3,2)</f>
        <v>0</v>
      </c>
      <c r="E5" s="338">
        <f>SUMIF('数据-基础表'!$11:$11,"住宅",'数据-基础表'!$5:$5)</f>
        <v>0</v>
      </c>
      <c r="F5" s="2222"/>
      <c r="G5" s="442"/>
      <c r="H5" s="440" t="s">
        <v>647</v>
      </c>
      <c r="I5" s="344">
        <f>ROUND(E31/D31,2)</f>
        <v>4.9400000000000004</v>
      </c>
      <c r="J5" s="2222"/>
      <c r="K5" s="2222"/>
      <c r="L5" s="2222"/>
      <c r="M5" s="2222"/>
      <c r="N5" s="2222"/>
      <c r="O5" s="2222"/>
      <c r="P5" s="2222"/>
    </row>
    <row r="6" spans="1:16" ht="15" thickBot="1">
      <c r="A6" s="24"/>
      <c r="B6" s="3648" t="s">
        <v>651</v>
      </c>
      <c r="C6" s="3648"/>
      <c r="D6" s="337">
        <f>ROUND($D$3*E6/$E$3,2)</f>
        <v>33478.69</v>
      </c>
      <c r="E6" s="338">
        <f>E3-E5</f>
        <v>165498.45000000001</v>
      </c>
      <c r="F6" s="2222"/>
      <c r="G6" s="1757" t="s">
        <v>1793</v>
      </c>
      <c r="H6" s="442" t="s">
        <v>648</v>
      </c>
      <c r="I6" s="1758">
        <f>ROUND(F31/D31,2)</f>
        <v>2.35</v>
      </c>
      <c r="J6" s="2222"/>
      <c r="K6" s="2222"/>
      <c r="L6" s="2222"/>
      <c r="M6" s="2222"/>
      <c r="N6" s="2222"/>
      <c r="O6" s="2222"/>
      <c r="P6" s="2222"/>
    </row>
    <row r="7" spans="1:16" ht="14.25">
      <c r="A7" s="3640"/>
      <c r="B7" s="3641"/>
      <c r="C7" s="3642"/>
      <c r="D7" s="20" t="s">
        <v>643</v>
      </c>
      <c r="E7" s="25" t="s">
        <v>644</v>
      </c>
      <c r="F7" s="2222"/>
      <c r="G7" s="1179" t="s">
        <v>1872</v>
      </c>
      <c r="H7" s="38"/>
      <c r="I7" s="762"/>
      <c r="J7" s="2222"/>
      <c r="K7" s="2222"/>
      <c r="L7" s="2222"/>
      <c r="M7" s="2222"/>
      <c r="N7" s="2222"/>
      <c r="O7" s="2222"/>
      <c r="P7" s="2222"/>
    </row>
    <row r="8" spans="1:16" ht="14.25">
      <c r="A8" s="22" t="s">
        <v>652</v>
      </c>
      <c r="B8" s="26" t="s">
        <v>653</v>
      </c>
      <c r="C8" s="23" t="s">
        <v>654</v>
      </c>
      <c r="D8" s="337">
        <f t="shared" ref="D8:D15" si="0">ROUND($D$3*E8/$E$3,2)</f>
        <v>15899.6</v>
      </c>
      <c r="E8" s="340">
        <f>SUMIF('数据-基础表'!BB10:BK10,"地上",'数据-基础表'!BB5:BK5)</f>
        <v>78598.010000000009</v>
      </c>
      <c r="F8" s="2222"/>
      <c r="G8" s="2223"/>
      <c r="H8" s="2223"/>
      <c r="I8" s="2222"/>
      <c r="J8" s="2222"/>
      <c r="K8" s="2222"/>
      <c r="L8" s="2222"/>
      <c r="M8" s="2222"/>
      <c r="N8" s="2222"/>
      <c r="O8" s="2222"/>
      <c r="P8" s="2222"/>
    </row>
    <row r="9" spans="1:16" ht="14.25">
      <c r="A9" s="27"/>
      <c r="B9" s="28"/>
      <c r="C9" s="23" t="s">
        <v>655</v>
      </c>
      <c r="D9" s="337">
        <f t="shared" si="0"/>
        <v>0</v>
      </c>
      <c r="E9" s="341">
        <v>0</v>
      </c>
      <c r="F9" s="2222"/>
      <c r="G9" s="2223"/>
      <c r="H9" s="2223"/>
      <c r="I9" s="2222"/>
      <c r="J9" s="2222"/>
      <c r="K9" s="2222"/>
      <c r="L9" s="2222"/>
      <c r="M9" s="2222"/>
      <c r="N9" s="2222"/>
      <c r="O9" s="2222"/>
      <c r="P9" s="2222"/>
    </row>
    <row r="10" spans="1:16" ht="14.25">
      <c r="A10" s="27"/>
      <c r="B10" s="28"/>
      <c r="C10" s="23" t="s">
        <v>656</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2395</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657</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658</v>
      </c>
      <c r="D13" s="337">
        <f t="shared" si="0"/>
        <v>17579.09</v>
      </c>
      <c r="E13" s="340">
        <f>SUMPRODUCT(('数据-基础表'!BB10:BK10="地下")*('数据-基础表'!BB11:BK11="车库")*('数据-基础表'!BB5:BK5))</f>
        <v>86900.44</v>
      </c>
      <c r="F13" s="2222"/>
      <c r="G13" s="2223"/>
      <c r="H13" s="2223"/>
      <c r="I13" s="2222"/>
      <c r="J13" s="2222"/>
      <c r="K13" s="2222"/>
      <c r="L13" s="2222"/>
      <c r="M13" s="2222"/>
      <c r="N13" s="2222"/>
      <c r="O13" s="2222"/>
      <c r="P13" s="2222"/>
    </row>
    <row r="14" spans="1:16" ht="14.25">
      <c r="A14" s="27"/>
      <c r="B14" s="28"/>
      <c r="C14" s="23" t="s">
        <v>659</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660</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661</v>
      </c>
      <c r="D16" s="339">
        <f>SUM(D8:D15)</f>
        <v>33478.69</v>
      </c>
      <c r="E16" s="342">
        <f>SUM(E8:E15)</f>
        <v>165498.45000000001</v>
      </c>
      <c r="F16" s="2222"/>
      <c r="G16" s="2223"/>
      <c r="H16" s="1178" t="s">
        <v>532</v>
      </c>
      <c r="I16" s="1182"/>
      <c r="J16" s="2222"/>
      <c r="K16" s="3637" t="s">
        <v>532</v>
      </c>
      <c r="L16" s="3638"/>
      <c r="M16" s="3638"/>
      <c r="N16" s="3638"/>
      <c r="O16" s="3638"/>
      <c r="P16" s="3639"/>
    </row>
    <row r="17" spans="1:19" ht="14.25">
      <c r="A17" s="29" t="s">
        <v>662</v>
      </c>
      <c r="B17" s="30" t="s">
        <v>663</v>
      </c>
      <c r="C17" s="34" t="s">
        <v>2386</v>
      </c>
      <c r="D17" s="2072" t="s">
        <v>643</v>
      </c>
      <c r="E17" s="2070" t="s">
        <v>644</v>
      </c>
      <c r="F17" s="36"/>
      <c r="G17" s="37"/>
      <c r="H17" s="1183" t="s">
        <v>664</v>
      </c>
      <c r="I17" s="1184" t="s">
        <v>205</v>
      </c>
      <c r="J17" s="2222"/>
      <c r="K17" s="3634" t="s">
        <v>670</v>
      </c>
      <c r="L17" s="3635"/>
      <c r="M17" s="3636"/>
      <c r="N17" s="3634" t="s">
        <v>2688</v>
      </c>
      <c r="O17" s="3635"/>
      <c r="P17" s="3636"/>
      <c r="R17" s="2482" t="s">
        <v>2387</v>
      </c>
      <c r="S17" s="354"/>
    </row>
    <row r="18" spans="1:19">
      <c r="A18" s="27"/>
      <c r="B18" s="31"/>
      <c r="C18" s="35"/>
      <c r="D18" s="2073"/>
      <c r="E18" s="2071" t="s">
        <v>665</v>
      </c>
      <c r="F18" s="15" t="s">
        <v>666</v>
      </c>
      <c r="G18" s="16" t="s">
        <v>667</v>
      </c>
      <c r="H18" s="1185" t="s">
        <v>668</v>
      </c>
      <c r="I18" s="1186" t="s">
        <v>669</v>
      </c>
      <c r="J18" s="2222"/>
      <c r="K18" s="1185" t="s">
        <v>2681</v>
      </c>
      <c r="L18" s="6" t="s">
        <v>2689</v>
      </c>
      <c r="M18" s="2800" t="s">
        <v>2687</v>
      </c>
      <c r="N18" s="1185" t="s">
        <v>2681</v>
      </c>
      <c r="O18" s="6" t="s">
        <v>2689</v>
      </c>
      <c r="P18" s="2800" t="s">
        <v>2687</v>
      </c>
      <c r="R18" s="2483" t="s">
        <v>2388</v>
      </c>
      <c r="S18" s="2483" t="s">
        <v>2389</v>
      </c>
    </row>
    <row r="19" spans="1:19" ht="14.25">
      <c r="A19" s="32"/>
      <c r="B19" s="26" t="s">
        <v>117</v>
      </c>
      <c r="C19" s="1420" t="s">
        <v>3119</v>
      </c>
      <c r="D19" s="337">
        <f>ROUND($D$3*E19/$E$3,2)</f>
        <v>4391.93</v>
      </c>
      <c r="E19" s="345">
        <f t="shared" ref="E19:E26" si="1">SUM(F19:G19)</f>
        <v>21711.050000000003</v>
      </c>
      <c r="F19" s="346">
        <f>'数据-基础表'!I13</f>
        <v>21711.050000000003</v>
      </c>
      <c r="G19" s="347"/>
      <c r="H19" s="1132">
        <f>ROUND($D$3*I19/$E$3,2)</f>
        <v>0</v>
      </c>
      <c r="I19" s="340">
        <f t="shared" ref="I19:I26" si="2">IF($I$17="自定义",P19,M19)</f>
        <v>0</v>
      </c>
      <c r="J19" s="2222"/>
      <c r="K19" s="2801">
        <f t="shared" ref="K19:K26" si="3">ROUND(E$28*E19/E$27,2)</f>
        <v>0</v>
      </c>
      <c r="L19" s="2484">
        <f t="shared" ref="L19:L26" si="4">ROUND(IF(COUNTIF(C19,"*住宅*")&gt;0,E$29*E19/E$32,0),2)</f>
        <v>0</v>
      </c>
      <c r="M19" s="2819">
        <f>K19+L19</f>
        <v>0</v>
      </c>
      <c r="N19" s="2817"/>
      <c r="O19" s="2799"/>
      <c r="P19" s="2802">
        <f>N19+O19</f>
        <v>0</v>
      </c>
      <c r="R19" s="2484">
        <f t="shared" ref="R19:S26" si="5">D19+H19</f>
        <v>4391.93</v>
      </c>
      <c r="S19" s="2485">
        <f t="shared" si="5"/>
        <v>21711.050000000003</v>
      </c>
    </row>
    <row r="20" spans="1:19" ht="14.25">
      <c r="A20" s="33"/>
      <c r="B20" s="26" t="s">
        <v>636</v>
      </c>
      <c r="C20" s="1420" t="s">
        <v>3120</v>
      </c>
      <c r="D20" s="337">
        <f t="shared" ref="D20:D26" si="6">ROUND($D$3*E20/$E$3,2)</f>
        <v>3426.96</v>
      </c>
      <c r="E20" s="345">
        <f t="shared" si="1"/>
        <v>16940.830000000002</v>
      </c>
      <c r="F20" s="346">
        <f>'数据-基础表'!K14</f>
        <v>16940.830000000002</v>
      </c>
      <c r="G20" s="347"/>
      <c r="H20" s="1132">
        <f t="shared" ref="H20:H26" si="7">ROUND($D$3*I20/$E$3,2)</f>
        <v>0</v>
      </c>
      <c r="I20" s="340">
        <f t="shared" si="2"/>
        <v>0</v>
      </c>
      <c r="J20" s="2222"/>
      <c r="K20" s="2801">
        <f t="shared" si="3"/>
        <v>0</v>
      </c>
      <c r="L20" s="2484">
        <f t="shared" si="4"/>
        <v>0</v>
      </c>
      <c r="M20" s="2819">
        <f t="shared" ref="M20:M26" si="8">K20+L20</f>
        <v>0</v>
      </c>
      <c r="N20" s="2817"/>
      <c r="O20" s="2799"/>
      <c r="P20" s="2802">
        <f t="shared" ref="P20:P26" si="9">N20+O20</f>
        <v>0</v>
      </c>
      <c r="R20" s="2484">
        <f t="shared" si="5"/>
        <v>3426.96</v>
      </c>
      <c r="S20" s="2485">
        <f t="shared" si="5"/>
        <v>16940.830000000002</v>
      </c>
    </row>
    <row r="21" spans="1:19" ht="14.25">
      <c r="A21" s="33"/>
      <c r="B21" s="26" t="s">
        <v>636</v>
      </c>
      <c r="C21" s="1420" t="s">
        <v>3121</v>
      </c>
      <c r="D21" s="337">
        <f t="shared" si="6"/>
        <v>17579.09</v>
      </c>
      <c r="E21" s="345">
        <f t="shared" si="1"/>
        <v>86900.44</v>
      </c>
      <c r="F21" s="346"/>
      <c r="G21" s="347">
        <f>'数据-基础表'!M15</f>
        <v>86900.44</v>
      </c>
      <c r="H21" s="1132">
        <f t="shared" si="7"/>
        <v>0</v>
      </c>
      <c r="I21" s="340">
        <f t="shared" si="2"/>
        <v>0</v>
      </c>
      <c r="J21" s="2222"/>
      <c r="K21" s="2801">
        <f t="shared" si="3"/>
        <v>0</v>
      </c>
      <c r="L21" s="2484">
        <f t="shared" si="4"/>
        <v>0</v>
      </c>
      <c r="M21" s="2819">
        <f t="shared" si="8"/>
        <v>0</v>
      </c>
      <c r="N21" s="2817"/>
      <c r="O21" s="2799"/>
      <c r="P21" s="2802">
        <f t="shared" si="9"/>
        <v>0</v>
      </c>
      <c r="R21" s="2484">
        <f t="shared" si="5"/>
        <v>17579.09</v>
      </c>
      <c r="S21" s="2485">
        <f t="shared" si="5"/>
        <v>86900.44</v>
      </c>
    </row>
    <row r="22" spans="1:19" ht="14.25">
      <c r="A22" s="33"/>
      <c r="B22" s="26" t="s">
        <v>636</v>
      </c>
      <c r="C22" s="3538" t="s">
        <v>3850</v>
      </c>
      <c r="D22" s="337">
        <f t="shared" si="6"/>
        <v>8080.7</v>
      </c>
      <c r="E22" s="345">
        <f t="shared" si="1"/>
        <v>39946.129999999997</v>
      </c>
      <c r="F22" s="350">
        <f>'数据-基础表'!O16</f>
        <v>39946.129999999997</v>
      </c>
      <c r="G22" s="351"/>
      <c r="H22" s="1132">
        <f t="shared" si="7"/>
        <v>0</v>
      </c>
      <c r="I22" s="340">
        <f t="shared" si="2"/>
        <v>0</v>
      </c>
      <c r="J22" s="2222"/>
      <c r="K22" s="2801">
        <f t="shared" si="3"/>
        <v>0</v>
      </c>
      <c r="L22" s="2484">
        <f t="shared" si="4"/>
        <v>0</v>
      </c>
      <c r="M22" s="2819">
        <f t="shared" si="8"/>
        <v>0</v>
      </c>
      <c r="N22" s="2817"/>
      <c r="O22" s="2799"/>
      <c r="P22" s="2802">
        <f t="shared" si="9"/>
        <v>0</v>
      </c>
      <c r="R22" s="2484">
        <f t="shared" si="5"/>
        <v>8080.7</v>
      </c>
      <c r="S22" s="2485">
        <f t="shared" si="5"/>
        <v>39946.129999999997</v>
      </c>
    </row>
    <row r="23" spans="1:19" ht="14.25">
      <c r="A23" s="33"/>
      <c r="B23" s="26" t="s">
        <v>636</v>
      </c>
      <c r="C23" s="349"/>
      <c r="D23" s="337">
        <f>ROUND($D$3*E23/$E$3,2)</f>
        <v>0</v>
      </c>
      <c r="E23" s="345">
        <f>SUM(F23:G23)</f>
        <v>0</v>
      </c>
      <c r="F23" s="350"/>
      <c r="G23" s="351"/>
      <c r="H23" s="1132">
        <f>ROUND($D$3*I23/$E$3,2)</f>
        <v>0</v>
      </c>
      <c r="I23" s="340">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636</v>
      </c>
      <c r="C24" s="349"/>
      <c r="D24" s="337">
        <f>ROUND($D$3*E24/$E$3,2)</f>
        <v>0</v>
      </c>
      <c r="E24" s="345">
        <f>SUM(F24:G24)</f>
        <v>0</v>
      </c>
      <c r="F24" s="350"/>
      <c r="G24" s="351"/>
      <c r="H24" s="1132">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636</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636</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29.25" thickBot="1">
      <c r="A27" s="33"/>
      <c r="B27" s="23"/>
      <c r="C27" s="2775" t="s">
        <v>637</v>
      </c>
      <c r="D27" s="2804">
        <f>SUM(D19:D26)</f>
        <v>33478.68</v>
      </c>
      <c r="E27" s="2805">
        <f>IF(SUM(E19:E26)='数据-基础表'!BA5,SUM(E19:E26),IF(F27="地上面积有误","面积有误","地下面积有误"))</f>
        <v>165498.45000000001</v>
      </c>
      <c r="F27" s="2804">
        <f>IF(SUM(F19:F26)=E8,SUM(F19:F26),"地上面积有误")</f>
        <v>78598.010000000009</v>
      </c>
      <c r="G27" s="2806">
        <f>SUM(G19:G26)</f>
        <v>86900.44</v>
      </c>
      <c r="H27" s="2807">
        <f>SUM(H19:H26)</f>
        <v>0</v>
      </c>
      <c r="I27" s="2808">
        <f>SUM(I19:I26)</f>
        <v>0</v>
      </c>
      <c r="J27" s="2222"/>
      <c r="K27" s="2814">
        <f>SUM(K19:K26)</f>
        <v>0</v>
      </c>
      <c r="L27" s="2815">
        <f>SUM(L19:L26)</f>
        <v>0</v>
      </c>
      <c r="M27" s="2820">
        <f>SUM(M19:M26)</f>
        <v>0</v>
      </c>
      <c r="N27" s="2814">
        <f t="shared" ref="N27:O27" si="10">SUM(N19:N26)</f>
        <v>0</v>
      </c>
      <c r="O27" s="2815">
        <f t="shared" si="10"/>
        <v>0</v>
      </c>
      <c r="P27" s="2816">
        <f>SUM(P19:P26)</f>
        <v>0</v>
      </c>
      <c r="R27" s="2486" t="str">
        <f>IF(SUM(R19:R26)=$D$3,SUM(R19:R26),SUM(R19:R26)&amp;"误差"&amp;ROUND(SUM(R19:R26)-$D$3,2))</f>
        <v>33478.68误差-0.01</v>
      </c>
      <c r="S27" s="2484">
        <f>IF(SUM(S19:S26)=$E$3,SUM(S19:S26),SUM(S19:S26)&amp;"误差"&amp;ROUND(SUM(S19:S26)-E3,2))</f>
        <v>165498.45000000001</v>
      </c>
    </row>
    <row r="28" spans="1:19" ht="14.25">
      <c r="A28" s="33"/>
      <c r="B28" s="26" t="s">
        <v>638</v>
      </c>
      <c r="C28" s="5" t="s">
        <v>639</v>
      </c>
      <c r="D28" s="337">
        <f>ROUND($D$3*E28/$E$3,2)</f>
        <v>0</v>
      </c>
      <c r="E28" s="345">
        <f>SUM(F28:G28)</f>
        <v>0</v>
      </c>
      <c r="F28" s="354">
        <f>'数据-基础表'!BQ5+'数据-基础表'!BS5</f>
        <v>0</v>
      </c>
      <c r="G28" s="355">
        <f>'数据-基础表'!BR5+'数据-基础表'!BT5</f>
        <v>0</v>
      </c>
      <c r="H28" s="2222"/>
      <c r="I28" s="2222"/>
      <c r="J28" s="2222"/>
      <c r="K28" s="2222"/>
      <c r="L28" s="2222"/>
      <c r="M28" s="2222"/>
      <c r="N28" s="2803"/>
      <c r="O28" s="2803"/>
      <c r="P28" s="2222"/>
    </row>
    <row r="29" spans="1:19" ht="14.25">
      <c r="A29" s="33"/>
      <c r="B29" s="26" t="s">
        <v>638</v>
      </c>
      <c r="C29" s="13" t="s">
        <v>2390</v>
      </c>
      <c r="D29" s="337">
        <f>ROUND($D$3*E29/$E$3,2)</f>
        <v>0</v>
      </c>
      <c r="E29" s="345">
        <f>SUM(F29:G29)</f>
        <v>0</v>
      </c>
      <c r="F29" s="356">
        <f>'数据-基础表'!BM5+'数据-基础表'!BO5</f>
        <v>0</v>
      </c>
      <c r="G29" s="357">
        <f>'数据-基础表'!BN5+'数据-基础表'!BP5</f>
        <v>0</v>
      </c>
      <c r="H29" s="2222"/>
      <c r="I29" s="2222"/>
      <c r="J29" s="2222"/>
      <c r="K29" s="2222"/>
      <c r="L29" s="2222"/>
      <c r="M29" s="2222"/>
      <c r="N29" s="2803"/>
      <c r="O29" s="2803"/>
      <c r="P29" s="2222"/>
    </row>
    <row r="30" spans="1:19" ht="15">
      <c r="A30" s="33"/>
      <c r="B30" s="26"/>
      <c r="C30" s="2809" t="s">
        <v>637</v>
      </c>
      <c r="D30" s="2804">
        <f>SUM(D28:D29)</f>
        <v>0</v>
      </c>
      <c r="E30" s="2804">
        <f>SUM(E28:E29)</f>
        <v>0</v>
      </c>
      <c r="F30" s="2804">
        <f>SUM(F28:F29)</f>
        <v>0</v>
      </c>
      <c r="G30" s="2806">
        <f>SUM(G28:G29)</f>
        <v>0</v>
      </c>
      <c r="H30" s="2222"/>
      <c r="I30" s="2222"/>
      <c r="J30" s="2222"/>
      <c r="K30" s="2222"/>
      <c r="L30" s="2222"/>
      <c r="M30" s="2222"/>
      <c r="N30" s="2803"/>
      <c r="O30" s="2803"/>
      <c r="P30" s="2222"/>
    </row>
    <row r="31" spans="1:19" ht="15.75" thickBot="1">
      <c r="A31" s="1187"/>
      <c r="B31" s="2523"/>
      <c r="C31" s="2524" t="s">
        <v>640</v>
      </c>
      <c r="D31" s="1188">
        <f>D27+D30</f>
        <v>33478.68</v>
      </c>
      <c r="E31" s="1188">
        <f>E27+E30</f>
        <v>165498.45000000001</v>
      </c>
      <c r="F31" s="1189">
        <f>F27+F30</f>
        <v>78598.010000000009</v>
      </c>
      <c r="G31" s="1190">
        <f>G27+G30</f>
        <v>86900.44</v>
      </c>
      <c r="H31" s="2222"/>
      <c r="I31" s="2222"/>
      <c r="J31" s="2222"/>
      <c r="K31" s="2222"/>
      <c r="L31" s="2222"/>
      <c r="M31" s="2222"/>
      <c r="N31" s="2222"/>
      <c r="O31" s="2222"/>
      <c r="P31" s="2222"/>
    </row>
    <row r="32" spans="1:19" ht="14.25">
      <c r="A32" s="1181"/>
      <c r="B32" s="1181" t="s">
        <v>2702</v>
      </c>
      <c r="C32" s="1181"/>
      <c r="D32" s="1181"/>
      <c r="E32" s="2522">
        <f>SUMIF(C19:C26,"*住宅*",E19:E26)</f>
        <v>0</v>
      </c>
      <c r="F32" s="1181"/>
      <c r="G32" s="1181"/>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5"/>
    <col min="41" max="41" width="11.625" style="2235" customWidth="1"/>
    <col min="42" max="42" width="9.75" style="2235" customWidth="1"/>
    <col min="43" max="67" width="13.75" style="2235"/>
    <col min="68" max="16384" width="13.75" style="1193"/>
  </cols>
  <sheetData>
    <row r="1" spans="1:67" ht="19.5" thickBot="1">
      <c r="A1" s="44" t="s">
        <v>671</v>
      </c>
      <c r="B1" s="1192"/>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5" customFormat="1" ht="15" thickBot="1">
      <c r="A2" s="45" t="s">
        <v>672</v>
      </c>
      <c r="B2" s="2513">
        <f>项目基本情况!D3</f>
        <v>42970</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5" customFormat="1" ht="14.25" thickBot="1">
      <c r="A3" s="1196"/>
      <c r="B3" s="1194"/>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2" customFormat="1" ht="54">
      <c r="A5" s="47" t="s">
        <v>2392</v>
      </c>
      <c r="B5" s="48" t="s">
        <v>677</v>
      </c>
      <c r="C5" s="49" t="s">
        <v>678</v>
      </c>
      <c r="D5" s="50" t="s">
        <v>679</v>
      </c>
      <c r="E5" s="51" t="s">
        <v>680</v>
      </c>
      <c r="F5" s="52" t="s">
        <v>681</v>
      </c>
      <c r="G5" s="51" t="s">
        <v>682</v>
      </c>
      <c r="H5" s="51" t="s">
        <v>683</v>
      </c>
      <c r="I5" s="51" t="s">
        <v>684</v>
      </c>
      <c r="J5" s="53" t="s">
        <v>685</v>
      </c>
      <c r="K5" s="54" t="s">
        <v>686</v>
      </c>
      <c r="L5" s="55" t="s">
        <v>687</v>
      </c>
      <c r="M5" s="56" t="s">
        <v>688</v>
      </c>
      <c r="N5" s="1201" t="s">
        <v>78</v>
      </c>
      <c r="O5" s="55" t="s">
        <v>689</v>
      </c>
      <c r="P5" s="57" t="s">
        <v>690</v>
      </c>
      <c r="Q5" s="58" t="s">
        <v>691</v>
      </c>
      <c r="R5" s="273" t="s">
        <v>692</v>
      </c>
      <c r="S5" s="59" t="s">
        <v>2682</v>
      </c>
      <c r="T5" s="274" t="s">
        <v>693</v>
      </c>
      <c r="U5" s="2514" t="s">
        <v>2398</v>
      </c>
      <c r="V5" s="51" t="s">
        <v>694</v>
      </c>
      <c r="W5" s="2515" t="s">
        <v>2399</v>
      </c>
      <c r="X5" s="62"/>
      <c r="Y5" s="60" t="s">
        <v>695</v>
      </c>
      <c r="Z5" s="61" t="s">
        <v>696</v>
      </c>
      <c r="AA5" s="51" t="s">
        <v>694</v>
      </c>
      <c r="AB5" s="2515" t="s">
        <v>2399</v>
      </c>
      <c r="AC5" s="62"/>
      <c r="AD5" s="62" t="s">
        <v>695</v>
      </c>
      <c r="AE5" s="14" t="s">
        <v>537</v>
      </c>
      <c r="AF5" s="51" t="s">
        <v>697</v>
      </c>
      <c r="AG5" s="60" t="s">
        <v>698</v>
      </c>
      <c r="AH5" s="14" t="s">
        <v>2403</v>
      </c>
      <c r="AI5" s="61" t="s">
        <v>2320</v>
      </c>
      <c r="AJ5" s="61" t="s">
        <v>699</v>
      </c>
      <c r="AK5" s="2515" t="s">
        <v>2400</v>
      </c>
      <c r="AL5" s="2515" t="s">
        <v>2401</v>
      </c>
      <c r="AM5" s="360" t="s">
        <v>2402</v>
      </c>
      <c r="AN5" s="2572" t="s">
        <v>2442</v>
      </c>
      <c r="AO5" s="2009" t="s">
        <v>2673</v>
      </c>
      <c r="AP5" s="2888" t="s">
        <v>2683</v>
      </c>
      <c r="AQ5" s="2889" t="s">
        <v>2793</v>
      </c>
      <c r="AR5" s="2889" t="s">
        <v>2794</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5" customFormat="1" ht="14.25">
      <c r="A6" s="2512" t="str">
        <f>'数据-汇总表'!C19</f>
        <v>商业</v>
      </c>
      <c r="B6" s="2490" t="str">
        <f>IF(A6=0,"","经营性")</f>
        <v>经营性</v>
      </c>
      <c r="C6" s="39" t="s">
        <v>3037</v>
      </c>
      <c r="D6" s="2053">
        <f>SUMIF(项目基本情况!D$12:I$12,C6,项目基本情况!D$14:I$14)</f>
        <v>0</v>
      </c>
      <c r="E6" s="2047">
        <f>IF(B6="","",SUMIF(项目基本情况!D$12:I$12,C6,项目基本情况!D$13:I$13))</f>
        <v>53052</v>
      </c>
      <c r="F6" s="362">
        <f>SUMIF(项目基本情况!D$12:I$12,C6,项目基本情况!D$15:I$15)</f>
        <v>27.62</v>
      </c>
      <c r="G6" s="363">
        <f>IF(ISERROR(ROUND(POWER(1+H6,D6-F6)*(POWER(1+H6,F6)-1)/(POWER(1+H6,D6)-1),3)),0,ROUND(POWER(1+H6,D6-F6)*(POWER(1+H6,F6)-1)/(POWER(1+H6,D6)-1),3))</f>
        <v>0</v>
      </c>
      <c r="H6" s="1475">
        <v>4.4999999999999998E-2</v>
      </c>
      <c r="I6" s="1475">
        <v>5.5E-2</v>
      </c>
      <c r="J6" s="364">
        <v>0.06</v>
      </c>
      <c r="K6" s="2493">
        <f>SUMIF('数据-汇总表'!C$19:C$33,A6,'数据-汇总表'!E$19:E$33)</f>
        <v>21711.050000000003</v>
      </c>
      <c r="L6" s="1476">
        <v>1800</v>
      </c>
      <c r="M6" s="365">
        <f t="shared" ref="M6:M14" si="0">ROUND(K6*L6/10000,0)</f>
        <v>3908</v>
      </c>
      <c r="N6" s="1474">
        <f>ROUND((1-2/60)*100%,2)</f>
        <v>0.97</v>
      </c>
      <c r="O6" s="365" t="str">
        <f>IF($N$5="成新度","——",ROUND(M6*N6,0))</f>
        <v>——</v>
      </c>
      <c r="P6" s="366" t="str">
        <f>IF($N$5="成新度","——",M6-O6)</f>
        <v>——</v>
      </c>
      <c r="Q6" s="1477">
        <v>0.25</v>
      </c>
      <c r="R6" s="367">
        <f ca="1">SUMIF('数据-汇总表'!C$19:C$33,A6,'数据-汇总表'!R$19:R$27)</f>
        <v>4391.93</v>
      </c>
      <c r="S6" s="343">
        <f>IF('数据-汇总表'!$I$17="按面积比例",SUMIF('数据-汇总表'!C$19:C$33,A6,'数据-汇总表'!K$19:K$33),SUMIF('数据-汇总表'!C$19:C$33,A6,'数据-汇总表'!N$19:N$33))</f>
        <v>0</v>
      </c>
      <c r="T6" s="2887">
        <f>ROUND($L$14*S6/10000,0)</f>
        <v>0</v>
      </c>
      <c r="U6" s="368">
        <v>4.5</v>
      </c>
      <c r="V6" s="369">
        <v>2.5000000000000001E-2</v>
      </c>
      <c r="W6" s="369">
        <v>0.15</v>
      </c>
      <c r="X6" s="2503"/>
      <c r="Y6" s="370">
        <f>N6</f>
        <v>0.97</v>
      </c>
      <c r="Z6" s="371"/>
      <c r="AA6" s="364"/>
      <c r="AB6" s="364"/>
      <c r="AC6" s="2503"/>
      <c r="AD6" s="372"/>
      <c r="AE6" s="2504">
        <f ca="1">IF(AN6="",0,SUMIF(INDIRECT("'"&amp;AN6&amp;"'"&amp;"!E:E"),$AE$5,INDIRECT("'"&amp;AN6&amp;"'"&amp;"!F:F")))</f>
        <v>27.62</v>
      </c>
      <c r="AF6" s="352"/>
      <c r="AG6" s="478">
        <f>IF(AF6="",0,AE6-AF6)</f>
        <v>0</v>
      </c>
      <c r="AH6" s="373"/>
      <c r="AI6" s="375">
        <v>365</v>
      </c>
      <c r="AJ6" s="376"/>
      <c r="AK6" s="377">
        <v>1.4999999999999999E-2</v>
      </c>
      <c r="AL6" s="378">
        <v>2E-3</v>
      </c>
      <c r="AM6" s="379">
        <v>0.01</v>
      </c>
      <c r="AN6" s="2573" t="s">
        <v>3902</v>
      </c>
      <c r="AO6" s="344">
        <f ca="1">SUMIF(INDIRECT("'"&amp;AN6&amp;"'"&amp;"!A:A"),"总价",INDIRECT("'"&amp;AN6&amp;"'"&amp;"!B:B"))</f>
        <v>72785</v>
      </c>
      <c r="AP6" s="2890">
        <f>IF(C6="住宅",K6*L6,0)</f>
        <v>0</v>
      </c>
      <c r="AQ6" s="344">
        <f>ROUND($L$14*$N$14*S6/10000,0)</f>
        <v>0</v>
      </c>
      <c r="AR6" s="344">
        <f>ROUND($L$14*(1-$N$14)*S6/10000,0)</f>
        <v>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5" customFormat="1" ht="14.25">
      <c r="A7" s="2512" t="str">
        <f>'数据-汇总表'!C20</f>
        <v>办公</v>
      </c>
      <c r="B7" s="2490" t="str">
        <f t="shared" ref="B7:B13" si="1">IF(A7=0,"","经营性")</f>
        <v>经营性</v>
      </c>
      <c r="C7" s="39" t="s">
        <v>139</v>
      </c>
      <c r="D7" s="2053">
        <f>SUMIF(项目基本情况!D$12:I$12,C7,项目基本情况!D$14:I$14)</f>
        <v>0</v>
      </c>
      <c r="E7" s="2047">
        <f>IF(B7="","",SUMIF(项目基本情况!D$12:I$12,C7,项目基本情况!D$13:I$13))</f>
        <v>56704</v>
      </c>
      <c r="F7" s="362">
        <f>SUMIF(项目基本情况!D$12:I$12,C7,项目基本情况!D$15:I$15)</f>
        <v>37.619999999999997</v>
      </c>
      <c r="G7" s="363">
        <f t="shared" ref="G7:G11" si="2">IF(ISERROR(ROUND(POWER(1+H7,D7-F7)*(POWER(1+H7,F7)-1)/(POWER(1+H7,D7)-1),3)),0,ROUND(POWER(1+H7,D7-F7)*(POWER(1+H7,F7)-1)/(POWER(1+H7,D7)-1),3))</f>
        <v>0</v>
      </c>
      <c r="H7" s="1475">
        <v>4.4999999999999998E-2</v>
      </c>
      <c r="I7" s="1475">
        <v>5.5E-2</v>
      </c>
      <c r="J7" s="364">
        <v>5.5E-2</v>
      </c>
      <c r="K7" s="2493">
        <f>SUMIF('数据-汇总表'!C$19:C$33,A7,'数据-汇总表'!E$19:E$33)</f>
        <v>16940.830000000002</v>
      </c>
      <c r="L7" s="1476">
        <v>1800</v>
      </c>
      <c r="M7" s="365">
        <f t="shared" si="0"/>
        <v>3049</v>
      </c>
      <c r="N7" s="1474">
        <f t="shared" ref="N7:N9" si="3">ROUND((1-2/60)*100%,2)</f>
        <v>0.97</v>
      </c>
      <c r="O7" s="365" t="str">
        <f t="shared" ref="O7:O14" si="4">IF($N$5="成新度","——",ROUND(M7*N7,0))</f>
        <v>——</v>
      </c>
      <c r="P7" s="366" t="str">
        <f t="shared" ref="P7:P14" si="5">IF($N$5="成新度","——",M7-O7)</f>
        <v>——</v>
      </c>
      <c r="Q7" s="1477">
        <v>0.2</v>
      </c>
      <c r="R7" s="367">
        <f ca="1">SUMIF('数据-汇总表'!C$19:C$33,A7,'数据-汇总表'!R$19:R$27)</f>
        <v>3426.96</v>
      </c>
      <c r="S7" s="343">
        <f>IF('数据-汇总表'!$I$17="按面积比例",SUMIF('数据-汇总表'!C$19:C$33,A7,'数据-汇总表'!K$19:K$33),SUMIF('数据-汇总表'!C$19:C$33,A7,'数据-汇总表'!N$19:N$33))</f>
        <v>0</v>
      </c>
      <c r="T7" s="2887">
        <f t="shared" ref="T7:T13" si="6">ROUND($L$14*S7/10000,0)</f>
        <v>0</v>
      </c>
      <c r="U7" s="368">
        <v>2</v>
      </c>
      <c r="V7" s="369">
        <v>2.5000000000000001E-2</v>
      </c>
      <c r="W7" s="369">
        <v>0.15</v>
      </c>
      <c r="X7" s="2503"/>
      <c r="Y7" s="370">
        <f>N7</f>
        <v>0.97</v>
      </c>
      <c r="Z7" s="371"/>
      <c r="AA7" s="364"/>
      <c r="AB7" s="364"/>
      <c r="AC7" s="2503"/>
      <c r="AD7" s="372"/>
      <c r="AE7" s="2504">
        <f t="shared" ref="AE7:AE13" ca="1" si="7">IF(AN7="",0,SUMIF(INDIRECT("'"&amp;AN7&amp;"'"&amp;"!E:E"),$AE$5,INDIRECT("'"&amp;AN7&amp;"'"&amp;"!F:F")))</f>
        <v>37.619999999999997</v>
      </c>
      <c r="AF7" s="352"/>
      <c r="AG7" s="478">
        <f t="shared" ref="AG7:AG13" si="8">IF(AF7="",0,AE7-AF7)</f>
        <v>0</v>
      </c>
      <c r="AH7" s="373"/>
      <c r="AI7" s="375">
        <v>365</v>
      </c>
      <c r="AJ7" s="376"/>
      <c r="AK7" s="377">
        <v>1.4999999999999999E-2</v>
      </c>
      <c r="AL7" s="378">
        <v>2E-3</v>
      </c>
      <c r="AM7" s="379">
        <v>0.01</v>
      </c>
      <c r="AN7" s="2573" t="s">
        <v>3982</v>
      </c>
      <c r="AO7" s="344">
        <f t="shared" ref="AO7:AO13" ca="1" si="9">SUMIF(INDIRECT("'"&amp;AN7&amp;"'"&amp;"!A:A"),"总价",INDIRECT("'"&amp;AN7&amp;"'"&amp;"!B:B"))</f>
        <v>20968</v>
      </c>
      <c r="AP7" s="2890">
        <f t="shared" ref="AP7:AP13" si="10">IF(C7="住宅",K7*L7,0)</f>
        <v>0</v>
      </c>
      <c r="AQ7" s="344">
        <f t="shared" ref="AQ7:AQ13" si="11">ROUND($L$14*$N$14*S7/10000,0)</f>
        <v>0</v>
      </c>
      <c r="AR7" s="344">
        <f t="shared" ref="AR7:AR13" si="12">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5" customFormat="1" ht="14.25">
      <c r="A8" s="2512" t="str">
        <f>'数据-汇总表'!C21</f>
        <v>地下车位</v>
      </c>
      <c r="B8" s="2490" t="str">
        <f t="shared" si="1"/>
        <v>经营性</v>
      </c>
      <c r="C8" s="39" t="s">
        <v>3113</v>
      </c>
      <c r="D8" s="2053">
        <f>SUMIF(项目基本情况!D$12:I$12,C8,项目基本情况!D$14:I$14)</f>
        <v>0</v>
      </c>
      <c r="E8" s="2047">
        <f>IF(B8="","",SUMIF(项目基本情况!D$12:I$12,C8,项目基本情况!D$13:I$13))</f>
        <v>56704</v>
      </c>
      <c r="F8" s="362">
        <f>SUMIF(项目基本情况!D$12:I$12,C8,项目基本情况!D$15:I$15)</f>
        <v>37.619999999999997</v>
      </c>
      <c r="G8" s="363">
        <f t="shared" si="2"/>
        <v>0</v>
      </c>
      <c r="H8" s="1475">
        <v>4.4999999999999998E-2</v>
      </c>
      <c r="I8" s="1475">
        <v>5.5E-2</v>
      </c>
      <c r="J8" s="364">
        <v>0.05</v>
      </c>
      <c r="K8" s="2493">
        <f>SUMIF('数据-汇总表'!C$19:C$33,A8,'数据-汇总表'!E$19:E$33)</f>
        <v>86900.44</v>
      </c>
      <c r="L8" s="1476">
        <v>1800</v>
      </c>
      <c r="M8" s="365">
        <f>ROUND(K8*L8/10000,0)</f>
        <v>15642</v>
      </c>
      <c r="N8" s="1474">
        <f t="shared" si="3"/>
        <v>0.97</v>
      </c>
      <c r="O8" s="365" t="str">
        <f t="shared" si="4"/>
        <v>——</v>
      </c>
      <c r="P8" s="366" t="str">
        <f t="shared" si="5"/>
        <v>——</v>
      </c>
      <c r="Q8" s="1477">
        <v>0.1</v>
      </c>
      <c r="R8" s="367">
        <f ca="1">SUMIF('数据-汇总表'!C$19:C$33,A8,'数据-汇总表'!R$19:R$27)</f>
        <v>17579.09</v>
      </c>
      <c r="S8" s="343">
        <f>IF('数据-汇总表'!$I$17="按面积比例",SUMIF('数据-汇总表'!C$19:C$33,A8,'数据-汇总表'!K$19:K$33),SUMIF('数据-汇总表'!C$19:C$33,A8,'数据-汇总表'!N$19:N$33))</f>
        <v>0</v>
      </c>
      <c r="T8" s="2887">
        <f t="shared" si="6"/>
        <v>0</v>
      </c>
      <c r="U8" s="1478">
        <v>420</v>
      </c>
      <c r="V8" s="1479">
        <v>2.5000000000000001E-2</v>
      </c>
      <c r="W8" s="1479">
        <v>0.1</v>
      </c>
      <c r="X8" s="2503"/>
      <c r="Y8" s="1480">
        <f>N8</f>
        <v>0.97</v>
      </c>
      <c r="Z8" s="371"/>
      <c r="AA8" s="364"/>
      <c r="AB8" s="364"/>
      <c r="AC8" s="2503"/>
      <c r="AD8" s="372"/>
      <c r="AE8" s="2504">
        <f t="shared" ca="1" si="7"/>
        <v>37.619999999999997</v>
      </c>
      <c r="AF8" s="352"/>
      <c r="AG8" s="478">
        <f t="shared" si="8"/>
        <v>0</v>
      </c>
      <c r="AH8" s="1481">
        <v>2550</v>
      </c>
      <c r="AI8" s="375">
        <v>12</v>
      </c>
      <c r="AJ8" s="376"/>
      <c r="AK8" s="377">
        <v>1.4999999999999999E-2</v>
      </c>
      <c r="AL8" s="378">
        <v>2E-3</v>
      </c>
      <c r="AM8" s="379">
        <v>0.01</v>
      </c>
      <c r="AN8" s="2573" t="s">
        <v>3998</v>
      </c>
      <c r="AO8" s="344">
        <f t="shared" ca="1" si="9"/>
        <v>20123</v>
      </c>
      <c r="AP8" s="2890">
        <f t="shared" si="10"/>
        <v>0</v>
      </c>
      <c r="AQ8" s="344">
        <f t="shared" si="11"/>
        <v>0</v>
      </c>
      <c r="AR8" s="344">
        <f t="shared" si="12"/>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5" customFormat="1" ht="14.25">
      <c r="A9" s="2512" t="str">
        <f>'数据-汇总表'!C22</f>
        <v>商业（有租约）</v>
      </c>
      <c r="B9" s="2490" t="str">
        <f t="shared" si="1"/>
        <v>经营性</v>
      </c>
      <c r="C9" s="39" t="s">
        <v>3037</v>
      </c>
      <c r="D9" s="2053">
        <f>SUMIF(项目基本情况!D$12:I$12,C9,项目基本情况!D$14:I$14)</f>
        <v>0</v>
      </c>
      <c r="E9" s="2047">
        <f>IF(B9="","",SUMIF(项目基本情况!D$12:I$12,C9,项目基本情况!D$13:I$13))</f>
        <v>53052</v>
      </c>
      <c r="F9" s="362">
        <f>SUMIF(项目基本情况!D$12:I$12,C9,项目基本情况!D$15:I$15)</f>
        <v>27.62</v>
      </c>
      <c r="G9" s="363">
        <f t="shared" si="2"/>
        <v>0</v>
      </c>
      <c r="H9" s="1475">
        <v>4.4999999999999998E-2</v>
      </c>
      <c r="I9" s="1475">
        <v>5.5E-2</v>
      </c>
      <c r="J9" s="364">
        <v>0.06</v>
      </c>
      <c r="K9" s="2493">
        <f>SUMIF('数据-汇总表'!C$19:C$33,A9,'数据-汇总表'!E$19:E$33)</f>
        <v>39946.129999999997</v>
      </c>
      <c r="L9" s="1476">
        <v>1800</v>
      </c>
      <c r="M9" s="365">
        <f t="shared" si="0"/>
        <v>7190</v>
      </c>
      <c r="N9" s="1474">
        <f t="shared" si="3"/>
        <v>0.97</v>
      </c>
      <c r="O9" s="365" t="str">
        <f t="shared" si="4"/>
        <v>——</v>
      </c>
      <c r="P9" s="366" t="str">
        <f t="shared" si="5"/>
        <v>——</v>
      </c>
      <c r="Q9" s="380">
        <v>0.25</v>
      </c>
      <c r="R9" s="367">
        <f ca="1">SUMIF('数据-汇总表'!C$19:C$33,A9,'数据-汇总表'!R$19:R$27)</f>
        <v>8080.7</v>
      </c>
      <c r="S9" s="343">
        <f>IF('数据-汇总表'!$I$17="按面积比例",SUMIF('数据-汇总表'!C$19:C$33,A9,'数据-汇总表'!K$19:K$33),SUMIF('数据-汇总表'!C$19:C$33,A9,'数据-汇总表'!N$19:N$33))</f>
        <v>0</v>
      </c>
      <c r="T9" s="2887">
        <f t="shared" si="6"/>
        <v>0</v>
      </c>
      <c r="U9" s="368">
        <v>2</v>
      </c>
      <c r="V9" s="369"/>
      <c r="W9" s="369"/>
      <c r="X9" s="2503"/>
      <c r="Y9" s="370">
        <f>N9</f>
        <v>0.97</v>
      </c>
      <c r="Z9" s="371">
        <v>4.5</v>
      </c>
      <c r="AA9" s="364">
        <v>2.5000000000000001E-2</v>
      </c>
      <c r="AB9" s="364">
        <v>0.15</v>
      </c>
      <c r="AC9" s="2503"/>
      <c r="AD9" s="372">
        <f>Y9</f>
        <v>0.97</v>
      </c>
      <c r="AE9" s="2504">
        <f t="shared" ca="1" si="7"/>
        <v>27.62</v>
      </c>
      <c r="AF9" s="352">
        <v>6.35</v>
      </c>
      <c r="AG9" s="478">
        <f t="shared" ca="1" si="8"/>
        <v>21.270000000000003</v>
      </c>
      <c r="AH9" s="373"/>
      <c r="AI9" s="375">
        <v>365</v>
      </c>
      <c r="AJ9" s="376"/>
      <c r="AK9" s="377">
        <v>1.4999999999999999E-2</v>
      </c>
      <c r="AL9" s="378">
        <v>2E-3</v>
      </c>
      <c r="AM9" s="379">
        <v>0.01</v>
      </c>
      <c r="AN9" s="2573" t="s">
        <v>3903</v>
      </c>
      <c r="AO9" s="344">
        <f t="shared" ca="1" si="9"/>
        <v>52506</v>
      </c>
      <c r="AP9" s="2890">
        <f t="shared" si="10"/>
        <v>0</v>
      </c>
      <c r="AQ9" s="344">
        <f t="shared" si="11"/>
        <v>0</v>
      </c>
      <c r="AR9" s="344">
        <f t="shared" si="12"/>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5" customFormat="1" ht="14.25">
      <c r="A10" s="2512">
        <f>'数据-汇总表'!C23</f>
        <v>0</v>
      </c>
      <c r="B10" s="2490"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6"/>
      <c r="M10" s="365">
        <f t="shared" si="0"/>
        <v>0</v>
      </c>
      <c r="N10" s="1474"/>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87">
        <f t="shared" si="6"/>
        <v>0</v>
      </c>
      <c r="U10" s="368"/>
      <c r="V10" s="369"/>
      <c r="W10" s="369"/>
      <c r="X10" s="2503"/>
      <c r="Y10" s="370"/>
      <c r="Z10" s="371"/>
      <c r="AA10" s="364"/>
      <c r="AB10" s="364"/>
      <c r="AC10" s="2503"/>
      <c r="AD10" s="372"/>
      <c r="AE10" s="2504">
        <f t="shared" ca="1" si="7"/>
        <v>0</v>
      </c>
      <c r="AF10" s="352"/>
      <c r="AG10" s="478">
        <f t="shared" si="8"/>
        <v>0</v>
      </c>
      <c r="AH10" s="373"/>
      <c r="AI10" s="375"/>
      <c r="AJ10" s="376"/>
      <c r="AK10" s="377"/>
      <c r="AL10" s="378"/>
      <c r="AM10" s="379"/>
      <c r="AN10" s="2573"/>
      <c r="AO10" s="344" t="e">
        <f t="shared" ca="1" si="9"/>
        <v>#REF!</v>
      </c>
      <c r="AP10" s="2890">
        <f t="shared" si="10"/>
        <v>0</v>
      </c>
      <c r="AQ10" s="344">
        <f t="shared" si="11"/>
        <v>0</v>
      </c>
      <c r="AR10" s="344">
        <f t="shared" si="12"/>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5"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87">
        <f t="shared" si="6"/>
        <v>0</v>
      </c>
      <c r="U11" s="373"/>
      <c r="V11" s="364"/>
      <c r="W11" s="364"/>
      <c r="X11" s="2503"/>
      <c r="Y11" s="370"/>
      <c r="Z11" s="383"/>
      <c r="AA11" s="364"/>
      <c r="AB11" s="364"/>
      <c r="AC11" s="2503"/>
      <c r="AD11" s="372"/>
      <c r="AE11" s="2504">
        <f t="shared" ca="1" si="7"/>
        <v>0</v>
      </c>
      <c r="AF11" s="352"/>
      <c r="AG11" s="478">
        <f t="shared" si="8"/>
        <v>0</v>
      </c>
      <c r="AH11" s="373"/>
      <c r="AI11" s="375"/>
      <c r="AJ11" s="376"/>
      <c r="AK11" s="384"/>
      <c r="AL11" s="385"/>
      <c r="AM11" s="386"/>
      <c r="AN11" s="2573"/>
      <c r="AO11" s="344" t="e">
        <f t="shared" ca="1" si="9"/>
        <v>#REF!</v>
      </c>
      <c r="AP11" s="2890">
        <f t="shared" si="10"/>
        <v>0</v>
      </c>
      <c r="AQ11" s="344">
        <f t="shared" si="11"/>
        <v>0</v>
      </c>
      <c r="AR11" s="344">
        <f t="shared" si="12"/>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5"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87">
        <f t="shared" si="6"/>
        <v>0</v>
      </c>
      <c r="U12" s="373"/>
      <c r="V12" s="364"/>
      <c r="W12" s="364"/>
      <c r="X12" s="2503"/>
      <c r="Y12" s="370"/>
      <c r="Z12" s="383"/>
      <c r="AA12" s="364"/>
      <c r="AB12" s="364"/>
      <c r="AC12" s="2503"/>
      <c r="AD12" s="372"/>
      <c r="AE12" s="2504">
        <f t="shared" ca="1" si="7"/>
        <v>0</v>
      </c>
      <c r="AF12" s="352"/>
      <c r="AG12" s="478">
        <f t="shared" si="8"/>
        <v>0</v>
      </c>
      <c r="AH12" s="373"/>
      <c r="AI12" s="375"/>
      <c r="AJ12" s="376"/>
      <c r="AK12" s="384"/>
      <c r="AL12" s="385"/>
      <c r="AM12" s="386"/>
      <c r="AN12" s="2573"/>
      <c r="AO12" s="344" t="e">
        <f t="shared" ca="1" si="9"/>
        <v>#REF!</v>
      </c>
      <c r="AP12" s="2890">
        <f t="shared" si="10"/>
        <v>0</v>
      </c>
      <c r="AQ12" s="344">
        <f t="shared" si="11"/>
        <v>0</v>
      </c>
      <c r="AR12" s="344">
        <f t="shared" si="12"/>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5"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87">
        <f t="shared" si="6"/>
        <v>0</v>
      </c>
      <c r="U13" s="368"/>
      <c r="V13" s="369"/>
      <c r="W13" s="369"/>
      <c r="X13" s="2503"/>
      <c r="Y13" s="370"/>
      <c r="Z13" s="371"/>
      <c r="AA13" s="364"/>
      <c r="AB13" s="364"/>
      <c r="AC13" s="2503"/>
      <c r="AD13" s="372"/>
      <c r="AE13" s="2504">
        <f t="shared" ca="1" si="7"/>
        <v>0</v>
      </c>
      <c r="AF13" s="352"/>
      <c r="AG13" s="478">
        <f t="shared" si="8"/>
        <v>0</v>
      </c>
      <c r="AH13" s="373"/>
      <c r="AI13" s="375"/>
      <c r="AJ13" s="376"/>
      <c r="AK13" s="377"/>
      <c r="AL13" s="378"/>
      <c r="AM13" s="379"/>
      <c r="AN13" s="2573"/>
      <c r="AO13" s="344" t="e">
        <f t="shared" ca="1" si="9"/>
        <v>#REF!</v>
      </c>
      <c r="AP13" s="2890">
        <f t="shared" si="10"/>
        <v>0</v>
      </c>
      <c r="AQ13" s="344">
        <f t="shared" si="11"/>
        <v>0</v>
      </c>
      <c r="AR13" s="344">
        <f t="shared" si="12"/>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5" customFormat="1" ht="14.25">
      <c r="A14" s="2487" t="s">
        <v>534</v>
      </c>
      <c r="B14" s="2490" t="s">
        <v>533</v>
      </c>
      <c r="C14" s="2491" t="s">
        <v>534</v>
      </c>
      <c r="D14" s="2053"/>
      <c r="E14" s="2047"/>
      <c r="F14" s="362"/>
      <c r="G14" s="363"/>
      <c r="H14" s="2492"/>
      <c r="I14" s="2492"/>
      <c r="J14" s="2492"/>
      <c r="K14" s="2493">
        <f>SUMIF('数据-汇总表'!C$19:C$33,A14,'数据-汇总表'!E$19:E$33)</f>
        <v>0</v>
      </c>
      <c r="L14" s="381"/>
      <c r="M14" s="365">
        <f t="shared" si="0"/>
        <v>0</v>
      </c>
      <c r="N14" s="382"/>
      <c r="O14" s="365" t="str">
        <f t="shared" si="4"/>
        <v>——</v>
      </c>
      <c r="P14" s="366" t="str">
        <f t="shared" si="5"/>
        <v>——</v>
      </c>
      <c r="Q14" s="2496"/>
      <c r="R14" s="367"/>
      <c r="S14" s="343"/>
      <c r="T14" s="2887"/>
      <c r="U14" s="1132"/>
      <c r="V14" s="2498"/>
      <c r="W14" s="2498"/>
      <c r="X14" s="2499"/>
      <c r="Y14" s="2500"/>
      <c r="Z14" s="2501"/>
      <c r="AA14" s="2502"/>
      <c r="AB14" s="2502"/>
      <c r="AC14" s="2503"/>
      <c r="AD14" s="2499"/>
      <c r="AE14" s="2504"/>
      <c r="AF14" s="344"/>
      <c r="AG14" s="478"/>
      <c r="AH14" s="2504"/>
      <c r="AI14" s="2508"/>
      <c r="AJ14" s="1321"/>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5" customFormat="1" ht="27">
      <c r="A15" s="2487" t="s">
        <v>2391</v>
      </c>
      <c r="B15" s="2490" t="s">
        <v>533</v>
      </c>
      <c r="C15" s="2491" t="s">
        <v>2095</v>
      </c>
      <c r="D15" s="2053"/>
      <c r="E15" s="2047"/>
      <c r="F15" s="362"/>
      <c r="G15" s="363"/>
      <c r="H15" s="2492"/>
      <c r="I15" s="2492"/>
      <c r="J15" s="2492"/>
      <c r="K15" s="2493">
        <f>SUMIF('数据-汇总表'!C$19:C$33,A15,'数据-汇总表'!E$19:E$33)</f>
        <v>0</v>
      </c>
      <c r="L15" s="2494"/>
      <c r="M15" s="365"/>
      <c r="N15" s="2495"/>
      <c r="O15" s="365"/>
      <c r="P15" s="366"/>
      <c r="Q15" s="2496"/>
      <c r="R15" s="367"/>
      <c r="S15" s="343"/>
      <c r="T15" s="2887"/>
      <c r="U15" s="1132"/>
      <c r="V15" s="2498"/>
      <c r="W15" s="2498"/>
      <c r="X15" s="2499"/>
      <c r="Y15" s="2500"/>
      <c r="Z15" s="2501"/>
      <c r="AA15" s="2502"/>
      <c r="AB15" s="2502"/>
      <c r="AC15" s="2503"/>
      <c r="AD15" s="2499"/>
      <c r="AE15" s="2504"/>
      <c r="AF15" s="344"/>
      <c r="AG15" s="478"/>
      <c r="AH15" s="2504"/>
      <c r="AI15" s="2508"/>
      <c r="AJ15" s="1321"/>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5" customFormat="1" ht="15.75" thickBot="1">
      <c r="A16" s="64" t="s">
        <v>4</v>
      </c>
      <c r="B16" s="65"/>
      <c r="C16" s="66"/>
      <c r="D16" s="67"/>
      <c r="E16" s="65"/>
      <c r="F16" s="387"/>
      <c r="G16" s="388" t="e">
        <f>ROUND(SUMPRODUCT(G6:G13,K6:K13)/SUMPRODUCT((G6:G13&gt;0)*(K6:K13)),3)</f>
        <v>#DIV/0!</v>
      </c>
      <c r="H16" s="389">
        <f>ROUND(SUMPRODUCT(H6:H13,K6:K13)/SUMPRODUCT((H6:H13&gt;0)*(K6:K13)),3)</f>
        <v>4.4999999999999998E-2</v>
      </c>
      <c r="I16" s="390"/>
      <c r="J16" s="390"/>
      <c r="K16" s="391">
        <f>SUM(K6:K15)</f>
        <v>165498.45000000001</v>
      </c>
      <c r="L16" s="392">
        <f>ROUND(M16*10000/SUM(K6:K14),0)</f>
        <v>1800</v>
      </c>
      <c r="M16" s="392">
        <f>SUM(M6:M14)</f>
        <v>29789</v>
      </c>
      <c r="N16" s="393">
        <f>ROUND(SUMPRODUCT(M6:M14,N6:N14)/M16,3)</f>
        <v>0.97</v>
      </c>
      <c r="O16" s="392">
        <f>SUM(O6:O14)</f>
        <v>0</v>
      </c>
      <c r="P16" s="392">
        <f>SUM(P6:P14)</f>
        <v>0</v>
      </c>
      <c r="Q16" s="394">
        <f>ROUND(SUMPRODUCT(Q6:Q13,K6:K13)/SUMPRODUCT((Q6:Q13&gt;0)*(K6:K13)),2)</f>
        <v>0.17</v>
      </c>
      <c r="R16" s="2497">
        <f ca="1">SUM(R6:R13)</f>
        <v>33478.68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3"/>
      <c r="B17" s="1192"/>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4"/>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2407</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700</v>
      </c>
      <c r="B20" s="403">
        <v>3</v>
      </c>
      <c r="C20" s="2229" t="s">
        <v>2408</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701</v>
      </c>
      <c r="B21" s="403">
        <v>3</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702</v>
      </c>
      <c r="B22" s="404">
        <f>B19+B20</f>
        <v>3</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703</v>
      </c>
      <c r="B23" s="404">
        <f>B19+B21</f>
        <v>3</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704</v>
      </c>
      <c r="B24" s="405">
        <f>B20-B21</f>
        <v>0</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6"/>
      <c r="B25" s="1194"/>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705</v>
      </c>
      <c r="B26" s="72" t="s">
        <v>706</v>
      </c>
      <c r="C26" s="2232" t="s">
        <v>707</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4" customFormat="1" ht="27">
      <c r="A27" s="73" t="s">
        <v>708</v>
      </c>
      <c r="B27" s="406">
        <v>94.92</v>
      </c>
      <c r="C27" s="2525" t="s">
        <v>709</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4" customFormat="1" ht="27">
      <c r="A28" s="74" t="s">
        <v>710</v>
      </c>
      <c r="B28" s="409">
        <v>94.92</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4" customFormat="1" ht="27.75" thickBot="1">
      <c r="A29" s="280" t="s">
        <v>2685</v>
      </c>
      <c r="B29" s="411"/>
      <c r="C29" s="2525" t="s">
        <v>2686</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4" customFormat="1" ht="27">
      <c r="A30" s="279" t="s">
        <v>711</v>
      </c>
      <c r="B30" s="1133">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4" customFormat="1" ht="27">
      <c r="A31" s="74" t="s">
        <v>712</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4" customFormat="1" ht="27.75" thickBot="1">
      <c r="A32" s="76" t="s">
        <v>713</v>
      </c>
      <c r="B32" s="1134">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4" customFormat="1" ht="13.5">
      <c r="A33" s="73" t="s">
        <v>714</v>
      </c>
      <c r="B33" s="1135">
        <v>0.03</v>
      </c>
      <c r="C33" s="3286" t="s">
        <v>2997</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4" customFormat="1" ht="13.5">
      <c r="A34" s="74" t="s">
        <v>715</v>
      </c>
      <c r="B34" s="412">
        <v>0.05</v>
      </c>
      <c r="C34" s="3286" t="s">
        <v>2998</v>
      </c>
      <c r="D34" s="2230" t="s">
        <v>716</v>
      </c>
      <c r="E34" s="1192"/>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4" customFormat="1" ht="13.5">
      <c r="A35" s="74" t="s">
        <v>717</v>
      </c>
      <c r="B35" s="409">
        <v>200</v>
      </c>
      <c r="C35" s="3286" t="s">
        <v>2999</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718</v>
      </c>
      <c r="B36" s="413">
        <v>1.4999999999999999E-2</v>
      </c>
      <c r="C36" s="3286" t="s">
        <v>3000</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719</v>
      </c>
      <c r="B37" s="414">
        <v>1.4999999999999999E-2</v>
      </c>
      <c r="C37" s="3286" t="s">
        <v>3001</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720</v>
      </c>
      <c r="B38" s="412">
        <v>1.4999999999999999E-2</v>
      </c>
      <c r="C38" s="3286" t="s">
        <v>3001</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2536</v>
      </c>
      <c r="B39" s="699">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2612</v>
      </c>
      <c r="B40" s="2633">
        <f ca="1">存贷款利率!G1</f>
        <v>4.7500000000000001E-2</v>
      </c>
      <c r="C40" s="2527" t="s">
        <v>538</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721</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5" t="s">
        <v>722</v>
      </c>
      <c r="B42" s="416">
        <v>0.05</v>
      </c>
      <c r="C42" s="3311">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5" t="s">
        <v>723</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724</v>
      </c>
      <c r="B44" s="418">
        <v>7.0000000000000007E-2</v>
      </c>
      <c r="C44" s="3286" t="s">
        <v>3003</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725</v>
      </c>
      <c r="B45" s="416">
        <v>0.03</v>
      </c>
      <c r="C45" s="3287" t="s">
        <v>3002</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726</v>
      </c>
      <c r="B46" s="416">
        <v>0.02</v>
      </c>
      <c r="C46" s="3287" t="s">
        <v>3027</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727</v>
      </c>
      <c r="B47" s="419">
        <v>0</v>
      </c>
      <c r="C47" s="2525" t="s">
        <v>728</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729</v>
      </c>
      <c r="B48" s="420">
        <v>0.03</v>
      </c>
      <c r="C48" s="3309" t="s">
        <v>3028</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730</v>
      </c>
      <c r="B49" s="416">
        <v>5.0000000000000001E-4</v>
      </c>
      <c r="C49" s="3309" t="s">
        <v>3029</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731</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732</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733</v>
      </c>
      <c r="B52" s="423">
        <f>SUMIF(A54:A63,B53,B54:B63)</f>
        <v>4</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734</v>
      </c>
      <c r="B53" s="41" t="s">
        <v>1548</v>
      </c>
      <c r="C53" s="2231" t="s">
        <v>3004</v>
      </c>
      <c r="D53" s="2234" t="s">
        <v>3008</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163</v>
      </c>
      <c r="B54" s="374"/>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164</v>
      </c>
      <c r="B55" s="374"/>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159</v>
      </c>
      <c r="B56" s="374"/>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160</v>
      </c>
      <c r="B57" s="374"/>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161</v>
      </c>
      <c r="B58" s="374"/>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162</v>
      </c>
      <c r="B59" s="374"/>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1177</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3005</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3006</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3007</v>
      </c>
      <c r="B63" s="424">
        <v>4</v>
      </c>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52"/>
      <c r="D64" s="2240"/>
      <c r="K64" s="2241"/>
      <c r="L64" s="2241"/>
    </row>
    <row r="65" spans="1:12" s="2239" customFormat="1">
      <c r="A65" s="1452"/>
      <c r="D65" s="2240"/>
      <c r="K65" s="2241"/>
      <c r="L65" s="2241"/>
    </row>
    <row r="66" spans="1:12" s="2239" customFormat="1">
      <c r="A66" s="1452"/>
      <c r="D66" s="2240"/>
      <c r="K66" s="2241"/>
      <c r="L66" s="2241"/>
    </row>
    <row r="67" spans="1:12" s="2239" customFormat="1">
      <c r="A67" s="1452"/>
      <c r="D67" s="2240"/>
      <c r="K67" s="2241"/>
      <c r="L67" s="2241"/>
    </row>
    <row r="68" spans="1:12" s="2239" customFormat="1">
      <c r="A68" s="1452"/>
      <c r="D68" s="2240"/>
      <c r="K68" s="2241"/>
      <c r="L68" s="2241"/>
    </row>
    <row r="69" spans="1:12" s="2239" customFormat="1">
      <c r="A69" s="1452"/>
      <c r="D69" s="2240"/>
      <c r="K69" s="2241"/>
      <c r="L69" s="2241"/>
    </row>
    <row r="70" spans="1:12" s="2239" customFormat="1">
      <c r="A70" s="1452"/>
      <c r="D70" s="2240"/>
      <c r="K70" s="2241"/>
      <c r="L70" s="2241"/>
    </row>
    <row r="71" spans="1:12" s="2239" customFormat="1">
      <c r="A71" s="1452"/>
      <c r="D71" s="2240"/>
      <c r="K71" s="2241"/>
      <c r="L71" s="2241"/>
    </row>
    <row r="72" spans="1:12" s="2239" customFormat="1">
      <c r="A72" s="1452"/>
      <c r="D72" s="2240"/>
      <c r="K72" s="2241"/>
      <c r="L72" s="2241"/>
    </row>
    <row r="73" spans="1:12" s="2239" customFormat="1">
      <c r="A73" s="1452"/>
      <c r="D73" s="2240"/>
      <c r="K73" s="2241"/>
      <c r="L73" s="2241"/>
    </row>
    <row r="74" spans="1:12" s="2239" customFormat="1">
      <c r="A74" s="1452"/>
      <c r="D74" s="2240"/>
      <c r="K74" s="2241"/>
      <c r="L74" s="2241"/>
    </row>
    <row r="75" spans="1:12" s="2239" customFormat="1">
      <c r="A75" s="1452"/>
      <c r="D75" s="2240"/>
      <c r="K75" s="2241"/>
      <c r="L75" s="2241"/>
    </row>
    <row r="76" spans="1:12" s="2239" customFormat="1">
      <c r="A76" s="1452"/>
      <c r="D76" s="2240"/>
      <c r="K76" s="2241"/>
      <c r="L76" s="2241"/>
    </row>
    <row r="77" spans="1:12" s="2239" customFormat="1">
      <c r="A77" s="1452"/>
      <c r="D77" s="2240"/>
      <c r="K77" s="2241"/>
      <c r="L77" s="2241"/>
    </row>
    <row r="78" spans="1:12" s="2239" customFormat="1">
      <c r="A78" s="1452"/>
      <c r="D78" s="2240"/>
      <c r="K78" s="2241"/>
      <c r="L78" s="2241"/>
    </row>
    <row r="79" spans="1:12" s="2239" customFormat="1">
      <c r="A79" s="1452"/>
      <c r="D79" s="2240"/>
      <c r="K79" s="2241"/>
      <c r="L79" s="2241"/>
    </row>
    <row r="80" spans="1:12" s="2239" customFormat="1">
      <c r="A80" s="1452"/>
      <c r="D80" s="2240"/>
      <c r="K80" s="2241"/>
      <c r="L80" s="2241"/>
    </row>
    <row r="81" spans="1:12" s="2239" customFormat="1">
      <c r="A81" s="1452"/>
      <c r="D81" s="2240"/>
      <c r="K81" s="2241"/>
      <c r="L81" s="2241"/>
    </row>
    <row r="82" spans="1:12" s="2239" customFormat="1">
      <c r="A82" s="1452"/>
      <c r="D82" s="2240"/>
      <c r="K82" s="2241"/>
      <c r="L82" s="2241"/>
    </row>
    <row r="83" spans="1:12" s="2239" customFormat="1">
      <c r="A83" s="1452"/>
      <c r="D83" s="2240"/>
      <c r="K83" s="2241"/>
      <c r="L83" s="2241"/>
    </row>
    <row r="84" spans="1:12" s="2239" customFormat="1">
      <c r="A84" s="1452"/>
      <c r="D84" s="2240"/>
      <c r="K84" s="2241"/>
      <c r="L84" s="2241"/>
    </row>
    <row r="85" spans="1:12" s="2239" customFormat="1">
      <c r="A85" s="1452"/>
      <c r="D85" s="2240"/>
      <c r="K85" s="2241"/>
      <c r="L85" s="2241"/>
    </row>
    <row r="86" spans="1:12" s="2239" customFormat="1">
      <c r="A86" s="1452"/>
      <c r="D86" s="2240"/>
      <c r="K86" s="2241"/>
      <c r="L86" s="2241"/>
    </row>
    <row r="87" spans="1:12" s="2239" customFormat="1">
      <c r="A87" s="1452"/>
      <c r="D87" s="2240"/>
      <c r="K87" s="2241"/>
      <c r="L87" s="2241"/>
    </row>
    <row r="88" spans="1:12" s="2239" customFormat="1">
      <c r="A88" s="1452"/>
      <c r="D88" s="2240"/>
      <c r="K88" s="2241"/>
      <c r="L88" s="2241"/>
    </row>
    <row r="89" spans="1:12" s="2239" customFormat="1">
      <c r="A89" s="1452"/>
      <c r="D89" s="2240"/>
      <c r="K89" s="2241"/>
      <c r="L89" s="2241"/>
    </row>
    <row r="90" spans="1:12" s="2239" customFormat="1">
      <c r="A90" s="1452"/>
      <c r="D90" s="2240"/>
      <c r="K90" s="2241"/>
      <c r="L90" s="2241"/>
    </row>
    <row r="91" spans="1:12" s="2239" customFormat="1">
      <c r="A91" s="1452"/>
      <c r="D91" s="2240"/>
      <c r="K91" s="2241"/>
      <c r="L91" s="2241"/>
    </row>
    <row r="92" spans="1:12" s="2239" customFormat="1">
      <c r="A92" s="1452"/>
      <c r="D92" s="2240"/>
      <c r="K92" s="2241"/>
      <c r="L92" s="2241"/>
    </row>
    <row r="93" spans="1:12" s="2239" customFormat="1">
      <c r="A93" s="1452"/>
      <c r="D93" s="2240"/>
      <c r="K93" s="2241"/>
      <c r="L93" s="2241"/>
    </row>
    <row r="94" spans="1:12" s="2239" customFormat="1">
      <c r="A94" s="1452"/>
      <c r="D94" s="2240"/>
      <c r="K94" s="2241"/>
      <c r="L94" s="2241"/>
    </row>
    <row r="95" spans="1:12" s="2239" customFormat="1">
      <c r="A95" s="1452"/>
      <c r="D95" s="2240"/>
      <c r="K95" s="2241"/>
      <c r="L95" s="2241"/>
    </row>
    <row r="96" spans="1:12" s="2239" customFormat="1">
      <c r="A96" s="1452"/>
      <c r="D96" s="2240"/>
      <c r="K96" s="2241"/>
      <c r="L96" s="2241"/>
    </row>
    <row r="97" spans="1:12" s="2239" customFormat="1">
      <c r="A97" s="1452"/>
      <c r="D97" s="2240"/>
      <c r="K97" s="2241"/>
      <c r="L97" s="2241"/>
    </row>
    <row r="98" spans="1:12" s="2239" customFormat="1">
      <c r="A98" s="1452"/>
      <c r="D98" s="2240"/>
      <c r="K98" s="2241"/>
      <c r="L98" s="2241"/>
    </row>
    <row r="99" spans="1:12" s="2239" customFormat="1">
      <c r="A99" s="1452"/>
      <c r="D99" s="2240"/>
      <c r="K99" s="2241"/>
      <c r="L99" s="2241"/>
    </row>
    <row r="100" spans="1:12" s="2239" customFormat="1">
      <c r="A100" s="1452"/>
      <c r="D100" s="2240"/>
      <c r="K100" s="2241"/>
      <c r="L100" s="2241"/>
    </row>
    <row r="101" spans="1:12" s="2239" customFormat="1">
      <c r="A101" s="1452"/>
      <c r="D101" s="2240"/>
      <c r="K101" s="2241"/>
      <c r="L101" s="2241"/>
    </row>
    <row r="102" spans="1:12" s="2239" customFormat="1">
      <c r="A102" s="1452"/>
      <c r="D102" s="2240"/>
      <c r="K102" s="2241"/>
      <c r="L102" s="2241"/>
    </row>
    <row r="103" spans="1:12" s="2239" customFormat="1">
      <c r="A103" s="1452"/>
      <c r="D103" s="2240"/>
      <c r="K103" s="2241"/>
      <c r="L103" s="2241"/>
    </row>
    <row r="104" spans="1:12" s="2239" customFormat="1">
      <c r="A104" s="1452"/>
      <c r="D104" s="2240"/>
      <c r="K104" s="2241"/>
      <c r="L104" s="2241"/>
    </row>
    <row r="105" spans="1:12" s="2239" customFormat="1">
      <c r="A105" s="1452"/>
      <c r="D105" s="2240"/>
      <c r="K105" s="2241"/>
      <c r="L105" s="2241"/>
    </row>
    <row r="106" spans="1:12" s="2239" customFormat="1">
      <c r="A106" s="1452"/>
      <c r="D106" s="2240"/>
      <c r="K106" s="2241"/>
      <c r="L106" s="2241"/>
    </row>
    <row r="107" spans="1:12" s="2239" customFormat="1">
      <c r="A107" s="1452"/>
      <c r="D107" s="2240"/>
      <c r="K107" s="2241"/>
      <c r="L107" s="2241"/>
    </row>
    <row r="108" spans="1:12" s="2239" customFormat="1">
      <c r="A108" s="1452"/>
      <c r="D108" s="2240"/>
      <c r="K108" s="2241"/>
      <c r="L108" s="2241"/>
    </row>
    <row r="109" spans="1:12" s="2239" customFormat="1">
      <c r="A109" s="1452"/>
      <c r="D109" s="2240"/>
      <c r="K109" s="2241"/>
      <c r="L109" s="2241"/>
    </row>
    <row r="110" spans="1:12" s="2239" customFormat="1">
      <c r="A110" s="1452"/>
      <c r="D110" s="2240"/>
      <c r="K110" s="2241"/>
      <c r="L110" s="2241"/>
    </row>
    <row r="111" spans="1:12" s="2239" customFormat="1">
      <c r="A111" s="1452"/>
      <c r="D111" s="2240"/>
      <c r="K111" s="2241"/>
      <c r="L111" s="2241"/>
    </row>
    <row r="112" spans="1:12" s="2239" customFormat="1">
      <c r="A112" s="1452"/>
      <c r="D112" s="2240"/>
      <c r="K112" s="2241"/>
      <c r="L112" s="2241"/>
    </row>
    <row r="113" spans="1:12" s="2239" customFormat="1">
      <c r="A113" s="1452"/>
      <c r="D113" s="2240"/>
      <c r="K113" s="2241"/>
      <c r="L113" s="2241"/>
    </row>
    <row r="114" spans="1:12" s="2239" customFormat="1">
      <c r="A114" s="1452"/>
      <c r="D114" s="2240"/>
      <c r="K114" s="2241"/>
      <c r="L114" s="2241"/>
    </row>
    <row r="115" spans="1:12" s="2239" customFormat="1">
      <c r="A115" s="1452"/>
      <c r="D115" s="2240"/>
      <c r="K115" s="2241"/>
      <c r="L115" s="2241"/>
    </row>
    <row r="116" spans="1:12" s="2239" customFormat="1">
      <c r="A116" s="1452"/>
      <c r="D116" s="2240"/>
      <c r="K116" s="2241"/>
      <c r="L116" s="2241"/>
    </row>
    <row r="117" spans="1:12" s="2239" customFormat="1">
      <c r="A117" s="1452"/>
      <c r="D117" s="2240"/>
      <c r="K117" s="2241"/>
      <c r="L117" s="2241"/>
    </row>
    <row r="118" spans="1:12" s="2239" customFormat="1">
      <c r="A118" s="1452"/>
      <c r="D118" s="2240"/>
      <c r="K118" s="2241"/>
      <c r="L118" s="2241"/>
    </row>
    <row r="119" spans="1:12" s="2239" customFormat="1">
      <c r="A119" s="1452"/>
      <c r="D119" s="2240"/>
      <c r="K119" s="2241"/>
      <c r="L119" s="2241"/>
    </row>
    <row r="120" spans="1:12" s="2239" customFormat="1">
      <c r="A120" s="1452"/>
      <c r="D120" s="2240"/>
      <c r="K120" s="2241"/>
      <c r="L120" s="2241"/>
    </row>
    <row r="121" spans="1:12" s="2239" customFormat="1">
      <c r="A121" s="1452"/>
      <c r="D121" s="2240"/>
      <c r="K121" s="2241"/>
      <c r="L121" s="2241"/>
    </row>
    <row r="122" spans="1:12" s="2239" customFormat="1">
      <c r="A122" s="1452"/>
      <c r="D122" s="2240"/>
      <c r="K122" s="2241"/>
      <c r="L122" s="2241"/>
    </row>
    <row r="123" spans="1:12" s="2239" customFormat="1">
      <c r="A123" s="1452"/>
      <c r="D123" s="2240"/>
      <c r="K123" s="2241"/>
      <c r="L123" s="2241"/>
    </row>
    <row r="124" spans="1:12" s="2239" customFormat="1">
      <c r="A124" s="1452"/>
      <c r="D124" s="2240"/>
      <c r="K124" s="2241"/>
      <c r="L124" s="2241"/>
    </row>
    <row r="125" spans="1:12" s="2239" customFormat="1">
      <c r="A125" s="1452"/>
      <c r="D125" s="2240"/>
      <c r="K125" s="2241"/>
      <c r="L125" s="2241"/>
    </row>
    <row r="126" spans="1:12" s="2239" customFormat="1">
      <c r="A126" s="1452"/>
      <c r="D126" s="2240"/>
      <c r="K126" s="2241"/>
      <c r="L126" s="2241"/>
    </row>
    <row r="127" spans="1:12" s="2239" customFormat="1">
      <c r="A127" s="1452"/>
      <c r="D127" s="2240"/>
      <c r="K127" s="2241"/>
      <c r="L127" s="2241"/>
    </row>
    <row r="128" spans="1:12" s="2239" customFormat="1">
      <c r="A128" s="1452"/>
      <c r="D128" s="2240"/>
      <c r="K128" s="2241"/>
      <c r="L128" s="2241"/>
    </row>
    <row r="129" spans="1:12" s="2239" customFormat="1">
      <c r="A129" s="1452"/>
      <c r="D129" s="2240"/>
      <c r="K129" s="2241"/>
      <c r="L129" s="2241"/>
    </row>
    <row r="130" spans="1:12" s="2239" customFormat="1">
      <c r="A130" s="1452"/>
      <c r="D130" s="2240"/>
      <c r="K130" s="2241"/>
      <c r="L130" s="2241"/>
    </row>
    <row r="131" spans="1:12" s="2239" customFormat="1">
      <c r="A131" s="1452"/>
      <c r="D131" s="2240"/>
      <c r="K131" s="2241"/>
      <c r="L131" s="2241"/>
    </row>
    <row r="132" spans="1:12" s="2239" customFormat="1">
      <c r="A132" s="1452"/>
      <c r="D132" s="2240"/>
      <c r="K132" s="2241"/>
      <c r="L132" s="2241"/>
    </row>
    <row r="133" spans="1:12" s="2239" customFormat="1">
      <c r="A133" s="1452"/>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649" t="s">
        <v>751</v>
      </c>
      <c r="B1" s="3650"/>
      <c r="C1" s="3650"/>
      <c r="D1" s="3650"/>
      <c r="E1" s="3650"/>
      <c r="F1" s="3650"/>
      <c r="G1" s="3650"/>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8"/>
      <c r="B2" s="1209"/>
      <c r="C2" s="1210" t="s">
        <v>752</v>
      </c>
      <c r="D2" s="1211"/>
      <c r="E2" s="1212"/>
      <c r="F2" s="1199"/>
      <c r="G2" s="1210" t="s">
        <v>753</v>
      </c>
      <c r="H2" s="2252"/>
      <c r="I2" s="2252"/>
      <c r="J2" s="2252"/>
      <c r="K2" s="2252"/>
      <c r="L2" s="2252"/>
      <c r="M2" s="2252"/>
      <c r="N2" s="2252"/>
      <c r="O2" s="2252"/>
      <c r="P2" s="2252"/>
      <c r="Q2" s="2252"/>
      <c r="R2" s="2252"/>
    </row>
    <row r="3" spans="1:29" ht="54">
      <c r="A3" s="1020" t="s">
        <v>754</v>
      </c>
      <c r="B3" s="51" t="s">
        <v>52</v>
      </c>
      <c r="C3" s="3288" t="s">
        <v>755</v>
      </c>
      <c r="D3" s="2253"/>
      <c r="E3" s="1029" t="s">
        <v>754</v>
      </c>
      <c r="F3" s="1213" t="s">
        <v>97</v>
      </c>
      <c r="G3" s="3292" t="s">
        <v>3010</v>
      </c>
      <c r="H3" s="2252"/>
      <c r="I3" s="2252"/>
      <c r="J3" s="2252"/>
      <c r="K3" s="2252"/>
      <c r="L3" s="2252"/>
      <c r="M3" s="2252"/>
      <c r="N3" s="2252"/>
      <c r="O3" s="2252"/>
      <c r="P3" s="2252"/>
      <c r="Q3" s="2252"/>
      <c r="R3" s="2252"/>
    </row>
    <row r="4" spans="1:29" ht="40.5">
      <c r="A4" s="1029"/>
      <c r="B4" s="2208" t="s">
        <v>756</v>
      </c>
      <c r="C4" s="3289" t="s">
        <v>757</v>
      </c>
      <c r="D4" s="2253"/>
      <c r="E4" s="1214"/>
      <c r="F4" s="2212" t="s">
        <v>758</v>
      </c>
      <c r="G4" s="3290" t="s">
        <v>759</v>
      </c>
      <c r="H4" s="2252"/>
      <c r="I4" s="2252"/>
      <c r="J4" s="2252"/>
      <c r="K4" s="2252"/>
      <c r="L4" s="2252"/>
      <c r="M4" s="2252"/>
      <c r="N4" s="2252"/>
      <c r="O4" s="2252"/>
      <c r="P4" s="2252"/>
      <c r="Q4" s="2252"/>
      <c r="R4" s="2252"/>
    </row>
    <row r="5" spans="1:29" ht="40.5">
      <c r="A5" s="1029"/>
      <c r="B5" s="2208" t="s">
        <v>760</v>
      </c>
      <c r="C5" s="3289" t="s">
        <v>761</v>
      </c>
      <c r="D5" s="2253"/>
      <c r="E5" s="1214"/>
      <c r="F5" s="2741" t="s">
        <v>2628</v>
      </c>
      <c r="G5" s="3290" t="s">
        <v>2630</v>
      </c>
      <c r="H5" s="2252"/>
      <c r="I5" s="2252"/>
      <c r="J5" s="2252"/>
      <c r="K5" s="2252"/>
      <c r="L5" s="2252"/>
      <c r="M5" s="2252"/>
      <c r="N5" s="2252"/>
      <c r="O5" s="2252"/>
      <c r="P5" s="2252"/>
      <c r="Q5" s="2252"/>
      <c r="R5" s="2252"/>
    </row>
    <row r="6" spans="1:29" ht="54">
      <c r="A6" s="1029"/>
      <c r="B6" s="2208" t="s">
        <v>70</v>
      </c>
      <c r="C6" s="3290" t="s">
        <v>735</v>
      </c>
      <c r="D6" s="2253"/>
      <c r="E6" s="1214"/>
      <c r="F6" s="2741" t="s">
        <v>2627</v>
      </c>
      <c r="G6" s="3290" t="s">
        <v>2629</v>
      </c>
      <c r="H6" s="2252"/>
      <c r="I6" s="2252"/>
      <c r="J6" s="2252"/>
      <c r="K6" s="2252"/>
      <c r="L6" s="2252"/>
      <c r="M6" s="2252"/>
      <c r="N6" s="2252"/>
      <c r="O6" s="2252"/>
      <c r="P6" s="2252"/>
      <c r="Q6" s="2252"/>
      <c r="R6" s="2252"/>
    </row>
    <row r="7" spans="1:29" ht="41.25" thickBot="1">
      <c r="A7" s="1029"/>
      <c r="B7" s="2208" t="s">
        <v>2628</v>
      </c>
      <c r="C7" s="3290" t="s">
        <v>2630</v>
      </c>
      <c r="D7" s="2254"/>
      <c r="E7" s="1215"/>
      <c r="F7" s="1216" t="s">
        <v>736</v>
      </c>
      <c r="G7" s="3293" t="s">
        <v>3011</v>
      </c>
      <c r="H7" s="2252"/>
      <c r="I7" s="2252"/>
      <c r="J7" s="2252"/>
      <c r="K7" s="2252"/>
      <c r="L7" s="2252"/>
      <c r="M7" s="2252"/>
      <c r="N7" s="2252"/>
      <c r="O7" s="2252"/>
      <c r="P7" s="2252"/>
      <c r="Q7" s="2252"/>
      <c r="R7" s="2252"/>
    </row>
    <row r="8" spans="1:29" ht="27">
      <c r="A8" s="1029"/>
      <c r="B8" s="2741" t="s">
        <v>2627</v>
      </c>
      <c r="C8" s="3290" t="s">
        <v>2629</v>
      </c>
      <c r="D8" s="2254"/>
      <c r="E8" s="2254"/>
      <c r="F8" s="2255"/>
      <c r="G8" s="2255"/>
      <c r="H8" s="2252"/>
      <c r="I8" s="2252"/>
      <c r="J8" s="2252"/>
      <c r="K8" s="2252"/>
      <c r="L8" s="2252"/>
      <c r="M8" s="2252"/>
      <c r="N8" s="2252"/>
      <c r="O8" s="2252"/>
      <c r="P8" s="2252"/>
      <c r="Q8" s="2252"/>
      <c r="R8" s="2252"/>
    </row>
    <row r="9" spans="1:29" ht="40.5">
      <c r="A9" s="1029"/>
      <c r="B9" s="2208" t="s">
        <v>71</v>
      </c>
      <c r="C9" s="3289" t="s">
        <v>737</v>
      </c>
      <c r="D9" s="2253"/>
      <c r="E9" s="2254"/>
      <c r="F9" s="2255"/>
      <c r="G9" s="2255"/>
      <c r="H9" s="2252"/>
      <c r="I9" s="2252"/>
      <c r="J9" s="2252"/>
      <c r="K9" s="2252"/>
      <c r="L9" s="2252"/>
      <c r="M9" s="2252"/>
      <c r="N9" s="2252"/>
      <c r="O9" s="2252"/>
      <c r="P9" s="2252"/>
      <c r="Q9" s="2252"/>
      <c r="R9" s="2252"/>
    </row>
    <row r="10" spans="1:29" s="40" customFormat="1" ht="14.25" thickBot="1">
      <c r="A10" s="1218"/>
      <c r="B10" s="1219" t="s">
        <v>738</v>
      </c>
      <c r="C10" s="3291"/>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7"/>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7"/>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739</v>
      </c>
      <c r="B13" s="2739"/>
      <c r="C13" s="2739"/>
      <c r="D13" s="2251"/>
      <c r="E13" s="2739"/>
      <c r="F13" s="2739"/>
      <c r="G13" s="2739"/>
    </row>
    <row r="14" spans="1:29" ht="14.25" thickBot="1">
      <c r="A14" s="1220"/>
      <c r="B14" s="1221"/>
      <c r="C14" s="1222" t="s">
        <v>740</v>
      </c>
      <c r="D14" s="2253"/>
      <c r="E14" s="1223"/>
      <c r="F14" s="1223"/>
      <c r="G14" s="1210" t="s">
        <v>741</v>
      </c>
    </row>
    <row r="15" spans="1:29" ht="54">
      <c r="A15" s="46" t="s">
        <v>742</v>
      </c>
      <c r="B15" s="14" t="s">
        <v>52</v>
      </c>
      <c r="C15" s="1224" t="str">
        <f>C3</f>
        <v>估价对象周边居住用地比例、居住小区规模和社区发展完善程度，综合评价居住社区成熟度一般</v>
      </c>
      <c r="D15" s="2253"/>
      <c r="E15" s="2754" t="s">
        <v>743</v>
      </c>
      <c r="F15" s="14" t="s">
        <v>744</v>
      </c>
      <c r="G15" s="1022" t="str">
        <f>G3</f>
        <v>估价对象位于XX开发区，园区建设成熟度XX，产业集聚程度XX</v>
      </c>
    </row>
    <row r="16" spans="1:29" ht="40.5">
      <c r="A16" s="2757"/>
      <c r="B16" s="1225" t="s">
        <v>745</v>
      </c>
      <c r="C16" s="1226" t="str">
        <f>C4</f>
        <v>估价对象位于XX商圈，周边商业氛围成熟，人流量大，商业繁华度好</v>
      </c>
      <c r="D16" s="2253"/>
      <c r="E16" s="2755"/>
      <c r="F16" s="1227" t="s">
        <v>746</v>
      </c>
      <c r="G16" s="1024" t="str">
        <f>G4</f>
        <v>估价对象周边道路状况、公共交通通达情况、停车便捷程度，综合评价交通便捷度较好</v>
      </c>
    </row>
    <row r="17" spans="1:18" ht="40.5">
      <c r="A17" s="2757"/>
      <c r="B17" s="1225" t="s">
        <v>747</v>
      </c>
      <c r="C17" s="1226" t="str">
        <f>C5</f>
        <v>估价对象位于XX商圈，周边办公楼项目较多，入驻率高，办公集聚程度较好</v>
      </c>
      <c r="D17" s="2254"/>
      <c r="E17" s="2755"/>
      <c r="F17" s="1227" t="s">
        <v>748</v>
      </c>
      <c r="G17" s="271"/>
    </row>
    <row r="18" spans="1:18" ht="54">
      <c r="A18" s="2757"/>
      <c r="B18" s="1227" t="s">
        <v>70</v>
      </c>
      <c r="C18" s="1024" t="str">
        <f>C6</f>
        <v>估价对象周边道路状况、公共交通通达情况、停车便捷程度，综合评价交通便捷度较好</v>
      </c>
      <c r="D18" s="2254"/>
      <c r="E18" s="2755"/>
      <c r="F18" s="1227" t="s">
        <v>736</v>
      </c>
      <c r="G18" s="1024" t="str">
        <f>G7</f>
        <v>该园区内是否有污染型企业，绿化情况，卫生条件，整体环境状况判断</v>
      </c>
    </row>
    <row r="19" spans="1:18" ht="27">
      <c r="A19" s="2757"/>
      <c r="B19" s="1227" t="s">
        <v>89</v>
      </c>
      <c r="C19" s="271"/>
      <c r="D19" s="2253"/>
      <c r="E19" s="2755"/>
      <c r="F19" s="2741" t="s">
        <v>2628</v>
      </c>
      <c r="G19" s="1024" t="str">
        <f>G5</f>
        <v>估价对象所在区域公共配套设施齐备情况</v>
      </c>
    </row>
    <row r="20" spans="1:18" ht="40.5">
      <c r="A20" s="2757"/>
      <c r="B20" s="1227" t="s">
        <v>88</v>
      </c>
      <c r="C20" s="1226" t="str">
        <f>C9</f>
        <v>区域自然环境：；人文环境；综合评价环境状况一般</v>
      </c>
      <c r="D20" s="2254"/>
      <c r="E20" s="2755"/>
      <c r="F20" s="2741" t="s">
        <v>2627</v>
      </c>
      <c r="G20" s="1024" t="str">
        <f>G6</f>
        <v>估价对象所在区域基础设施水平</v>
      </c>
    </row>
    <row r="21" spans="1:18" ht="27">
      <c r="A21" s="2757"/>
      <c r="B21" s="2741" t="s">
        <v>2628</v>
      </c>
      <c r="C21" s="1024" t="str">
        <f>C7</f>
        <v>估价对象所在区域公共配套设施齐备情况</v>
      </c>
      <c r="D21" s="2253"/>
      <c r="E21" s="2755"/>
      <c r="F21" s="1227" t="s">
        <v>87</v>
      </c>
      <c r="G21" s="283"/>
    </row>
    <row r="22" spans="1:18" ht="13.5" customHeight="1">
      <c r="A22" s="2757"/>
      <c r="B22" s="2741" t="s">
        <v>2627</v>
      </c>
      <c r="C22" s="1024" t="str">
        <f>C8</f>
        <v>估价对象所在区域基础设施水平</v>
      </c>
      <c r="D22" s="2253"/>
      <c r="E22" s="2755"/>
      <c r="F22" s="1227" t="s">
        <v>749</v>
      </c>
      <c r="G22" s="271"/>
    </row>
    <row r="23" spans="1:18" s="2252" customFormat="1" ht="14.25" thickBot="1">
      <c r="A23" s="2757"/>
      <c r="B23" s="1227" t="s">
        <v>87</v>
      </c>
      <c r="C23" s="283"/>
      <c r="D23" s="2265"/>
      <c r="E23" s="2756"/>
      <c r="F23" s="1228" t="s">
        <v>750</v>
      </c>
      <c r="G23" s="284"/>
      <c r="H23" s="2265"/>
      <c r="I23" s="2266"/>
      <c r="J23" s="2265"/>
      <c r="K23" s="2265"/>
      <c r="L23" s="2266"/>
      <c r="M23" s="2265"/>
      <c r="N23" s="2265"/>
      <c r="O23" s="2266"/>
      <c r="P23" s="2265"/>
      <c r="Q23" s="2265"/>
      <c r="R23" s="2267"/>
    </row>
    <row r="24" spans="1:18" s="2252" customFormat="1" ht="14.25" thickBot="1">
      <c r="A24" s="2758"/>
      <c r="B24" s="1228" t="s">
        <v>86</v>
      </c>
      <c r="C24" s="1229">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47" customWidth="1"/>
    <col min="2" max="9" width="15.75" style="3247" customWidth="1"/>
    <col min="10" max="16384" width="9" style="3247"/>
  </cols>
  <sheetData>
    <row r="1" spans="1:10" ht="16.5">
      <c r="A1" s="3252" t="s">
        <v>2980</v>
      </c>
      <c r="B1" s="3252">
        <f>SUM(B14:B23)</f>
        <v>165498.45000000001</v>
      </c>
      <c r="C1" s="3251"/>
      <c r="D1" s="3251"/>
      <c r="E1" s="3251"/>
      <c r="F1" s="3251"/>
      <c r="G1" s="3249"/>
    </row>
    <row r="2" spans="1:10" ht="16.5">
      <c r="A2" s="3252" t="s">
        <v>2968</v>
      </c>
      <c r="B2" s="3252">
        <f>SUM(C14:C23)</f>
        <v>33478.69</v>
      </c>
      <c r="C2" s="3251"/>
      <c r="D2" s="3251"/>
      <c r="E2" s="3251"/>
      <c r="F2" s="3251"/>
      <c r="G2" s="3249"/>
    </row>
    <row r="3" spans="1:10" ht="16.5">
      <c r="A3" s="3252" t="s">
        <v>2977</v>
      </c>
      <c r="B3" s="3253">
        <f>项目基本情况!D3</f>
        <v>42970</v>
      </c>
      <c r="C3" s="3251"/>
      <c r="D3" s="3251"/>
      <c r="E3" s="3251"/>
      <c r="F3" s="3251"/>
      <c r="G3" s="3249"/>
    </row>
    <row r="4" spans="1:10" ht="33">
      <c r="A4" s="3252" t="s">
        <v>2976</v>
      </c>
      <c r="B4" s="3252" t="s">
        <v>2975</v>
      </c>
      <c r="C4" s="3252" t="s">
        <v>2974</v>
      </c>
      <c r="D4" s="3252" t="s">
        <v>2973</v>
      </c>
      <c r="E4" s="3251"/>
      <c r="F4" s="3249"/>
      <c r="G4" s="3249"/>
    </row>
    <row r="5" spans="1:10" ht="16.5">
      <c r="A5" s="3252" t="s">
        <v>2972</v>
      </c>
      <c r="B5" s="3252">
        <f ca="1">SUM(D14:D23)</f>
        <v>129758</v>
      </c>
      <c r="C5" s="3252">
        <f ca="1">ROUND(B5*10000/$B$1,0)</f>
        <v>7840</v>
      </c>
      <c r="D5" s="3252">
        <f ca="1">ROUND(B5*10000/$B$2,0)</f>
        <v>38758</v>
      </c>
      <c r="E5" s="3251"/>
      <c r="F5" s="3249"/>
      <c r="G5" s="3249"/>
    </row>
    <row r="6" spans="1:10" ht="16.5">
      <c r="A6" s="3252" t="s">
        <v>2971</v>
      </c>
      <c r="B6" s="3252">
        <f ca="1">SUM(G14:G23)</f>
        <v>129758</v>
      </c>
      <c r="C6" s="3252">
        <f ca="1">ROUND(B6*10000/$B$1,0)</f>
        <v>7840</v>
      </c>
      <c r="D6" s="3252">
        <f ca="1">ROUND(B6*10000/$B$2,0)</f>
        <v>38758</v>
      </c>
      <c r="E6" s="3251"/>
      <c r="F6" s="3249"/>
      <c r="G6" s="3249"/>
    </row>
    <row r="7" spans="1:10" ht="16.5">
      <c r="A7" s="3252" t="s">
        <v>2979</v>
      </c>
      <c r="B7" s="3252">
        <f>SUM(H14:H23)</f>
        <v>0</v>
      </c>
      <c r="C7" s="3252">
        <f>ROUND(B7*10000/$B$1,0)</f>
        <v>0</v>
      </c>
      <c r="D7" s="3252">
        <f>ROUND(B7*10000/$B$2,0)</f>
        <v>0</v>
      </c>
      <c r="E7" s="3251"/>
      <c r="F7" s="3249"/>
      <c r="G7" s="3249"/>
    </row>
    <row r="8" spans="1:10" ht="16.5">
      <c r="A8" s="3252" t="s">
        <v>2868</v>
      </c>
      <c r="B8" s="3252">
        <f>SUM(I14:I23)</f>
        <v>0</v>
      </c>
      <c r="C8" s="3252">
        <f>ROUND(B8*10000/$B$1,0)</f>
        <v>0</v>
      </c>
      <c r="D8" s="3252">
        <f>ROUND(B8*10000/$B$2,0)</f>
        <v>0</v>
      </c>
      <c r="E8" s="3251"/>
      <c r="F8" s="3249"/>
      <c r="G8" s="3249"/>
    </row>
    <row r="9" spans="1:10" ht="16.5">
      <c r="A9" s="3252" t="s">
        <v>2970</v>
      </c>
      <c r="B9" s="3254"/>
      <c r="C9" s="3251"/>
      <c r="D9" s="3251"/>
      <c r="E9" s="3251"/>
      <c r="F9" s="3249"/>
      <c r="G9" s="3249"/>
    </row>
    <row r="10" spans="1:10" ht="16.5">
      <c r="A10" s="3252" t="s">
        <v>2969</v>
      </c>
      <c r="B10" s="3254"/>
      <c r="C10" s="3251"/>
      <c r="D10" s="3251"/>
      <c r="E10" s="3251"/>
      <c r="F10" s="3249"/>
      <c r="G10" s="3249"/>
    </row>
    <row r="11" spans="1:10" ht="16.5">
      <c r="A11" s="3252" t="s">
        <v>2985</v>
      </c>
      <c r="B11" s="3254"/>
      <c r="C11" s="3251"/>
      <c r="D11" s="3251"/>
      <c r="E11" s="3251"/>
      <c r="F11" s="3249"/>
      <c r="G11" s="3249"/>
    </row>
    <row r="12" spans="1:10" ht="16.5">
      <c r="A12" s="3251"/>
      <c r="B12" s="3251"/>
      <c r="C12" s="3251"/>
      <c r="D12" s="3251"/>
      <c r="E12" s="3251"/>
      <c r="F12" s="3249"/>
      <c r="G12" s="3249"/>
    </row>
    <row r="13" spans="1:10" ht="33">
      <c r="A13" s="3257" t="s">
        <v>2984</v>
      </c>
      <c r="B13" s="3250" t="s">
        <v>2981</v>
      </c>
      <c r="C13" s="3250" t="s">
        <v>2983</v>
      </c>
      <c r="D13" s="3250" t="s">
        <v>2982</v>
      </c>
      <c r="E13" s="3252" t="s">
        <v>2974</v>
      </c>
      <c r="F13" s="3252" t="s">
        <v>2973</v>
      </c>
      <c r="G13" s="3250" t="s">
        <v>2967</v>
      </c>
      <c r="H13" s="3250" t="s">
        <v>2978</v>
      </c>
      <c r="I13" s="3250" t="s">
        <v>2966</v>
      </c>
      <c r="J13" s="3249"/>
    </row>
    <row r="14" spans="1:10" ht="16.5">
      <c r="A14" s="3248" t="s">
        <v>2965</v>
      </c>
      <c r="B14" s="3250">
        <f>'数据-汇总表'!E3</f>
        <v>165498.45000000001</v>
      </c>
      <c r="C14" s="3250">
        <f>'数据-汇总表'!D3</f>
        <v>33478.69</v>
      </c>
      <c r="D14" s="3250">
        <f ca="1">结果表!H118</f>
        <v>129758</v>
      </c>
      <c r="E14" s="3250">
        <f ca="1">ROUND(D14*10000/B14,0)</f>
        <v>7840</v>
      </c>
      <c r="F14" s="3250">
        <f ca="1">ROUND(D14*10000/C14,0)</f>
        <v>38758</v>
      </c>
      <c r="G14" s="3250">
        <f ca="1">结果表!D122</f>
        <v>129758</v>
      </c>
      <c r="H14" s="3250" t="str">
        <f>结果表!D124</f>
        <v>——</v>
      </c>
      <c r="I14" s="3250" t="str">
        <f>结果表!D126</f>
        <v>——</v>
      </c>
      <c r="J14" s="3249"/>
    </row>
    <row r="15" spans="1:10" ht="16.5">
      <c r="A15" s="3248" t="s">
        <v>2964</v>
      </c>
      <c r="B15" s="3255"/>
      <c r="C15" s="3255"/>
      <c r="D15" s="3255"/>
      <c r="E15" s="3250" t="e">
        <f t="shared" ref="E15:E23" si="0">ROUND(D15*10000/B15,0)</f>
        <v>#DIV/0!</v>
      </c>
      <c r="F15" s="3250" t="e">
        <f t="shared" ref="F15:F23" si="1">ROUND(D15*10000/C15,0)</f>
        <v>#DIV/0!</v>
      </c>
      <c r="G15" s="3256"/>
      <c r="H15" s="3256"/>
      <c r="I15" s="3255"/>
      <c r="J15" s="3249"/>
    </row>
    <row r="16" spans="1:10" ht="16.5">
      <c r="A16" s="3248" t="s">
        <v>2963</v>
      </c>
      <c r="B16" s="3255"/>
      <c r="C16" s="3255"/>
      <c r="D16" s="3255"/>
      <c r="E16" s="3250" t="e">
        <f t="shared" si="0"/>
        <v>#DIV/0!</v>
      </c>
      <c r="F16" s="3250" t="e">
        <f t="shared" si="1"/>
        <v>#DIV/0!</v>
      </c>
      <c r="G16" s="3256"/>
      <c r="H16" s="3256"/>
      <c r="I16" s="3255"/>
    </row>
    <row r="17" spans="1:9" ht="16.5">
      <c r="A17" s="3248" t="s">
        <v>2962</v>
      </c>
      <c r="B17" s="3255"/>
      <c r="C17" s="3255"/>
      <c r="D17" s="3255"/>
      <c r="E17" s="3250" t="e">
        <f t="shared" si="0"/>
        <v>#DIV/0!</v>
      </c>
      <c r="F17" s="3250" t="e">
        <f t="shared" si="1"/>
        <v>#DIV/0!</v>
      </c>
      <c r="G17" s="3256"/>
      <c r="H17" s="3256"/>
      <c r="I17" s="3255"/>
    </row>
    <row r="18" spans="1:9" ht="16.5">
      <c r="A18" s="3248" t="s">
        <v>2961</v>
      </c>
      <c r="B18" s="3255"/>
      <c r="C18" s="3255"/>
      <c r="D18" s="3255"/>
      <c r="E18" s="3250" t="e">
        <f t="shared" si="0"/>
        <v>#DIV/0!</v>
      </c>
      <c r="F18" s="3250" t="e">
        <f t="shared" si="1"/>
        <v>#DIV/0!</v>
      </c>
      <c r="G18" s="3255"/>
      <c r="H18" s="3255"/>
      <c r="I18" s="3255"/>
    </row>
    <row r="19" spans="1:9" ht="16.5">
      <c r="A19" s="3248" t="s">
        <v>2960</v>
      </c>
      <c r="B19" s="3255"/>
      <c r="C19" s="3255"/>
      <c r="D19" s="3255"/>
      <c r="E19" s="3250" t="e">
        <f t="shared" si="0"/>
        <v>#DIV/0!</v>
      </c>
      <c r="F19" s="3250" t="e">
        <f t="shared" si="1"/>
        <v>#DIV/0!</v>
      </c>
      <c r="G19" s="3255"/>
      <c r="H19" s="3255"/>
      <c r="I19" s="3255"/>
    </row>
    <row r="20" spans="1:9" ht="16.5">
      <c r="A20" s="3248" t="s">
        <v>2959</v>
      </c>
      <c r="B20" s="3255"/>
      <c r="C20" s="3255"/>
      <c r="D20" s="3255"/>
      <c r="E20" s="3250" t="e">
        <f t="shared" si="0"/>
        <v>#DIV/0!</v>
      </c>
      <c r="F20" s="3250" t="e">
        <f t="shared" si="1"/>
        <v>#DIV/0!</v>
      </c>
      <c r="G20" s="3255"/>
      <c r="H20" s="3255"/>
      <c r="I20" s="3255"/>
    </row>
    <row r="21" spans="1:9" ht="16.5">
      <c r="A21" s="3248" t="s">
        <v>2958</v>
      </c>
      <c r="B21" s="3255"/>
      <c r="C21" s="3255"/>
      <c r="D21" s="3255"/>
      <c r="E21" s="3250" t="e">
        <f t="shared" si="0"/>
        <v>#DIV/0!</v>
      </c>
      <c r="F21" s="3250" t="e">
        <f t="shared" si="1"/>
        <v>#DIV/0!</v>
      </c>
      <c r="G21" s="3255"/>
      <c r="H21" s="3255"/>
      <c r="I21" s="3255"/>
    </row>
    <row r="22" spans="1:9" ht="16.5">
      <c r="A22" s="3248" t="s">
        <v>2957</v>
      </c>
      <c r="B22" s="3255"/>
      <c r="C22" s="3255"/>
      <c r="D22" s="3255"/>
      <c r="E22" s="3250" t="e">
        <f t="shared" si="0"/>
        <v>#DIV/0!</v>
      </c>
      <c r="F22" s="3250" t="e">
        <f t="shared" si="1"/>
        <v>#DIV/0!</v>
      </c>
      <c r="G22" s="3255"/>
      <c r="H22" s="3255"/>
      <c r="I22" s="3255"/>
    </row>
    <row r="23" spans="1:9" ht="16.5">
      <c r="A23" s="3248" t="s">
        <v>2956</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E16" zoomScaleSheetLayoutView="100" zoomScalePageLayoutView="80" workbookViewId="0">
      <selection activeCell="P29" sqref="P29"/>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14" width="12.625" style="1445"/>
    <col min="15" max="15" width="10.75" style="1445" customWidth="1"/>
    <col min="16" max="16" width="8.875" style="1445" customWidth="1"/>
    <col min="17" max="26" width="12.625" style="1445"/>
    <col min="27" max="35" width="12.625" style="1433"/>
    <col min="36" max="16384" width="12.625" style="1243"/>
  </cols>
  <sheetData>
    <row r="1" spans="1:12" ht="21.75" customHeight="1" thickBot="1">
      <c r="A1" s="17" t="s">
        <v>762</v>
      </c>
      <c r="B1" s="1242"/>
      <c r="C1" s="2094" t="s">
        <v>3037</v>
      </c>
      <c r="D1" s="1242"/>
      <c r="E1" s="1242"/>
      <c r="F1" s="2078" t="s">
        <v>2104</v>
      </c>
      <c r="G1" s="2051" t="s">
        <v>3105</v>
      </c>
      <c r="H1" s="2107" t="str">
        <f>IF(G1="现房","——","估价对象范围")</f>
        <v>——</v>
      </c>
      <c r="I1" s="2084" t="s">
        <v>3906</v>
      </c>
    </row>
    <row r="2" spans="1:12" ht="21.75" customHeight="1" thickBot="1">
      <c r="A2" s="3728" t="str">
        <f>项目基本情况!S2</f>
        <v>广东省中山市中山市南区永安一路9号悦盈新成花园房地产</v>
      </c>
      <c r="B2" s="3729"/>
      <c r="C2" s="3729"/>
      <c r="D2" s="3729"/>
      <c r="E2" s="3729"/>
      <c r="F2" s="3729"/>
      <c r="G2" s="3729"/>
      <c r="H2" s="3729"/>
      <c r="I2" s="3730"/>
    </row>
    <row r="3" spans="1:12" ht="12">
      <c r="A3" s="3732" t="s">
        <v>10</v>
      </c>
      <c r="B3" s="3733"/>
      <c r="C3" s="3733"/>
      <c r="D3" s="3733"/>
      <c r="E3" s="3733"/>
      <c r="F3" s="3733"/>
      <c r="G3" s="3733"/>
      <c r="H3" s="3733"/>
      <c r="I3" s="3733"/>
    </row>
    <row r="4" spans="1:12" ht="13.5">
      <c r="A4" s="429" t="s">
        <v>11</v>
      </c>
      <c r="B4" s="430" t="s">
        <v>12</v>
      </c>
      <c r="C4" s="431" t="s">
        <v>3905</v>
      </c>
      <c r="D4" s="431" t="s">
        <v>3943</v>
      </c>
      <c r="E4" s="3737" t="s">
        <v>763</v>
      </c>
      <c r="F4" s="3738"/>
      <c r="G4" s="3738"/>
      <c r="H4" s="3738"/>
      <c r="I4" s="3739"/>
      <c r="K4" s="2180" t="str">
        <f>IF(ISNUMBER(FIND("比较法",结果表!C4)),"比较法",IF(ISNUMBER(FIND("成本法",结果表!C4)),"成本法",IF(ISNUMBER(FIND("假设开发法",结果表!C4)),"假设开发法",IF(ISNUMBER(FIND("收益法",结果表!C4)),"收益法","基准地价系数修正法"))))</f>
        <v>收益法</v>
      </c>
      <c r="L4" s="218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03" t="s">
        <v>13</v>
      </c>
      <c r="B5" s="3731">
        <v>25</v>
      </c>
      <c r="C5" s="3734"/>
      <c r="D5" s="3721"/>
      <c r="E5" s="471" t="s">
        <v>807</v>
      </c>
      <c r="F5" s="432"/>
      <c r="G5" s="432"/>
      <c r="H5" s="432"/>
      <c r="I5" s="433"/>
    </row>
    <row r="6" spans="1:12" ht="12.75">
      <c r="A6" s="3703"/>
      <c r="B6" s="3731"/>
      <c r="C6" s="3736"/>
      <c r="D6" s="3721"/>
      <c r="E6" s="471" t="s">
        <v>808</v>
      </c>
      <c r="F6" s="432"/>
      <c r="G6" s="432"/>
      <c r="H6" s="432"/>
      <c r="I6" s="433"/>
    </row>
    <row r="7" spans="1:12" ht="12.75">
      <c r="A7" s="3703"/>
      <c r="B7" s="3731"/>
      <c r="C7" s="3735"/>
      <c r="D7" s="3721"/>
      <c r="E7" s="471" t="s">
        <v>809</v>
      </c>
      <c r="F7" s="432"/>
      <c r="G7" s="432"/>
      <c r="H7" s="432"/>
      <c r="I7" s="433"/>
    </row>
    <row r="8" spans="1:12" ht="12.75">
      <c r="A8" s="3703" t="s">
        <v>14</v>
      </c>
      <c r="B8" s="3731">
        <v>15</v>
      </c>
      <c r="C8" s="3734"/>
      <c r="D8" s="3721"/>
      <c r="E8" s="471" t="s">
        <v>810</v>
      </c>
      <c r="F8" s="432"/>
      <c r="G8" s="432"/>
      <c r="H8" s="432"/>
      <c r="I8" s="433"/>
    </row>
    <row r="9" spans="1:12" ht="12.75">
      <c r="A9" s="3703"/>
      <c r="B9" s="3731"/>
      <c r="C9" s="3735"/>
      <c r="D9" s="3721"/>
      <c r="E9" s="471" t="s">
        <v>811</v>
      </c>
      <c r="F9" s="432"/>
      <c r="G9" s="432"/>
      <c r="H9" s="432"/>
      <c r="I9" s="433"/>
    </row>
    <row r="10" spans="1:12" ht="12.75">
      <c r="A10" s="3703" t="s">
        <v>15</v>
      </c>
      <c r="B10" s="3731">
        <v>15</v>
      </c>
      <c r="C10" s="3734"/>
      <c r="D10" s="3721"/>
      <c r="E10" s="471" t="s">
        <v>812</v>
      </c>
      <c r="F10" s="432"/>
      <c r="G10" s="432"/>
      <c r="H10" s="432"/>
      <c r="I10" s="433"/>
    </row>
    <row r="11" spans="1:12" ht="12.75">
      <c r="A11" s="3703"/>
      <c r="B11" s="3731"/>
      <c r="C11" s="3735"/>
      <c r="D11" s="3721"/>
      <c r="E11" s="471" t="s">
        <v>813</v>
      </c>
      <c r="F11" s="432"/>
      <c r="G11" s="432"/>
      <c r="H11" s="432"/>
      <c r="I11" s="433"/>
    </row>
    <row r="12" spans="1:12" ht="12.75">
      <c r="A12" s="3703" t="s">
        <v>16</v>
      </c>
      <c r="B12" s="3731">
        <v>15</v>
      </c>
      <c r="C12" s="3734"/>
      <c r="D12" s="3721"/>
      <c r="E12" s="471" t="s">
        <v>814</v>
      </c>
      <c r="F12" s="432"/>
      <c r="G12" s="432"/>
      <c r="H12" s="432"/>
      <c r="I12" s="433"/>
    </row>
    <row r="13" spans="1:12" ht="12.75">
      <c r="A13" s="3703"/>
      <c r="B13" s="3731"/>
      <c r="C13" s="3735"/>
      <c r="D13" s="3721"/>
      <c r="E13" s="471" t="s">
        <v>815</v>
      </c>
      <c r="F13" s="432"/>
      <c r="G13" s="432"/>
      <c r="H13" s="432"/>
      <c r="I13" s="433"/>
    </row>
    <row r="14" spans="1:12" ht="12.75">
      <c r="A14" s="3703" t="s">
        <v>17</v>
      </c>
      <c r="B14" s="3731">
        <v>30</v>
      </c>
      <c r="C14" s="3734">
        <v>5</v>
      </c>
      <c r="D14" s="3721">
        <v>5</v>
      </c>
      <c r="E14" s="471" t="s">
        <v>816</v>
      </c>
      <c r="F14" s="432"/>
      <c r="G14" s="432"/>
      <c r="H14" s="432"/>
      <c r="I14" s="433"/>
    </row>
    <row r="15" spans="1:12" ht="12.75">
      <c r="A15" s="3703"/>
      <c r="B15" s="3731"/>
      <c r="C15" s="3736"/>
      <c r="D15" s="3721"/>
      <c r="E15" s="471" t="s">
        <v>817</v>
      </c>
      <c r="F15" s="432"/>
      <c r="G15" s="432"/>
      <c r="H15" s="432"/>
      <c r="I15" s="433"/>
    </row>
    <row r="16" spans="1:12" ht="12.75">
      <c r="A16" s="3703"/>
      <c r="B16" s="3731"/>
      <c r="C16" s="3735"/>
      <c r="D16" s="3721"/>
      <c r="E16" s="471" t="s">
        <v>818</v>
      </c>
      <c r="F16" s="432"/>
      <c r="G16" s="432"/>
      <c r="H16" s="432"/>
      <c r="I16" s="433"/>
    </row>
    <row r="17" spans="1:35" ht="14.25">
      <c r="A17" s="434" t="s">
        <v>18</v>
      </c>
      <c r="B17" s="38"/>
      <c r="C17" s="472">
        <f>SUM(C5:C16)</f>
        <v>5</v>
      </c>
      <c r="D17" s="472">
        <f>SUM(D5:D16)</f>
        <v>5</v>
      </c>
      <c r="E17" s="2273"/>
      <c r="F17" s="2273"/>
      <c r="G17" s="2273"/>
      <c r="H17" s="2273"/>
      <c r="I17" s="2273"/>
      <c r="K17" s="2180"/>
      <c r="L17" s="2181" t="s">
        <v>2312</v>
      </c>
      <c r="M17" s="2181" t="s">
        <v>2313</v>
      </c>
    </row>
    <row r="18" spans="1:35" ht="15" thickBot="1">
      <c r="A18" s="435" t="s">
        <v>19</v>
      </c>
      <c r="B18" s="18"/>
      <c r="C18" s="473">
        <f>ROUND(C17/SUM(C17:D17),2)</f>
        <v>0.5</v>
      </c>
      <c r="D18" s="473">
        <f>1-C18</f>
        <v>0.5</v>
      </c>
      <c r="E18" s="2273"/>
      <c r="F18" s="2273"/>
      <c r="G18" s="2273"/>
      <c r="H18" s="2273"/>
      <c r="I18" s="2273"/>
      <c r="K18" s="2180" t="s">
        <v>2126</v>
      </c>
      <c r="L18" s="2180">
        <f>IF(C1="",'数据-汇总表'!E3,SUMIF(项目类型,C1,'数据-汇总表'!E17:E26)+SUMIF(项目类型,C1,'数据-汇总表'!I17:I26))</f>
        <v>21711.050000000003</v>
      </c>
      <c r="M18" s="2180">
        <f>IF(C1="",'数据-汇总表'!E3,SUMIF(项目类型,C1,'数据-汇总表'!E17:E26))</f>
        <v>21711.050000000003</v>
      </c>
    </row>
    <row r="19" spans="1:35" ht="14.25">
      <c r="A19" s="436" t="s">
        <v>178</v>
      </c>
      <c r="B19" s="437" t="s">
        <v>20</v>
      </c>
      <c r="C19" s="474">
        <f ca="1">SUMIF(INDIRECT("'"&amp;C4&amp;"'"&amp;"!A:A"),结果表!B19,INDIRECT("'"&amp;C4&amp;"'"&amp;"!B:B"))</f>
        <v>125291</v>
      </c>
      <c r="D19" s="475">
        <f ca="1">SUMIF(INDIRECT("'"&amp;D4&amp;"'"&amp;"!A:A"),结果表!B19,INDIRECT("'"&amp;D4&amp;"'"&amp;"!B:B"))</f>
        <v>134224</v>
      </c>
      <c r="E19" s="436" t="s">
        <v>177</v>
      </c>
      <c r="F19" s="437" t="s">
        <v>20</v>
      </c>
      <c r="G19" s="476">
        <f ca="1">ROUND(C19*$C$18+D19*$D$18,0)</f>
        <v>129758</v>
      </c>
      <c r="H19" s="438" t="s">
        <v>226</v>
      </c>
      <c r="I19" s="2273"/>
      <c r="K19" s="2180" t="s">
        <v>2127</v>
      </c>
      <c r="L19" s="2180">
        <f>IF(C1="",'数据-汇总表'!D3,SUMIF(项目类型,C1,'数据-汇总表'!D17:D26)+SUMIF(项目类型,C1,'数据-汇总表'!H17:H27))</f>
        <v>4391.93</v>
      </c>
      <c r="M19" s="2180">
        <f>IF(C1="",'数据-汇总表'!D3,SUMIF(项目类型,C1,'数据-汇总表'!D17:D26))</f>
        <v>4391.93</v>
      </c>
    </row>
    <row r="20" spans="1:35" ht="14.25">
      <c r="A20" s="439"/>
      <c r="B20" s="440" t="s">
        <v>21</v>
      </c>
      <c r="C20" s="477">
        <f ca="1">SUMIF(INDIRECT("'"&amp;C4&amp;"'"&amp;"!A:A"),结果表!B20,INDIRECT("'"&amp;C4&amp;"'"&amp;"!B:B"))</f>
        <v>20321</v>
      </c>
      <c r="D20" s="478">
        <f ca="1">SUMIF(INDIRECT("'"&amp;D4&amp;"'"&amp;"!A:A"),结果表!B20,INDIRECT("'"&amp;D4&amp;"'"&amp;"!B:B"))</f>
        <v>21769</v>
      </c>
      <c r="E20" s="439"/>
      <c r="F20" s="440" t="s">
        <v>21</v>
      </c>
      <c r="G20" s="479">
        <f ca="1">ROUND(C20*$C$18+D20*$D$18,0)</f>
        <v>21045</v>
      </c>
      <c r="H20" s="441" t="s">
        <v>225</v>
      </c>
      <c r="I20" s="2273"/>
    </row>
    <row r="21" spans="1:35" ht="15" customHeight="1" thickBot="1">
      <c r="A21" s="443"/>
      <c r="B21" s="444" t="s">
        <v>22</v>
      </c>
      <c r="C21" s="1421">
        <f ca="1">ROUND(C19*10000/L19,0)</f>
        <v>285275</v>
      </c>
      <c r="D21" s="1422">
        <f ca="1">ROUND(D19*10000/L19,0)</f>
        <v>305615</v>
      </c>
      <c r="E21" s="443"/>
      <c r="F21" s="444" t="s">
        <v>22</v>
      </c>
      <c r="G21" s="480">
        <f ca="1">ROUND(G19*10000/L19,0)</f>
        <v>295446</v>
      </c>
      <c r="H21" s="445" t="s">
        <v>225</v>
      </c>
      <c r="I21" s="2273"/>
    </row>
    <row r="22" spans="1:35" ht="15" thickBot="1">
      <c r="A22" s="275" t="s">
        <v>179</v>
      </c>
      <c r="B22" s="1423"/>
      <c r="C22" s="1424"/>
      <c r="D22" s="1425">
        <f ca="1">IF(C19&lt;D19,D19/C19-1,C19/D19-1)</f>
        <v>7.1298018213598713E-2</v>
      </c>
      <c r="E22" s="2273"/>
      <c r="F22" s="2273"/>
      <c r="G22" s="2273"/>
      <c r="H22" s="2273"/>
      <c r="I22" s="2273"/>
    </row>
    <row r="23" spans="1:35" ht="12.75" thickBot="1">
      <c r="A23" s="1242"/>
      <c r="B23" s="1242"/>
      <c r="C23" s="1242"/>
      <c r="D23" s="1242"/>
      <c r="E23" s="2273"/>
      <c r="F23" s="2273"/>
      <c r="G23" s="2273"/>
      <c r="H23" s="2273"/>
      <c r="I23" s="2273"/>
    </row>
    <row r="24" spans="1:35" ht="14.25">
      <c r="A24" s="3746" t="s">
        <v>175</v>
      </c>
      <c r="B24" s="437" t="s">
        <v>20</v>
      </c>
      <c r="C24" s="476">
        <f>IF(B30=0,0,D30)</f>
        <v>0</v>
      </c>
      <c r="D24" s="446"/>
      <c r="E24" s="2273"/>
      <c r="F24" s="2273"/>
      <c r="G24" s="2273"/>
      <c r="H24" s="2273"/>
      <c r="I24" s="2273"/>
    </row>
    <row r="25" spans="1:35" ht="14.25">
      <c r="A25" s="3747"/>
      <c r="B25" s="440" t="s">
        <v>21</v>
      </c>
      <c r="C25" s="481">
        <f>IF(B30=0,0,C30)</f>
        <v>0</v>
      </c>
      <c r="D25" s="447"/>
      <c r="E25" s="2273"/>
      <c r="F25" s="2273"/>
      <c r="G25" s="2273"/>
      <c r="H25" s="2273"/>
      <c r="I25" s="2273"/>
      <c r="K25" s="1445" t="s">
        <v>4001</v>
      </c>
      <c r="L25" s="1445" t="s">
        <v>4010</v>
      </c>
      <c r="M25" s="1445" t="s">
        <v>4006</v>
      </c>
      <c r="N25" s="1445" t="s">
        <v>4007</v>
      </c>
      <c r="O25" s="1445" t="s">
        <v>4008</v>
      </c>
      <c r="P25" s="1445" t="s">
        <v>4009</v>
      </c>
    </row>
    <row r="26" spans="1:35" ht="13.5" customHeight="1">
      <c r="A26" s="448" t="s">
        <v>176</v>
      </c>
      <c r="B26" s="449" t="s">
        <v>118</v>
      </c>
      <c r="C26" s="449" t="s">
        <v>119</v>
      </c>
      <c r="D26" s="450" t="s">
        <v>120</v>
      </c>
      <c r="E26" s="2273"/>
      <c r="F26" s="2273"/>
      <c r="G26" s="2273"/>
      <c r="H26" s="2273"/>
      <c r="I26" s="2273"/>
      <c r="K26" s="1445" t="s">
        <v>4002</v>
      </c>
      <c r="L26" s="1445">
        <f>'收益法（汇总）'!E2</f>
        <v>61657.18</v>
      </c>
      <c r="M26" s="1445">
        <f ca="1">D19</f>
        <v>134224</v>
      </c>
      <c r="N26" s="1445">
        <f ca="1">C19</f>
        <v>125291</v>
      </c>
      <c r="O26" s="1445">
        <f ca="1">G19</f>
        <v>129758</v>
      </c>
      <c r="P26" s="1445">
        <f ca="1">ROUND(O26*10000/'收益法（汇总）'!E2,0)</f>
        <v>21045</v>
      </c>
    </row>
    <row r="27" spans="1:35" ht="14.25">
      <c r="A27" s="448"/>
      <c r="B27" s="482">
        <v>0</v>
      </c>
      <c r="C27" s="482">
        <v>0</v>
      </c>
      <c r="D27" s="483">
        <f>ROUND(C27*B27/10000,0)</f>
        <v>0</v>
      </c>
      <c r="E27" s="2273"/>
      <c r="F27" s="2273"/>
      <c r="G27" s="2273"/>
      <c r="H27" s="2273"/>
      <c r="I27" s="2273"/>
      <c r="K27" s="1445" t="s">
        <v>4003</v>
      </c>
      <c r="L27" s="1445">
        <f>'数据-汇总表'!F20</f>
        <v>16940.830000000002</v>
      </c>
      <c r="M27" s="1445">
        <f ca="1">'结果表 (2)'!D19</f>
        <v>28572</v>
      </c>
      <c r="N27" s="1445">
        <f ca="1">'结果表 (2)'!C19</f>
        <v>20968</v>
      </c>
      <c r="O27" s="1445">
        <f ca="1">'结果表 (2)'!G19</f>
        <v>25530</v>
      </c>
      <c r="P27" s="1445">
        <f ca="1">ROUND(O27*10000/'数据-汇总表'!F20,0)</f>
        <v>15070</v>
      </c>
    </row>
    <row r="28" spans="1:35" ht="14.25">
      <c r="A28" s="448"/>
      <c r="B28" s="482"/>
      <c r="C28" s="482"/>
      <c r="D28" s="483"/>
      <c r="E28" s="2273"/>
      <c r="F28" s="2273"/>
      <c r="G28" s="2273"/>
      <c r="H28" s="2273"/>
      <c r="I28" s="2273"/>
      <c r="K28" s="1445" t="s">
        <v>4004</v>
      </c>
      <c r="L28" s="1445">
        <f>'数据-汇总表'!G21</f>
        <v>86900.44</v>
      </c>
      <c r="M28" s="1445">
        <f ca="1">'结果表 (3)'!D19</f>
        <v>34566</v>
      </c>
      <c r="N28" s="1445">
        <f ca="1">'结果表 (3)'!C19</f>
        <v>20123</v>
      </c>
      <c r="O28" s="1445">
        <f ca="1">'结果表 (3)'!G19</f>
        <v>28789</v>
      </c>
      <c r="P28" s="1445">
        <f ca="1">ROUND(O28*10000/'数据-汇总表'!G21,0)</f>
        <v>3313</v>
      </c>
    </row>
    <row r="29" spans="1:35" ht="14.25">
      <c r="A29" s="448"/>
      <c r="B29" s="482"/>
      <c r="C29" s="482"/>
      <c r="D29" s="483"/>
      <c r="E29" s="2273"/>
      <c r="F29" s="2273"/>
      <c r="G29" s="2273"/>
      <c r="H29" s="2273"/>
      <c r="I29" s="2273"/>
      <c r="K29" s="1445" t="s">
        <v>4005</v>
      </c>
      <c r="L29" s="1445">
        <f>SUM(L26:L28)</f>
        <v>165498.45000000001</v>
      </c>
      <c r="O29" s="1445">
        <f ca="1">SUM(O26:O28)</f>
        <v>184077</v>
      </c>
      <c r="P29" s="1445">
        <f ca="1">ROUND(O29*10000/'数据-汇总表'!E3,0)</f>
        <v>11123</v>
      </c>
    </row>
    <row r="30" spans="1:35" ht="14.25">
      <c r="A30" s="451" t="s">
        <v>174</v>
      </c>
      <c r="B30" s="484">
        <f>SUM(B27:B29)</f>
        <v>0</v>
      </c>
      <c r="C30" s="484" t="e">
        <f>ROUND(D30*10000/B30,0)</f>
        <v>#DIV/0!</v>
      </c>
      <c r="D30" s="484">
        <f>SUM(D27:D29)</f>
        <v>0</v>
      </c>
      <c r="E30" s="2273"/>
      <c r="F30" s="2273"/>
      <c r="G30" s="2273"/>
      <c r="H30" s="2273"/>
      <c r="I30" s="2273"/>
    </row>
    <row r="31" spans="1:35" s="1244" customFormat="1" ht="14.25" thickBot="1">
      <c r="A31" s="452"/>
      <c r="B31" s="452"/>
      <c r="C31" s="452"/>
      <c r="D31" s="452"/>
      <c r="E31" s="2273"/>
      <c r="F31" s="2273"/>
      <c r="G31" s="2273"/>
      <c r="H31" s="2273"/>
      <c r="I31" s="2273"/>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173</v>
      </c>
      <c r="B32" s="454"/>
      <c r="C32" s="485">
        <f ca="1">IF(D32="总价",G19-C24,G20-C25)</f>
        <v>129758</v>
      </c>
      <c r="D32" s="2088" t="s">
        <v>208</v>
      </c>
      <c r="E32" s="2273"/>
      <c r="F32" s="2273"/>
      <c r="G32" s="2273"/>
      <c r="H32" s="2273"/>
      <c r="I32" s="2273"/>
    </row>
    <row r="33" spans="1:15" ht="13.5">
      <c r="A33" s="457" t="s">
        <v>764</v>
      </c>
      <c r="B33" s="2087"/>
      <c r="C33" s="2870"/>
      <c r="D33" s="2873"/>
      <c r="E33" s="2085" t="s">
        <v>2106</v>
      </c>
      <c r="F33" s="2086" t="str">
        <f>IF(D32="楼面单价","取值（单价）","取值（总价）")</f>
        <v>取值（总价）</v>
      </c>
      <c r="G33" s="2273"/>
      <c r="H33" s="2273"/>
      <c r="I33" s="2273"/>
    </row>
    <row r="34" spans="1:15" ht="15">
      <c r="A34" s="458"/>
      <c r="B34" s="459" t="s">
        <v>767</v>
      </c>
      <c r="C34" s="489" t="e">
        <f ca="1">IF(C33="自定义",F34,C32-C35)</f>
        <v>#REF!</v>
      </c>
      <c r="D34" s="2089" t="e">
        <f ca="1">IF(C33="自定义",ROUND(C34/C32,3),IF(C33="收益比率",SUMIF(INDIRECT("'"&amp;D33&amp;"'"&amp;"!b:b"),"土地收益比率",INDIRECT("'"&amp;D33&amp;"'"&amp;"!c:c")),SUMIF(INDIRECT("'"&amp;D33&amp;"'"&amp;"!b:b"),"土地成本比率",INDIRECT("'"&amp;D33&amp;"'"&amp;"!c:c"))))</f>
        <v>#REF!</v>
      </c>
      <c r="E34" s="2871" t="s">
        <v>2107</v>
      </c>
      <c r="F34" s="3245"/>
      <c r="G34" s="2273"/>
      <c r="H34" s="2273"/>
      <c r="I34" s="2273"/>
    </row>
    <row r="35" spans="1:15" ht="15.75" thickBot="1">
      <c r="A35" s="461"/>
      <c r="B35" s="2874" t="s">
        <v>769</v>
      </c>
      <c r="C35" s="2875" t="e">
        <f ca="1">IF(C33="自定义",F35,ROUND(C32*D35,0))</f>
        <v>#REF!</v>
      </c>
      <c r="D35" s="2876" t="e">
        <f ca="1">IF(C33="自定义",ROUND(C35/C32,3),IF(C33="收益比率",SUMIF(INDIRECT("'"&amp;D33&amp;"'"&amp;"!b:b"),"建筑物收益比率",INDIRECT("'"&amp;D33&amp;"'"&amp;"!c:c")),SUMIF(INDIRECT("'"&amp;D33&amp;"'"&amp;"!b:b"),"建筑物成本比率",INDIRECT("'"&amp;D33&amp;"'"&amp;"!c:c"))))</f>
        <v>#REF!</v>
      </c>
      <c r="E35" s="2872" t="s">
        <v>2108</v>
      </c>
      <c r="F35" s="495"/>
      <c r="G35" s="2273"/>
      <c r="H35" s="2273"/>
      <c r="I35" s="2273"/>
    </row>
    <row r="36" spans="1:15" ht="15.75" thickBot="1">
      <c r="A36" s="3722" t="s">
        <v>765</v>
      </c>
      <c r="B36" s="455" t="s">
        <v>766</v>
      </c>
      <c r="C36" s="486"/>
      <c r="D36" s="456"/>
      <c r="E36" s="1245"/>
      <c r="F36" s="2274"/>
      <c r="G36" s="2273"/>
      <c r="H36" s="2273"/>
      <c r="I36" s="2273"/>
    </row>
    <row r="37" spans="1:15" ht="15.75" thickBot="1">
      <c r="A37" s="3723"/>
      <c r="B37" s="13" t="s">
        <v>768</v>
      </c>
      <c r="C37" s="488"/>
      <c r="D37" s="2222"/>
      <c r="E37" s="2222"/>
      <c r="F37" s="2274"/>
      <c r="G37" s="2273"/>
      <c r="H37" s="2273"/>
      <c r="I37" s="2273"/>
    </row>
    <row r="38" spans="1:15" ht="15.75" thickBot="1">
      <c r="A38" s="3724"/>
      <c r="B38" s="460" t="s">
        <v>770</v>
      </c>
      <c r="C38" s="1136"/>
      <c r="D38" s="1246" t="s">
        <v>771</v>
      </c>
      <c r="E38" s="2222"/>
      <c r="F38" s="2274"/>
      <c r="G38" s="2273"/>
      <c r="H38" s="2273"/>
      <c r="I38" s="2273"/>
    </row>
    <row r="39" spans="1:15" ht="13.5">
      <c r="A39" s="439" t="s">
        <v>772</v>
      </c>
      <c r="B39" s="462" t="s">
        <v>773</v>
      </c>
      <c r="C39" s="463" t="s">
        <v>774</v>
      </c>
      <c r="D39" s="463" t="s">
        <v>775</v>
      </c>
      <c r="E39" s="464" t="s">
        <v>776</v>
      </c>
      <c r="F39" s="2274"/>
      <c r="G39" s="2273"/>
      <c r="H39" s="2273"/>
      <c r="I39" s="2273"/>
    </row>
    <row r="40" spans="1:15" ht="13.5">
      <c r="A40" s="1247" t="s">
        <v>777</v>
      </c>
      <c r="B40" s="490"/>
      <c r="C40" s="491"/>
      <c r="D40" s="491"/>
      <c r="E40" s="492"/>
      <c r="F40" s="2274"/>
      <c r="G40" s="2273"/>
      <c r="H40" s="2273"/>
      <c r="I40" s="2273"/>
    </row>
    <row r="41" spans="1:15" ht="13.5">
      <c r="A41" s="1247" t="s">
        <v>778</v>
      </c>
      <c r="B41" s="490"/>
      <c r="C41" s="491"/>
      <c r="D41" s="491"/>
      <c r="E41" s="492"/>
      <c r="F41" s="2274"/>
      <c r="G41" s="2273"/>
      <c r="H41" s="2273"/>
      <c r="I41" s="2273"/>
    </row>
    <row r="42" spans="1:15" ht="14.25" thickBot="1">
      <c r="A42" s="1248"/>
      <c r="B42" s="493"/>
      <c r="C42" s="494"/>
      <c r="D42" s="494"/>
      <c r="E42" s="495"/>
      <c r="F42" s="2274"/>
      <c r="G42" s="2273"/>
      <c r="H42" s="2273"/>
      <c r="I42" s="2273"/>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62" t="s">
        <v>212</v>
      </c>
      <c r="K44" s="3263"/>
      <c r="L44" s="3263"/>
      <c r="M44" s="3263"/>
      <c r="N44" s="3263"/>
      <c r="O44" s="3263"/>
    </row>
    <row r="45" spans="1:15" ht="14.25" customHeight="1" thickBot="1">
      <c r="A45" s="3743" t="s">
        <v>799</v>
      </c>
      <c r="B45" s="3744"/>
      <c r="C45" s="3745"/>
      <c r="D45" s="496">
        <f ca="1">ROUND(H101*F45,0)</f>
        <v>129758</v>
      </c>
      <c r="E45" s="497" t="s">
        <v>800</v>
      </c>
      <c r="F45" s="498">
        <v>1</v>
      </c>
      <c r="G45" s="499" t="s">
        <v>801</v>
      </c>
      <c r="H45" s="2273"/>
      <c r="I45" s="2273"/>
      <c r="J45" s="3653" t="s">
        <v>213</v>
      </c>
      <c r="K45" s="3653"/>
      <c r="L45" s="3653"/>
      <c r="M45" s="3653"/>
      <c r="N45" s="3653"/>
      <c r="O45" s="3653"/>
    </row>
    <row r="46" spans="1:15" ht="14.25" customHeight="1">
      <c r="A46" s="3740" t="s">
        <v>285</v>
      </c>
      <c r="B46" s="3741"/>
      <c r="C46" s="3741"/>
      <c r="D46" s="3741"/>
      <c r="E46" s="3741"/>
      <c r="F46" s="3741"/>
      <c r="G46" s="3742"/>
      <c r="H46" s="2275"/>
      <c r="I46" s="2228"/>
      <c r="J46" s="1497">
        <v>1</v>
      </c>
      <c r="K46" s="3653" t="s">
        <v>214</v>
      </c>
      <c r="L46" s="3653"/>
      <c r="M46" s="3654"/>
      <c r="N46" s="3654"/>
      <c r="O46" s="3654"/>
    </row>
    <row r="47" spans="1:15" ht="12" customHeight="1">
      <c r="A47" s="501" t="s">
        <v>286</v>
      </c>
      <c r="B47" s="502"/>
      <c r="C47" s="503"/>
      <c r="D47" s="504" t="s">
        <v>287</v>
      </c>
      <c r="E47" s="313" t="s">
        <v>288</v>
      </c>
      <c r="F47" s="505" t="s">
        <v>802</v>
      </c>
      <c r="G47" s="506" t="s">
        <v>803</v>
      </c>
      <c r="H47" s="2275"/>
      <c r="I47" s="2228"/>
      <c r="J47" s="1497">
        <v>2</v>
      </c>
      <c r="K47" s="3653" t="s">
        <v>215</v>
      </c>
      <c r="L47" s="3653"/>
      <c r="M47" s="3655">
        <f>'数据-取费表'!B2</f>
        <v>42970</v>
      </c>
      <c r="N47" s="3655"/>
      <c r="O47" s="3655"/>
    </row>
    <row r="48" spans="1:15" ht="25.5">
      <c r="A48" s="3726" t="s">
        <v>289</v>
      </c>
      <c r="B48" s="3727"/>
      <c r="C48" s="3727"/>
      <c r="D48" s="471">
        <f>IF(H48="情况1",0,IF(H48="情况2",D52,IF(H48="情况3",D53,IF(H48="情况4",D54))))</f>
        <v>0</v>
      </c>
      <c r="E48" s="1920" t="str">
        <f>IF(H48="情况4","(销售额-原购置价)×税（费）率","销售额×税（费）率")</f>
        <v>销售额×税（费）率</v>
      </c>
      <c r="F48" s="507" t="str">
        <f>IF(H48="情况1","免征",'数据-取费表'!B41)</f>
        <v>免征</v>
      </c>
      <c r="G48" s="465" t="s">
        <v>780</v>
      </c>
      <c r="H48" s="1431" t="s">
        <v>2409</v>
      </c>
      <c r="I48" s="2275"/>
      <c r="J48" s="1497">
        <v>3</v>
      </c>
      <c r="K48" s="3653" t="s">
        <v>781</v>
      </c>
      <c r="L48" s="3653"/>
      <c r="M48" s="3656">
        <f ca="1">H101</f>
        <v>129758</v>
      </c>
      <c r="N48" s="3656"/>
      <c r="O48" s="3656"/>
    </row>
    <row r="49" spans="1:35" ht="25.5" customHeight="1">
      <c r="A49" s="508" t="s">
        <v>804</v>
      </c>
      <c r="B49" s="3706" t="s">
        <v>805</v>
      </c>
      <c r="C49" s="3706"/>
      <c r="D49" s="509">
        <v>0</v>
      </c>
      <c r="E49" s="312" t="s">
        <v>806</v>
      </c>
      <c r="F49" s="317" t="s">
        <v>169</v>
      </c>
      <c r="G49" s="3685"/>
      <c r="H49" s="2273"/>
      <c r="I49" s="2276"/>
      <c r="J49" s="1497">
        <v>4</v>
      </c>
      <c r="K49" s="3653" t="str">
        <f>IF(项目基本情况!E8="房地产抵押价值","房地产抵押价值","抵押担保权已注销时的房地产抵押价值")</f>
        <v>抵押担保权已注销时的房地产抵押价值</v>
      </c>
      <c r="L49" s="3653"/>
      <c r="M49" s="3656" t="str">
        <f>IF(项目基本情况!E8="房地产抵押价值",H107,H109)</f>
        <v>——</v>
      </c>
      <c r="N49" s="3656"/>
      <c r="O49" s="3656"/>
    </row>
    <row r="50" spans="1:35" ht="25.5" customHeight="1">
      <c r="A50" s="510"/>
      <c r="B50" s="3706" t="s">
        <v>292</v>
      </c>
      <c r="C50" s="3706"/>
      <c r="D50" s="511"/>
      <c r="E50" s="320"/>
      <c r="F50" s="512"/>
      <c r="G50" s="3686"/>
      <c r="H50" s="2273"/>
      <c r="I50" s="2276"/>
      <c r="J50" s="3653" t="s">
        <v>216</v>
      </c>
      <c r="K50" s="3653"/>
      <c r="L50" s="3653"/>
      <c r="M50" s="3653"/>
      <c r="N50" s="3653"/>
      <c r="O50" s="3653"/>
    </row>
    <row r="51" spans="1:35" ht="12" customHeight="1">
      <c r="A51" s="513"/>
      <c r="B51" s="3706" t="s">
        <v>293</v>
      </c>
      <c r="C51" s="3706"/>
      <c r="D51" s="514"/>
      <c r="E51" s="319"/>
      <c r="F51" s="512"/>
      <c r="G51" s="3687"/>
      <c r="H51" s="2273"/>
      <c r="I51" s="2276"/>
      <c r="J51" s="3264" t="s">
        <v>217</v>
      </c>
      <c r="K51" s="3653" t="s">
        <v>218</v>
      </c>
      <c r="L51" s="3653"/>
      <c r="M51" s="3264" t="s">
        <v>2993</v>
      </c>
      <c r="N51" s="3264" t="s">
        <v>219</v>
      </c>
      <c r="O51" s="3264" t="s">
        <v>220</v>
      </c>
    </row>
    <row r="52" spans="1:35" ht="24" customHeight="1">
      <c r="A52" s="515" t="s">
        <v>294</v>
      </c>
      <c r="B52" s="3706" t="s">
        <v>295</v>
      </c>
      <c r="C52" s="3706"/>
      <c r="D52" s="514">
        <f ca="1">ROUND(D45*'数据-取费表'!B41/(1+'数据-取费表'!C42),0)</f>
        <v>6920</v>
      </c>
      <c r="E52" s="299" t="s">
        <v>296</v>
      </c>
      <c r="F52" s="516">
        <f>'数据-取费表'!B41</f>
        <v>5.6000000000000001E-2</v>
      </c>
      <c r="G52" s="466"/>
      <c r="H52" s="2273"/>
      <c r="I52" s="2276"/>
      <c r="J52" s="1497">
        <v>1</v>
      </c>
      <c r="K52" s="3679" t="s">
        <v>782</v>
      </c>
      <c r="L52" s="3679"/>
      <c r="M52" s="3265">
        <f>D48</f>
        <v>0</v>
      </c>
      <c r="N52" s="1496" t="str">
        <f>E48</f>
        <v>销售额×税（费）率</v>
      </c>
      <c r="O52" s="3266" t="str">
        <f>F48</f>
        <v>免征</v>
      </c>
    </row>
    <row r="53" spans="1:35" ht="12" customHeight="1">
      <c r="A53" s="515" t="s">
        <v>297</v>
      </c>
      <c r="B53" s="3707" t="s">
        <v>298</v>
      </c>
      <c r="C53" s="3708"/>
      <c r="D53" s="514">
        <f ca="1">ROUND(D45*'数据-取费表'!B41/(1+'数据-取费表'!C42),0)</f>
        <v>6920</v>
      </c>
      <c r="E53" s="299" t="s">
        <v>296</v>
      </c>
      <c r="F53" s="516">
        <f>'数据-取费表'!B41</f>
        <v>5.6000000000000001E-2</v>
      </c>
      <c r="G53" s="466"/>
      <c r="H53" s="2273"/>
      <c r="I53" s="2276"/>
      <c r="J53" s="1497">
        <v>2</v>
      </c>
      <c r="K53" s="3679" t="s">
        <v>783</v>
      </c>
      <c r="L53" s="3679"/>
      <c r="M53" s="3265">
        <f t="shared" ref="M53:O54" ca="1" si="0">D55</f>
        <v>65</v>
      </c>
      <c r="N53" s="1496" t="str">
        <f t="shared" si="0"/>
        <v>销售额×税（费）率</v>
      </c>
      <c r="O53" s="3266">
        <f t="shared" si="0"/>
        <v>5.0000000000000001E-4</v>
      </c>
    </row>
    <row r="54" spans="1:35" ht="12" customHeight="1">
      <c r="A54" s="515" t="s">
        <v>299</v>
      </c>
      <c r="B54" s="3707" t="s">
        <v>300</v>
      </c>
      <c r="C54" s="3708"/>
      <c r="D54" s="514">
        <f ca="1">C68</f>
        <v>6920</v>
      </c>
      <c r="E54" s="319" t="s">
        <v>301</v>
      </c>
      <c r="F54" s="516">
        <f>'数据-取费表'!B41</f>
        <v>5.6000000000000001E-2</v>
      </c>
      <c r="G54" s="466"/>
      <c r="H54" s="2277"/>
      <c r="I54" s="2276"/>
      <c r="J54" s="1497">
        <v>3</v>
      </c>
      <c r="K54" s="3679" t="s">
        <v>784</v>
      </c>
      <c r="L54" s="3679"/>
      <c r="M54" s="3265">
        <f t="shared" ca="1" si="0"/>
        <v>73443</v>
      </c>
      <c r="N54" s="1496" t="str">
        <f t="shared" si="0"/>
        <v>增值额×税（费）率</v>
      </c>
      <c r="O54" s="3267" t="str">
        <f t="shared" si="0"/>
        <v>——</v>
      </c>
    </row>
    <row r="55" spans="1:35" ht="24" customHeight="1">
      <c r="A55" s="3749" t="s">
        <v>302</v>
      </c>
      <c r="B55" s="3727"/>
      <c r="C55" s="3727"/>
      <c r="D55" s="517">
        <f ca="1">IF(H55="个人住宅",0,ROUND(D45*I55,0))</f>
        <v>65</v>
      </c>
      <c r="E55" s="299" t="s">
        <v>303</v>
      </c>
      <c r="F55" s="516">
        <f>IF(H55="正常",I55,"免征")</f>
        <v>5.0000000000000001E-4</v>
      </c>
      <c r="G55" s="466"/>
      <c r="H55" s="1431" t="s">
        <v>153</v>
      </c>
      <c r="I55" s="518">
        <f>'数据-取费表'!B49</f>
        <v>5.0000000000000001E-4</v>
      </c>
      <c r="J55" s="1497" t="str">
        <f>IF(H59="非个人房产","",4)</f>
        <v/>
      </c>
      <c r="K55" s="3679" t="str">
        <f>IF(H59="非个人房产","——","个人所得税")</f>
        <v>——</v>
      </c>
      <c r="L55" s="3679"/>
      <c r="M55" s="3268" t="str">
        <f>D59</f>
        <v>——</v>
      </c>
      <c r="N55" s="3269" t="str">
        <f>E59</f>
        <v>——</v>
      </c>
      <c r="O55" s="3270" t="str">
        <f>F59</f>
        <v>——</v>
      </c>
    </row>
    <row r="56" spans="1:35" ht="24.75">
      <c r="A56" s="3749" t="s">
        <v>304</v>
      </c>
      <c r="B56" s="3727"/>
      <c r="C56" s="3727"/>
      <c r="D56" s="517">
        <f ca="1">IF(H56="个人住宅",D57,D58)</f>
        <v>73443</v>
      </c>
      <c r="E56" s="299" t="s">
        <v>305</v>
      </c>
      <c r="F56" s="516" t="str">
        <f>IF(H56="正常",F58,"免征")</f>
        <v>——</v>
      </c>
      <c r="G56" s="1255" t="s">
        <v>785</v>
      </c>
      <c r="H56" s="1430" t="s">
        <v>153</v>
      </c>
      <c r="I56" s="2278"/>
      <c r="J56" s="1497" t="str">
        <f>IF(项目基本情况!K6="上海银行",IF(J55="",4,J55+1),"")</f>
        <v/>
      </c>
      <c r="K56" s="3659" t="str">
        <f>IF(项目基本情况!K6="上海银行","其他处置费用","")</f>
        <v/>
      </c>
      <c r="L56" s="3660"/>
      <c r="M56" s="3265" t="str">
        <f>IF(项目基本情况!K6="上海银行",M69,"")</f>
        <v/>
      </c>
      <c r="N56" s="3662" t="str">
        <f>IF(项目基本情况!K6="上海银行","包含处置中涉及的律师、诉讼、拍卖、评估等费用","")</f>
        <v/>
      </c>
      <c r="O56" s="3663"/>
    </row>
    <row r="57" spans="1:35" ht="12.75">
      <c r="A57" s="515" t="s">
        <v>290</v>
      </c>
      <c r="B57" s="3712" t="s">
        <v>306</v>
      </c>
      <c r="C57" s="3713"/>
      <c r="D57" s="519">
        <v>0</v>
      </c>
      <c r="E57" s="312" t="s">
        <v>291</v>
      </c>
      <c r="F57" s="487"/>
      <c r="G57" s="466"/>
      <c r="H57" s="2278"/>
      <c r="I57" s="2278"/>
      <c r="J57" s="3691">
        <f>IF(AND(J55="",J56=""),4,IF(项目基本情况!K6="上海银行",结果表!J56+1,结果表!J55+1))</f>
        <v>4</v>
      </c>
      <c r="K57" s="3679" t="s">
        <v>786</v>
      </c>
      <c r="L57" s="3271" t="s">
        <v>221</v>
      </c>
      <c r="M57" s="3272"/>
      <c r="N57" s="3273">
        <f ca="1">SUMIF(M52:M56,"&lt;9e307")</f>
        <v>73508</v>
      </c>
      <c r="O57" s="3274"/>
      <c r="P57" s="3261" t="e">
        <f ca="1">N57/M49</f>
        <v>#VALUE!</v>
      </c>
    </row>
    <row r="58" spans="1:35" ht="24.75">
      <c r="A58" s="515" t="s">
        <v>294</v>
      </c>
      <c r="B58" s="3712" t="s">
        <v>307</v>
      </c>
      <c r="C58" s="3725"/>
      <c r="D58" s="517">
        <f ca="1">IF(H58="转让取得",C81,C97)</f>
        <v>73443</v>
      </c>
      <c r="E58" s="299" t="s">
        <v>305</v>
      </c>
      <c r="F58" s="313" t="s">
        <v>169</v>
      </c>
      <c r="G58" s="466"/>
      <c r="H58" s="1430" t="s">
        <v>1133</v>
      </c>
      <c r="I58" s="2278"/>
      <c r="J58" s="3691"/>
      <c r="K58" s="3679"/>
      <c r="L58" s="3271" t="s">
        <v>222</v>
      </c>
      <c r="M58" s="3275"/>
      <c r="N58" s="3276" t="str">
        <f ca="1">NUMBERSTRING(INT(N57*10000),2)&amp;"元整"</f>
        <v>柒亿叁仟伍佰零捌万元整</v>
      </c>
      <c r="O58" s="3277"/>
    </row>
    <row r="59" spans="1:35" ht="24.75" thickBot="1">
      <c r="A59" s="3683" t="s">
        <v>308</v>
      </c>
      <c r="B59" s="3684"/>
      <c r="C59" s="3684"/>
      <c r="D59" s="520" t="str">
        <f>IF(H59="非个人房产","——",IF(H59="个人住宅",0,ROUND(D45*I59,0)))</f>
        <v>——</v>
      </c>
      <c r="E59" s="521" t="str">
        <f>IF(H59="非个人房产","——","销售额×税（费）率")</f>
        <v>——</v>
      </c>
      <c r="F59" s="522" t="str">
        <f>IF(H59="非个人房产","——",IF(H59="个人住宅","免征",I59))</f>
        <v>——</v>
      </c>
      <c r="G59" s="1256" t="s">
        <v>168</v>
      </c>
      <c r="H59" s="1430" t="s">
        <v>1132</v>
      </c>
      <c r="I59" s="523">
        <v>0.01</v>
      </c>
      <c r="J59" s="3681">
        <f>J57+1</f>
        <v>5</v>
      </c>
      <c r="K59" s="3679" t="s">
        <v>170</v>
      </c>
      <c r="L59" s="1496" t="s">
        <v>221</v>
      </c>
      <c r="M59" s="3278"/>
      <c r="N59" s="3279" t="e">
        <f ca="1">M49-N57</f>
        <v>#VALUE!</v>
      </c>
      <c r="O59" s="3280"/>
    </row>
    <row r="60" spans="1:35" ht="12" customHeight="1">
      <c r="A60" s="1257"/>
      <c r="B60" s="1242"/>
      <c r="C60" s="1242"/>
      <c r="D60" s="1242"/>
      <c r="E60" s="229"/>
      <c r="F60" s="2278"/>
      <c r="G60" s="2278"/>
      <c r="H60" s="2279"/>
      <c r="I60" s="2273"/>
      <c r="J60" s="3682"/>
      <c r="K60" s="3679"/>
      <c r="L60" s="3271" t="s">
        <v>222</v>
      </c>
      <c r="M60" s="3275"/>
      <c r="N60" s="3276" t="e">
        <f ca="1">NUMBERSTRING(INT(N59*10000),2)&amp;"元整"</f>
        <v>#VALUE!</v>
      </c>
      <c r="O60" s="3277"/>
    </row>
    <row r="61" spans="1:35" ht="13.5" thickBot="1">
      <c r="A61" s="3748" t="s">
        <v>309</v>
      </c>
      <c r="B61" s="3748"/>
      <c r="C61" s="3748"/>
      <c r="D61" s="3748"/>
      <c r="E61" s="3748"/>
      <c r="F61" s="2278"/>
      <c r="G61" s="2278"/>
      <c r="H61" s="2279"/>
      <c r="I61" s="2273"/>
      <c r="J61" s="1497">
        <f>J59+1</f>
        <v>6</v>
      </c>
      <c r="K61" s="3679" t="s">
        <v>223</v>
      </c>
      <c r="L61" s="3679"/>
      <c r="M61" s="3281"/>
      <c r="N61" s="3282" t="e">
        <f ca="1">ROUND(N59*10000/'数据-汇总表'!E3,0)</f>
        <v>#VALUE!</v>
      </c>
      <c r="O61" s="3283"/>
    </row>
    <row r="62" spans="1:35" ht="12.75">
      <c r="A62" s="3700" t="s">
        <v>310</v>
      </c>
      <c r="B62" s="3701"/>
      <c r="C62" s="1914"/>
      <c r="D62" s="1914" t="s">
        <v>318</v>
      </c>
      <c r="E62" s="524" t="s">
        <v>319</v>
      </c>
      <c r="F62" s="2278"/>
      <c r="G62" s="2278"/>
      <c r="H62" s="2279"/>
      <c r="I62" s="2273"/>
    </row>
    <row r="63" spans="1:35" ht="12.75">
      <c r="A63" s="535" t="s">
        <v>1895</v>
      </c>
      <c r="B63" s="525" t="s">
        <v>311</v>
      </c>
      <c r="C63" s="526">
        <f ca="1">ROUND((C64+C65)/(1+'数据-取费表'!C42),0)</f>
        <v>123579</v>
      </c>
      <c r="D63" s="527"/>
      <c r="E63" s="528"/>
      <c r="F63" s="2278"/>
      <c r="G63" s="2278"/>
      <c r="H63" s="2279"/>
      <c r="I63" s="2273"/>
      <c r="J63" s="3661" t="s">
        <v>2986</v>
      </c>
      <c r="K63" s="3260" t="s">
        <v>2987</v>
      </c>
      <c r="L63" s="3258" t="e">
        <f>IF(M49&gt;10000,M49*0.5%,IF(AND(M49&gt;1000,M49&lt;=10000),M49*1%,IF(AND(M49&gt;100,M49&lt;=1000),M49*3%,IF(AND(M49&gt;10,M49&lt;=100),M49*5%,M49*8%))))</f>
        <v>#VALUE!</v>
      </c>
      <c r="M63" s="313" t="e">
        <f>ROUND(L63,1)</f>
        <v>#VALUE!</v>
      </c>
      <c r="Z63" s="1433"/>
      <c r="AI63" s="1243"/>
    </row>
    <row r="64" spans="1:35" ht="14.25" customHeight="1">
      <c r="A64" s="529" t="s">
        <v>1890</v>
      </c>
      <c r="B64" s="530" t="s">
        <v>312</v>
      </c>
      <c r="C64" s="531">
        <f ca="1">D45</f>
        <v>129758</v>
      </c>
      <c r="D64" s="532" t="s">
        <v>165</v>
      </c>
      <c r="E64" s="533"/>
      <c r="F64" s="2278"/>
      <c r="G64" s="2278"/>
      <c r="H64" s="2279"/>
      <c r="I64" s="2273"/>
      <c r="J64" s="3661"/>
      <c r="K64" s="3260" t="s">
        <v>2988</v>
      </c>
      <c r="L64" s="3258"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2994</v>
      </c>
      <c r="Z64" s="1433"/>
      <c r="AI64" s="1243"/>
    </row>
    <row r="65" spans="1:35" ht="14.25" customHeight="1">
      <c r="A65" s="529" t="s">
        <v>1891</v>
      </c>
      <c r="B65" s="530" t="s">
        <v>313</v>
      </c>
      <c r="C65" s="534"/>
      <c r="D65" s="532"/>
      <c r="E65" s="533"/>
      <c r="F65" s="2278"/>
      <c r="G65" s="2278"/>
      <c r="H65" s="2279"/>
      <c r="I65" s="2273"/>
      <c r="J65" s="3661"/>
      <c r="K65" s="3260" t="s">
        <v>2989</v>
      </c>
      <c r="L65" s="3258" t="e">
        <f>IF(M49&gt;1000,M49*0.1%,IF(AND(M49&gt;500,M49&lt;=1000),M49*0.5%,IF(AND(M49&gt;50,M49&lt;=500),M49*1%,IF(AND(M49&gt;1,M49&lt;=50),M49*1.5%))))</f>
        <v>#VALUE!</v>
      </c>
      <c r="M65" s="313" t="e">
        <f t="shared" si="1"/>
        <v>#VALUE!</v>
      </c>
      <c r="N65" s="469" t="s">
        <v>2995</v>
      </c>
      <c r="Z65" s="1433"/>
      <c r="AI65" s="1243"/>
    </row>
    <row r="66" spans="1:35" ht="14.25" customHeight="1">
      <c r="A66" s="535" t="s">
        <v>1892</v>
      </c>
      <c r="B66" s="536" t="s">
        <v>314</v>
      </c>
      <c r="C66" s="537"/>
      <c r="D66" s="538" t="s">
        <v>165</v>
      </c>
      <c r="E66" s="3312" t="s">
        <v>3030</v>
      </c>
      <c r="F66" s="2278"/>
      <c r="G66" s="2278"/>
      <c r="H66" s="2279"/>
      <c r="I66" s="2273"/>
      <c r="J66" s="3661"/>
      <c r="K66" s="3260" t="s">
        <v>2990</v>
      </c>
      <c r="L66" s="3258" t="e">
        <f>M49*0.5%</f>
        <v>#VALUE!</v>
      </c>
      <c r="M66" s="313" t="e">
        <f>IF(L66&gt;0.5,0.5,ROUND(L66,0))</f>
        <v>#VALUE!</v>
      </c>
      <c r="N66" s="469" t="s">
        <v>2996</v>
      </c>
      <c r="Z66" s="1433"/>
      <c r="AI66" s="1243"/>
    </row>
    <row r="67" spans="1:35" ht="14.25" customHeight="1">
      <c r="A67" s="535" t="s">
        <v>1893</v>
      </c>
      <c r="B67" s="536" t="s">
        <v>315</v>
      </c>
      <c r="C67" s="539">
        <f ca="1">C63-C66</f>
        <v>123579</v>
      </c>
      <c r="D67" s="532" t="s">
        <v>165</v>
      </c>
      <c r="E67" s="533"/>
      <c r="F67" s="2278"/>
      <c r="G67" s="2278"/>
      <c r="H67" s="2279"/>
      <c r="I67" s="2273"/>
      <c r="J67" s="3661"/>
      <c r="K67" s="3260" t="s">
        <v>2991</v>
      </c>
      <c r="L67" s="3258"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3"/>
      <c r="AI67" s="1243"/>
    </row>
    <row r="68" spans="1:35" ht="14.25" customHeight="1" thickBot="1">
      <c r="A68" s="540" t="s">
        <v>1894</v>
      </c>
      <c r="B68" s="541" t="s">
        <v>316</v>
      </c>
      <c r="C68" s="542">
        <f ca="1">IF(C67&lt;=0,0,ROUND(C67*D68,0))</f>
        <v>6920</v>
      </c>
      <c r="D68" s="543">
        <f>'数据-取费表'!B41</f>
        <v>5.6000000000000001E-2</v>
      </c>
      <c r="E68" s="544"/>
      <c r="F68" s="2278"/>
      <c r="G68" s="2278"/>
      <c r="H68" s="2279"/>
      <c r="I68" s="2273"/>
      <c r="J68" s="3661"/>
      <c r="K68" s="3260" t="s">
        <v>2992</v>
      </c>
      <c r="L68" s="3258" t="e">
        <f>IF(M49&gt;10000,M49*0.5%,IF(AND(M49&gt;5000,M49&lt;=10000),M49*1%,IF(AND(M49&gt;1000,M49&lt;=5000),M49*2%,IF(AND(M49&gt;200,M49&lt;=1000),M49*3%,M49*5%))))</f>
        <v>#VALUE!</v>
      </c>
      <c r="M68" s="313" t="e">
        <f>ROUND(L68,1)</f>
        <v>#VALUE!</v>
      </c>
      <c r="Z68" s="1433"/>
      <c r="AI68" s="1243"/>
    </row>
    <row r="69" spans="1:35" s="1244" customFormat="1" ht="16.5" customHeight="1">
      <c r="A69" s="1258"/>
      <c r="B69" s="1259"/>
      <c r="C69" s="1260"/>
      <c r="D69" s="1261"/>
      <c r="E69" s="1262"/>
      <c r="F69" s="229"/>
      <c r="G69" s="229"/>
      <c r="H69" s="241"/>
      <c r="I69" s="1242"/>
      <c r="J69" s="3661"/>
      <c r="K69" s="3260" t="s">
        <v>185</v>
      </c>
      <c r="L69" s="3259"/>
      <c r="M69" s="313" t="e">
        <f>ROUND(SUM(M63:M68),0)</f>
        <v>#VALUE!</v>
      </c>
      <c r="N69" s="3261" t="e">
        <f>M69/M49</f>
        <v>#VALUE!</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710" t="s">
        <v>317</v>
      </c>
      <c r="B70" s="3711"/>
      <c r="C70" s="3711"/>
      <c r="D70" s="3711"/>
      <c r="E70" s="3711"/>
      <c r="F70" s="3711"/>
      <c r="G70" s="3711"/>
      <c r="H70" s="3711"/>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c r="A71" s="3700" t="s">
        <v>310</v>
      </c>
      <c r="B71" s="3701"/>
      <c r="C71" s="1914"/>
      <c r="D71" s="1914" t="s">
        <v>318</v>
      </c>
      <c r="E71" s="545" t="s">
        <v>319</v>
      </c>
      <c r="F71" s="546"/>
      <c r="G71" s="546"/>
      <c r="H71" s="547"/>
      <c r="I71" s="2280"/>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c r="A72" s="535" t="s">
        <v>1895</v>
      </c>
      <c r="B72" s="536" t="s">
        <v>320</v>
      </c>
      <c r="C72" s="539">
        <f ca="1">ROUND(D45/(1+'数据-取费表'!C42),0)</f>
        <v>123579</v>
      </c>
      <c r="D72" s="532" t="s">
        <v>165</v>
      </c>
      <c r="E72" s="1917"/>
      <c r="F72" s="1918"/>
      <c r="G72" s="1918"/>
      <c r="H72" s="548"/>
      <c r="I72" s="2280"/>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c r="A73" s="535" t="s">
        <v>1892</v>
      </c>
      <c r="B73" s="505" t="s">
        <v>321</v>
      </c>
      <c r="C73" s="539">
        <f ca="1">C74+C78</f>
        <v>741</v>
      </c>
      <c r="D73" s="532" t="s">
        <v>165</v>
      </c>
      <c r="E73" s="1917"/>
      <c r="F73" s="1918"/>
      <c r="G73" s="1918"/>
      <c r="H73" s="548"/>
      <c r="I73" s="2280"/>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c r="A74" s="549" t="s">
        <v>1896</v>
      </c>
      <c r="B74" s="530" t="s">
        <v>322</v>
      </c>
      <c r="C74" s="532">
        <f>ROUND(IF(G77="2016年5月1日后购买",C75/(1+'数据-取费表'!C42)+C76+C77,C75+C76+C77),0)</f>
        <v>0</v>
      </c>
      <c r="D74" s="532" t="s">
        <v>165</v>
      </c>
      <c r="E74" s="1917"/>
      <c r="F74" s="1918"/>
      <c r="G74" s="1918"/>
      <c r="H74" s="548"/>
      <c r="I74" s="2280"/>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c r="A75" s="549" t="s">
        <v>1897</v>
      </c>
      <c r="B75" s="530" t="s">
        <v>323</v>
      </c>
      <c r="C75" s="550"/>
      <c r="D75" s="532" t="s">
        <v>165</v>
      </c>
      <c r="E75" s="551" t="s">
        <v>324</v>
      </c>
      <c r="F75" s="1426" t="s">
        <v>2410</v>
      </c>
      <c r="G75" s="551" t="s">
        <v>796</v>
      </c>
      <c r="H75" s="552"/>
      <c r="I75" s="2281"/>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customHeight="1">
      <c r="A76" s="549" t="s">
        <v>1899</v>
      </c>
      <c r="B76" s="553" t="s">
        <v>325</v>
      </c>
      <c r="C76" s="532">
        <f>IF(F75="购房发票",ROUND(C75*H75*D76,0),0)</f>
        <v>0</v>
      </c>
      <c r="D76" s="554">
        <v>0.05</v>
      </c>
      <c r="E76" s="3707" t="s">
        <v>326</v>
      </c>
      <c r="F76" s="3706"/>
      <c r="G76" s="3706"/>
      <c r="H76" s="3709"/>
      <c r="I76" s="2280"/>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customHeight="1">
      <c r="A77" s="549" t="s">
        <v>1900</v>
      </c>
      <c r="B77" s="530" t="s">
        <v>327</v>
      </c>
      <c r="C77" s="532">
        <f>ROUND(IF(G77="个人住宅",0,IF(G77="2016年5月1日前购买",C75*D77,C75*D77/(1+'数据-取费表'!C42))),0)</f>
        <v>0</v>
      </c>
      <c r="D77" s="555">
        <f>'数据-取费表'!B48+'数据-取费表'!B49</f>
        <v>3.0499999999999999E-2</v>
      </c>
      <c r="E77" s="303" t="s">
        <v>797</v>
      </c>
      <c r="F77" s="556"/>
      <c r="G77" s="1427" t="s">
        <v>2501</v>
      </c>
      <c r="H77" s="1919" t="str">
        <f>IF(G77="个人买卖住房","免征印花税"," ")</f>
        <v/>
      </c>
      <c r="I77" s="2280"/>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customHeight="1">
      <c r="A78" s="549" t="s">
        <v>1898</v>
      </c>
      <c r="B78" s="530" t="s">
        <v>328</v>
      </c>
      <c r="C78" s="557">
        <f ca="1">ROUND(D45*D78/(1+'数据-取费表'!C42),0)</f>
        <v>741</v>
      </c>
      <c r="D78" s="558">
        <f>'数据-取费表'!B43</f>
        <v>6.000000000000001E-3</v>
      </c>
      <c r="E78" s="3702" t="s">
        <v>2502</v>
      </c>
      <c r="F78" s="3698"/>
      <c r="G78" s="3698"/>
      <c r="H78" s="3699"/>
      <c r="I78" s="2282"/>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c r="A79" s="1796" t="s">
        <v>1901</v>
      </c>
      <c r="B79" s="536" t="s">
        <v>329</v>
      </c>
      <c r="C79" s="539">
        <f ca="1">C72-C73</f>
        <v>122838</v>
      </c>
      <c r="D79" s="532" t="s">
        <v>165</v>
      </c>
      <c r="E79" s="1917"/>
      <c r="F79" s="1918"/>
      <c r="G79" s="1918"/>
      <c r="H79" s="548"/>
      <c r="I79" s="2280"/>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c r="A80" s="1796" t="s">
        <v>1902</v>
      </c>
      <c r="B80" s="536" t="s">
        <v>330</v>
      </c>
      <c r="C80" s="559">
        <f ca="1">IF(C79&lt;=0,0,C79/C73)</f>
        <v>165.77327935222672</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thickBot="1">
      <c r="A81" s="1797" t="s">
        <v>1903</v>
      </c>
      <c r="B81" s="541" t="s">
        <v>331</v>
      </c>
      <c r="C81" s="560">
        <f ca="1">ROUND(IF(C79&lt;=0,0,IF(C80&gt;=200%,C79*60%-C73*35%,IF(C80&gt;=100%,C79*50%-C73*15%,IF(C80&gt;=50%,C79*40%-C73*5%,IF(C80&lt;50%,C79*30%,0))))),0)</f>
        <v>73443</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2"/>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thickBot="1">
      <c r="A83" s="3710" t="s">
        <v>332</v>
      </c>
      <c r="B83" s="3711"/>
      <c r="C83" s="3711"/>
      <c r="D83" s="3711"/>
      <c r="E83" s="3711"/>
      <c r="F83" s="3711"/>
      <c r="G83" s="3711"/>
      <c r="H83" s="3711"/>
      <c r="I83" s="2281"/>
      <c r="J83" s="2131"/>
      <c r="K83" s="2131"/>
      <c r="L83" s="2131"/>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c r="A84" s="3700" t="s">
        <v>310</v>
      </c>
      <c r="B84" s="3701"/>
      <c r="C84" s="1914"/>
      <c r="D84" s="1914" t="s">
        <v>318</v>
      </c>
      <c r="E84" s="545" t="s">
        <v>319</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c r="A85" s="535" t="s">
        <v>1895</v>
      </c>
      <c r="B85" s="536" t="s">
        <v>320</v>
      </c>
      <c r="C85" s="539">
        <f ca="1">ROUND(D45/(1+'数据-取费表'!C42),0)</f>
        <v>123579</v>
      </c>
      <c r="D85" s="532" t="s">
        <v>165</v>
      </c>
      <c r="E85" s="1917"/>
      <c r="F85" s="1918"/>
      <c r="G85" s="1918"/>
      <c r="H85" s="566"/>
      <c r="I85" s="2281"/>
      <c r="J85" s="2131"/>
      <c r="K85" s="2131"/>
      <c r="L85" s="2131"/>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c r="A86" s="535" t="s">
        <v>1892</v>
      </c>
      <c r="B86" s="505" t="s">
        <v>321</v>
      </c>
      <c r="C86" s="539">
        <f ca="1">IF(H88="仅含出让金",C87+C90+C91+C92+C93+C94,C87+C91+C92+C93+C94)</f>
        <v>741</v>
      </c>
      <c r="D86" s="567"/>
      <c r="E86" s="1917"/>
      <c r="F86" s="1918"/>
      <c r="G86" s="1918"/>
      <c r="H86" s="566"/>
      <c r="I86" s="2281"/>
      <c r="J86" s="2131"/>
      <c r="K86" s="2131"/>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c r="A87" s="549" t="s">
        <v>1896</v>
      </c>
      <c r="B87" s="530" t="s">
        <v>333</v>
      </c>
      <c r="C87" s="557">
        <f>C88+C89</f>
        <v>0</v>
      </c>
      <c r="D87" s="558"/>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c r="A88" s="549" t="s">
        <v>1897</v>
      </c>
      <c r="B88" s="530" t="s">
        <v>334</v>
      </c>
      <c r="C88" s="568"/>
      <c r="D88" s="558"/>
      <c r="E88" s="569" t="s">
        <v>335</v>
      </c>
      <c r="F88" s="1913"/>
      <c r="G88" s="570" t="s">
        <v>336</v>
      </c>
      <c r="H88" s="1428"/>
      <c r="I88" s="2281"/>
      <c r="J88" s="2131"/>
      <c r="K88" s="2131"/>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c r="A89" s="549" t="s">
        <v>1899</v>
      </c>
      <c r="B89" s="530" t="s">
        <v>327</v>
      </c>
      <c r="C89" s="557">
        <f>ROUND(C88*D89,0)</f>
        <v>0</v>
      </c>
      <c r="D89" s="558">
        <f>'数据-取费表'!B48+'数据-取费表'!B49</f>
        <v>3.0499999999999999E-2</v>
      </c>
      <c r="E89" s="569" t="s">
        <v>337</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c r="A90" s="549" t="s">
        <v>1898</v>
      </c>
      <c r="B90" s="530" t="s">
        <v>338</v>
      </c>
      <c r="C90" s="568"/>
      <c r="D90" s="558"/>
      <c r="E90" s="569" t="str">
        <f>IF(H88="-","土地取得成本中已包含该笔费用"," ")</f>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customHeight="1">
      <c r="A91" s="1798" t="s">
        <v>1904</v>
      </c>
      <c r="B91" s="530" t="s">
        <v>339</v>
      </c>
      <c r="C91" s="557">
        <f>IF(H91="——",成本法!C33,I91)</f>
        <v>0</v>
      </c>
      <c r="D91" s="558"/>
      <c r="E91" s="3697" t="s">
        <v>798</v>
      </c>
      <c r="F91" s="3698"/>
      <c r="G91" s="3698"/>
      <c r="H91" s="1429" t="s">
        <v>2311</v>
      </c>
      <c r="I91" s="2178"/>
      <c r="J91" s="2131"/>
      <c r="K91" s="2131"/>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customHeight="1">
      <c r="A92" s="1798" t="s">
        <v>1905</v>
      </c>
      <c r="B92" s="530" t="s">
        <v>340</v>
      </c>
      <c r="C92" s="557">
        <f>ROUND((C87+C90+C91)*D92,0)</f>
        <v>0</v>
      </c>
      <c r="D92" s="558">
        <v>0.1</v>
      </c>
      <c r="E92" s="3697" t="s">
        <v>341</v>
      </c>
      <c r="F92" s="3698"/>
      <c r="G92" s="3698"/>
      <c r="H92" s="3699"/>
      <c r="I92" s="2281"/>
      <c r="J92" s="2131"/>
      <c r="K92" s="2131"/>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customHeight="1">
      <c r="A93" s="1798" t="s">
        <v>1906</v>
      </c>
      <c r="B93" s="530" t="s">
        <v>328</v>
      </c>
      <c r="C93" s="557">
        <f ca="1">ROUND(D45*D93/(1+'数据-取费表'!C42),0)</f>
        <v>741</v>
      </c>
      <c r="D93" s="558">
        <f>'数据-取费表'!B43</f>
        <v>6.000000000000001E-3</v>
      </c>
      <c r="E93" s="3702" t="s">
        <v>2502</v>
      </c>
      <c r="F93" s="3698"/>
      <c r="G93" s="3698"/>
      <c r="H93" s="3699"/>
      <c r="I93" s="2281"/>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36.75" customHeight="1">
      <c r="A94" s="1798" t="s">
        <v>1907</v>
      </c>
      <c r="B94" s="530" t="s">
        <v>342</v>
      </c>
      <c r="C94" s="568">
        <f>ROUND((C87+C90+C91)*D94,0)</f>
        <v>0</v>
      </c>
      <c r="D94" s="558">
        <v>0.2</v>
      </c>
      <c r="E94" s="3750" t="s">
        <v>3045</v>
      </c>
      <c r="F94" s="3751"/>
      <c r="G94" s="3751"/>
      <c r="H94" s="3752"/>
      <c r="I94" s="2281"/>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c r="A95" s="1796" t="s">
        <v>1901</v>
      </c>
      <c r="B95" s="536" t="s">
        <v>329</v>
      </c>
      <c r="C95" s="539">
        <f ca="1">ROUND(C85-C86,0)</f>
        <v>122838</v>
      </c>
      <c r="D95" s="532" t="s">
        <v>165</v>
      </c>
      <c r="E95" s="1917"/>
      <c r="F95" s="1918"/>
      <c r="G95" s="1918"/>
      <c r="H95" s="566"/>
      <c r="I95" s="2281"/>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c r="A96" s="1796" t="s">
        <v>1902</v>
      </c>
      <c r="B96" s="536" t="s">
        <v>330</v>
      </c>
      <c r="C96" s="559">
        <f ca="1">IF(C95&lt;=0,0,C95/C86)</f>
        <v>165.77327935222672</v>
      </c>
      <c r="D96" s="532"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1"/>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thickBot="1">
      <c r="A97" s="1797" t="s">
        <v>1903</v>
      </c>
      <c r="B97" s="541" t="s">
        <v>331</v>
      </c>
      <c r="C97" s="560">
        <f ca="1">ROUND(IF(C95&lt;=0,0,IF(C96&gt;=200%,C95*60%-C86*35%,IF(C96&gt;=100%,C95*50%-C86*15%,IF(C96&gt;=50%,C95*40%-C86*5%,IF(C96&lt;50%,C95*30%,0))))),0)</f>
        <v>73443</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3"/>
    </row>
    <row r="99" spans="1:35" ht="21.75" customHeight="1" thickBot="1">
      <c r="A99" s="1251" t="s">
        <v>227</v>
      </c>
      <c r="B99" s="1242"/>
      <c r="C99" s="1242"/>
      <c r="D99" s="1242"/>
      <c r="E99" s="229"/>
      <c r="F99" s="229"/>
      <c r="G99" s="229"/>
      <c r="H99" s="241"/>
      <c r="I99" s="2273"/>
    </row>
    <row r="100" spans="1:35" ht="18.75" customHeight="1">
      <c r="A100" s="3645" t="s">
        <v>228</v>
      </c>
      <c r="B100" s="3646"/>
      <c r="C100" s="3646"/>
      <c r="D100" s="3680"/>
      <c r="E100" s="3646" t="s">
        <v>2899</v>
      </c>
      <c r="F100" s="3646"/>
      <c r="G100" s="3646"/>
      <c r="H100" s="3680"/>
      <c r="I100" s="2273"/>
    </row>
    <row r="101" spans="1:35" ht="18.75" customHeight="1">
      <c r="A101" s="3688" t="s">
        <v>206</v>
      </c>
      <c r="B101" s="3689"/>
      <c r="C101" s="1265" t="str">
        <f>C4</f>
        <v>收益法（汇总）</v>
      </c>
      <c r="D101" s="1266" t="str">
        <f>D4</f>
        <v>典型户型修正</v>
      </c>
      <c r="E101" s="3657" t="s">
        <v>1909</v>
      </c>
      <c r="F101" s="3658"/>
      <c r="G101" s="1267" t="s">
        <v>208</v>
      </c>
      <c r="H101" s="1981">
        <f ca="1">H118</f>
        <v>129758</v>
      </c>
      <c r="I101" s="2273"/>
    </row>
    <row r="102" spans="1:35" ht="18.75" customHeight="1">
      <c r="A102" s="3690" t="s">
        <v>207</v>
      </c>
      <c r="B102" s="1267" t="s">
        <v>208</v>
      </c>
      <c r="C102" s="1234">
        <f ca="1">C19</f>
        <v>125291</v>
      </c>
      <c r="D102" s="1235">
        <f ca="1">D19</f>
        <v>134224</v>
      </c>
      <c r="E102" s="3657"/>
      <c r="F102" s="3658"/>
      <c r="G102" s="1267" t="s">
        <v>209</v>
      </c>
      <c r="H102" s="711">
        <f ca="1">I118</f>
        <v>59766</v>
      </c>
      <c r="I102" s="2273"/>
    </row>
    <row r="103" spans="1:35" ht="42.75" customHeight="1">
      <c r="A103" s="3690"/>
      <c r="B103" s="1267" t="s">
        <v>209</v>
      </c>
      <c r="C103" s="1236">
        <f ca="1">C20</f>
        <v>20321</v>
      </c>
      <c r="D103" s="1237">
        <f ca="1">D20</f>
        <v>21769</v>
      </c>
      <c r="E103" s="3651" t="s">
        <v>3009</v>
      </c>
      <c r="F103" s="3652"/>
      <c r="G103" s="1268" t="s">
        <v>211</v>
      </c>
      <c r="H103" s="1981">
        <f>IF(D36="正常操作",H104+H105+H106,H105+H106)</f>
        <v>0</v>
      </c>
      <c r="I103" s="2273"/>
    </row>
    <row r="104" spans="1:35" ht="18.75" customHeight="1">
      <c r="A104" s="3690" t="s">
        <v>210</v>
      </c>
      <c r="B104" s="1269" t="s">
        <v>208</v>
      </c>
      <c r="C104" s="1238">
        <f ca="1">H118</f>
        <v>129758</v>
      </c>
      <c r="D104" s="1239"/>
      <c r="E104" s="13" t="s">
        <v>1908</v>
      </c>
      <c r="F104" s="6"/>
      <c r="G104" s="1268" t="s">
        <v>211</v>
      </c>
      <c r="H104" s="1982">
        <f>IF(D36="同一抵押权人同一抵押物续贷",C36&amp;"（未扣减，详见特别提示）",C36)</f>
        <v>0</v>
      </c>
      <c r="I104" s="2273"/>
    </row>
    <row r="105" spans="1:35" ht="18.75" customHeight="1" thickBot="1">
      <c r="A105" s="3704"/>
      <c r="B105" s="1270" t="s">
        <v>209</v>
      </c>
      <c r="C105" s="1240">
        <f ca="1">I118</f>
        <v>59766</v>
      </c>
      <c r="D105" s="1241"/>
      <c r="E105" s="13" t="s">
        <v>1910</v>
      </c>
      <c r="F105" s="6"/>
      <c r="G105" s="1268" t="s">
        <v>211</v>
      </c>
      <c r="H105" s="1982">
        <f>C37</f>
        <v>0</v>
      </c>
      <c r="I105" s="2273"/>
    </row>
    <row r="106" spans="1:35" ht="18.75" customHeight="1">
      <c r="A106" s="1242" t="s">
        <v>2002</v>
      </c>
      <c r="B106" s="1242"/>
      <c r="C106" s="1242"/>
      <c r="D106" s="1242"/>
      <c r="E106" s="467" t="s">
        <v>1911</v>
      </c>
      <c r="F106" s="6"/>
      <c r="G106" s="1268" t="s">
        <v>211</v>
      </c>
      <c r="H106" s="1982">
        <f>C38</f>
        <v>0</v>
      </c>
      <c r="I106" s="2273"/>
    </row>
    <row r="107" spans="1:35" ht="18.75" customHeight="1">
      <c r="A107" s="2273"/>
      <c r="B107" s="2273"/>
      <c r="C107" s="2273"/>
      <c r="D107" s="2273"/>
      <c r="E107" s="3692" t="str">
        <f>IF(项目基本情况!E8="已注销","——","3.房地产抵押价值")</f>
        <v>3.房地产抵押价值</v>
      </c>
      <c r="F107" s="3658"/>
      <c r="G107" s="1267" t="s">
        <v>208</v>
      </c>
      <c r="H107" s="1981">
        <f ca="1">IF(E107="——","——",H101-H103)</f>
        <v>129758</v>
      </c>
      <c r="I107" s="2273"/>
    </row>
    <row r="108" spans="1:35" ht="18.75" customHeight="1">
      <c r="A108" s="2273"/>
      <c r="B108" s="2273"/>
      <c r="C108" s="2273"/>
      <c r="D108" s="2273"/>
      <c r="E108" s="3692"/>
      <c r="F108" s="3658"/>
      <c r="G108" s="1267" t="s">
        <v>209</v>
      </c>
      <c r="H108" s="711">
        <f ca="1">ROUND(H107*10000/'数据-汇总表'!E3,0)</f>
        <v>7840</v>
      </c>
      <c r="I108" s="2273"/>
    </row>
    <row r="109" spans="1:35" ht="18.75" customHeight="1">
      <c r="A109" s="2273"/>
      <c r="B109" s="2273"/>
      <c r="C109" s="2273"/>
      <c r="D109" s="2273"/>
      <c r="E109" s="3692" t="str">
        <f>IF(项目基本情况!E8="已注销及未注销","4.抵押担保权已注销时的房地产抵押价值",IF(项目基本情况!E8="已注销","3.抵押担保权已注销时的房地产抵押价值","——"))</f>
        <v>——</v>
      </c>
      <c r="F109" s="3658"/>
      <c r="G109" s="1267" t="s">
        <v>208</v>
      </c>
      <c r="H109" s="685" t="str">
        <f>IF(E109="——","——",H101-H105-H106)</f>
        <v>——</v>
      </c>
      <c r="I109" s="2273"/>
    </row>
    <row r="110" spans="1:35" ht="18.75" customHeight="1">
      <c r="A110" s="2273"/>
      <c r="B110" s="2273"/>
      <c r="C110" s="2273"/>
      <c r="D110" s="2273"/>
      <c r="E110" s="3692"/>
      <c r="F110" s="3658"/>
      <c r="G110" s="1267" t="s">
        <v>209</v>
      </c>
      <c r="H110" s="711" t="str">
        <f>IF(H109="——","——",ROUND(H109*10000/'数据-汇总表'!E3,0))</f>
        <v>——</v>
      </c>
      <c r="I110" s="2273"/>
    </row>
    <row r="111" spans="1:35" ht="18.75" customHeight="1">
      <c r="A111" s="2273"/>
      <c r="B111" s="2273"/>
      <c r="C111" s="2273"/>
      <c r="D111" s="2273"/>
      <c r="E111" s="3693" t="str">
        <f>IF(项目基本情况!E9="抵押净值",IF(OR(项目基本情况!E8="已注销",项目基本情况!E8="房地产抵押价值"),"4.抵押净值","5.抵押净值"),"——")</f>
        <v>——</v>
      </c>
      <c r="F111" s="3694"/>
      <c r="G111" s="1267" t="s">
        <v>208</v>
      </c>
      <c r="H111" s="1981" t="str">
        <f>IF(E111="——","——",N59)</f>
        <v>——</v>
      </c>
      <c r="I111" s="2273"/>
    </row>
    <row r="112" spans="1:35" ht="18.75" customHeight="1" thickBot="1">
      <c r="A112" s="2273"/>
      <c r="B112" s="2273"/>
      <c r="C112" s="2273"/>
      <c r="D112" s="2273"/>
      <c r="E112" s="3695"/>
      <c r="F112" s="3696"/>
      <c r="G112" s="1271" t="s">
        <v>209</v>
      </c>
      <c r="H112" s="1422" t="str">
        <f>IF(E111="——","——",N61)</f>
        <v>——</v>
      </c>
      <c r="I112" s="2273"/>
    </row>
    <row r="113" spans="1:11" ht="18.75" customHeight="1">
      <c r="A113" s="2273"/>
      <c r="B113" s="2273"/>
      <c r="C113" s="2273"/>
      <c r="D113" s="2273"/>
      <c r="E113" s="3705" t="s">
        <v>2002</v>
      </c>
      <c r="F113" s="3705"/>
      <c r="G113" s="3705"/>
      <c r="H113" s="3705"/>
      <c r="I113" s="2273"/>
    </row>
    <row r="114" spans="1:11" ht="3.75" customHeight="1">
      <c r="A114" s="1242"/>
      <c r="B114" s="1242"/>
      <c r="C114" s="1242"/>
      <c r="D114" s="1242"/>
      <c r="E114" s="1257"/>
      <c r="F114" s="1257"/>
      <c r="G114" s="1257"/>
      <c r="H114" s="1257"/>
      <c r="I114" s="1242"/>
    </row>
    <row r="115" spans="1:11" ht="18.75" customHeight="1">
      <c r="A115" s="3718" t="s">
        <v>224</v>
      </c>
      <c r="B115" s="3719"/>
      <c r="C115" s="3719"/>
      <c r="D115" s="3719"/>
      <c r="E115" s="3719"/>
      <c r="F115" s="3719"/>
      <c r="G115" s="3719"/>
      <c r="H115" s="3719"/>
      <c r="I115" s="3720"/>
    </row>
    <row r="116" spans="1:11" ht="27" customHeight="1">
      <c r="A116" s="3625" t="s">
        <v>5</v>
      </c>
      <c r="B116" s="3667" t="s">
        <v>787</v>
      </c>
      <c r="C116" s="3667" t="s">
        <v>788</v>
      </c>
      <c r="D116" s="3676" t="s">
        <v>204</v>
      </c>
      <c r="E116" s="3677"/>
      <c r="F116" s="3714" t="s">
        <v>2379</v>
      </c>
      <c r="G116" s="3714"/>
      <c r="H116" s="3625" t="s">
        <v>6</v>
      </c>
      <c r="I116" s="3625"/>
    </row>
    <row r="117" spans="1:11" ht="18.75" customHeight="1">
      <c r="A117" s="3625"/>
      <c r="B117" s="3668"/>
      <c r="C117" s="3668"/>
      <c r="D117" s="1911" t="s">
        <v>7</v>
      </c>
      <c r="E117" s="1911" t="s">
        <v>789</v>
      </c>
      <c r="F117" s="1911" t="s">
        <v>7</v>
      </c>
      <c r="G117" s="1911" t="s">
        <v>8</v>
      </c>
      <c r="H117" s="1911" t="s">
        <v>7</v>
      </c>
      <c r="I117" s="1911" t="s">
        <v>8</v>
      </c>
    </row>
    <row r="118" spans="1:11" ht="24.75" customHeight="1">
      <c r="A118" s="2028" t="str">
        <f>项目基本情况!S2</f>
        <v>广东省中山市中山市南区永安一路9号悦盈新成花园房地产</v>
      </c>
      <c r="B118" s="1916">
        <f>M18</f>
        <v>21711.050000000003</v>
      </c>
      <c r="C118" s="1916">
        <f>M19</f>
        <v>4391.93</v>
      </c>
      <c r="D118" s="1916" t="e">
        <f ca="1">ROUND(IF(D32="总价",C34,E118*B118/10000),0)</f>
        <v>#REF!</v>
      </c>
      <c r="E118" s="1916" t="e">
        <f ca="1">ROUND(IF(C33="自定义",IF(D32="楼面单价",C34,D118*10000/B118),I118-G118),0)</f>
        <v>#REF!</v>
      </c>
      <c r="F118" s="1916" t="e">
        <f ca="1">ROUND(IF(D32="总价",C35,G118*B118/10000),0)</f>
        <v>#REF!</v>
      </c>
      <c r="G118" s="1916" t="e">
        <f ca="1">ROUND(IF(D32="楼面单价",C35,F118*10000/B118),0)</f>
        <v>#REF!</v>
      </c>
      <c r="H118" s="1916">
        <f ca="1">ROUND(IF(D32="总价",C32,I118*B118/10000),0)</f>
        <v>129758</v>
      </c>
      <c r="I118" s="1916">
        <f ca="1">ROUND(IF(D32="楼面单价",C32,H118*10000/B118),0)</f>
        <v>59766</v>
      </c>
    </row>
    <row r="119" spans="1:11" ht="18.75" customHeight="1">
      <c r="A119" s="3625" t="s">
        <v>9</v>
      </c>
      <c r="B119" s="3625"/>
      <c r="C119" s="3625"/>
      <c r="D119" s="3669" t="e">
        <f ca="1">NUMBERSTRING(INT(D118*10000),2)&amp;"元整"</f>
        <v>#REF!</v>
      </c>
      <c r="E119" s="3670"/>
      <c r="F119" s="3669" t="e">
        <f ca="1">NUMBERSTRING(INT(F118*10000),2)&amp;"元整"</f>
        <v>#REF!</v>
      </c>
      <c r="G119" s="3670"/>
      <c r="H119" s="3669" t="str">
        <f ca="1">NUMBERSTRING(INT(H118*10000),2)&amp;"元整"</f>
        <v>壹拾贰亿玖仟柒佰伍拾捌万元整</v>
      </c>
      <c r="I119" s="3670"/>
    </row>
    <row r="120" spans="1:11" ht="18.75" customHeight="1">
      <c r="A120" s="3671" t="str">
        <f>IF(项目基本情况!B9="房地产市场价值","",MID(E103,3,LEN(E103)-2))</f>
        <v/>
      </c>
      <c r="B120" s="3672"/>
      <c r="C120" s="3673"/>
      <c r="D120" s="3664">
        <f>H103</f>
        <v>0</v>
      </c>
      <c r="E120" s="3665"/>
      <c r="F120" s="3665"/>
      <c r="G120" s="3665"/>
      <c r="H120" s="3665"/>
      <c r="I120" s="3666"/>
      <c r="K120" s="1433" t="str">
        <f>IF(D120=0,"故，本次评估不存在"&amp;A120,"故，本次评估"&amp;A120&amp;"为人民币"&amp;D120&amp;"万元整。")</f>
        <v>故，本次评估不存在</v>
      </c>
    </row>
    <row r="121" spans="1:11" ht="18.75" customHeight="1">
      <c r="A121" s="3715" t="s">
        <v>9</v>
      </c>
      <c r="B121" s="3716"/>
      <c r="C121" s="3717"/>
      <c r="D121" s="3669" t="str">
        <f>IF(D120=0,"零元整",NUMBERSTRING(INT(D120*10000),2)&amp;"元整")</f>
        <v>零元整</v>
      </c>
      <c r="E121" s="3674"/>
      <c r="F121" s="3674"/>
      <c r="G121" s="3674"/>
      <c r="H121" s="3674"/>
      <c r="I121" s="3670"/>
    </row>
    <row r="122" spans="1:11" ht="18.75" customHeight="1">
      <c r="A122" s="3678" t="str">
        <f>IF(项目基本情况!B9="房地产市场价值","",MID(E107,3,LEN(E107)-2))</f>
        <v/>
      </c>
      <c r="B122" s="3678"/>
      <c r="C122" s="3678"/>
      <c r="D122" s="3664">
        <f ca="1">H107</f>
        <v>129758</v>
      </c>
      <c r="E122" s="3665"/>
      <c r="F122" s="3665"/>
      <c r="G122" s="3665"/>
      <c r="H122" s="3665"/>
      <c r="I122" s="3666"/>
    </row>
    <row r="123" spans="1:11" ht="18.75" customHeight="1">
      <c r="A123" s="3625" t="s">
        <v>9</v>
      </c>
      <c r="B123" s="3625"/>
      <c r="C123" s="3625"/>
      <c r="D123" s="3669" t="str">
        <f ca="1">NUMBERSTRING(INT(D122*10000),2)&amp;"元整"</f>
        <v>壹拾贰亿玖仟柒佰伍拾捌万元整</v>
      </c>
      <c r="E123" s="3674"/>
      <c r="F123" s="3674"/>
      <c r="G123" s="3674"/>
      <c r="H123" s="3674"/>
      <c r="I123" s="3670"/>
    </row>
    <row r="124" spans="1:11" ht="18.75" customHeight="1">
      <c r="A124" s="3678" t="str">
        <f>IF(项目基本情况!B9="房地产市场价值","",MID(E109,3,LEN(E109)-2))</f>
        <v/>
      </c>
      <c r="B124" s="3678"/>
      <c r="C124" s="3678"/>
      <c r="D124" s="3664" t="str">
        <f>H109</f>
        <v>——</v>
      </c>
      <c r="E124" s="3665"/>
      <c r="F124" s="3665"/>
      <c r="G124" s="3665"/>
      <c r="H124" s="3665"/>
      <c r="I124" s="3666"/>
    </row>
    <row r="125" spans="1:11" ht="18.75" customHeight="1">
      <c r="A125" s="3625" t="s">
        <v>9</v>
      </c>
      <c r="B125" s="3625"/>
      <c r="C125" s="3625"/>
      <c r="D125" s="3669" t="e">
        <f>NUMBERSTRING(INT(D124*10000),2)&amp;"元整"</f>
        <v>#VALUE!</v>
      </c>
      <c r="E125" s="3674"/>
      <c r="F125" s="3674"/>
      <c r="G125" s="3674"/>
      <c r="H125" s="3674"/>
      <c r="I125" s="3670"/>
    </row>
    <row r="126" spans="1:11" ht="18.75" customHeight="1">
      <c r="A126" s="3678" t="str">
        <f>IF(项目基本情况!B9="房地产市场价值","",MID(E111,3,LEN(E111)-2))</f>
        <v/>
      </c>
      <c r="B126" s="3678"/>
      <c r="C126" s="3678"/>
      <c r="D126" s="3664" t="str">
        <f>H111</f>
        <v>——</v>
      </c>
      <c r="E126" s="3665"/>
      <c r="F126" s="3665"/>
      <c r="G126" s="3665"/>
      <c r="H126" s="3665"/>
      <c r="I126" s="3666"/>
    </row>
    <row r="127" spans="1:11" ht="18.75" customHeight="1">
      <c r="A127" s="3625" t="s">
        <v>9</v>
      </c>
      <c r="B127" s="3625"/>
      <c r="C127" s="3625"/>
      <c r="D127" s="3669" t="e">
        <f>NUMBERSTRING(INT(D126*10000),2)&amp;"元整"</f>
        <v>#VALUE!</v>
      </c>
      <c r="E127" s="3674"/>
      <c r="F127" s="3674"/>
      <c r="G127" s="3674"/>
      <c r="H127" s="3674"/>
      <c r="I127" s="3670"/>
    </row>
    <row r="128" spans="1:11" ht="21.75" customHeight="1">
      <c r="A128" s="3675" t="s">
        <v>2001</v>
      </c>
      <c r="B128" s="3675"/>
      <c r="C128" s="3675"/>
      <c r="D128" s="3675"/>
      <c r="E128" s="3675"/>
      <c r="F128" s="3675"/>
      <c r="G128" s="3675"/>
      <c r="H128" s="3675"/>
      <c r="I128" s="3675"/>
    </row>
    <row r="129" spans="1:35" ht="21.75" customHeight="1">
      <c r="A129" s="2023" t="s">
        <v>790</v>
      </c>
      <c r="B129" s="2024"/>
      <c r="C129" s="468" t="s">
        <v>148</v>
      </c>
      <c r="D129" s="2025"/>
      <c r="E129" s="2025"/>
      <c r="F129" s="2025"/>
      <c r="G129" s="2025"/>
      <c r="H129" s="2026"/>
      <c r="I129" s="2027"/>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D7">
    <cfRule type="cellIs" dxfId="177" priority="21" stopIfTrue="1" operator="equal">
      <formula>25</formula>
    </cfRule>
  </conditionalFormatting>
  <conditionalFormatting sqref="C8:D13">
    <cfRule type="cellIs" dxfId="176" priority="19" stopIfTrue="1" operator="equal">
      <formula>15</formula>
    </cfRule>
  </conditionalFormatting>
  <conditionalFormatting sqref="C14:D16">
    <cfRule type="cellIs" dxfId="175" priority="13"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48"/>
      <c r="C1" s="574"/>
      <c r="D1" s="574"/>
      <c r="E1" s="574"/>
      <c r="F1" s="574"/>
      <c r="G1" s="2749">
        <f>MATCH(B1,'数据-取费表'!A6:A16,0)+5</f>
        <v>10</v>
      </c>
    </row>
    <row r="2" spans="1:9" s="576" customFormat="1" ht="18" customHeight="1">
      <c r="A2" s="577" t="s">
        <v>444</v>
      </c>
      <c r="B2" s="578">
        <f ca="1">IF(D2="——",C52,C52-E2)</f>
        <v>50158</v>
      </c>
      <c r="C2" s="85" t="s">
        <v>869</v>
      </c>
      <c r="D2" s="2866" t="s">
        <v>529</v>
      </c>
      <c r="E2" s="2864" t="e">
        <f ca="1">SUMIF(INDIRECT("'"&amp;G2&amp;"'"&amp;"!A:A"),"承租人权益价值",INDIRECT("'"&amp;G2&amp;"'"&amp;"!c:c"))</f>
        <v>#REF!</v>
      </c>
      <c r="F2" s="2862" t="s">
        <v>869</v>
      </c>
      <c r="G2" s="2865"/>
    </row>
    <row r="3" spans="1:9" s="576" customFormat="1" ht="18" customHeight="1" thickBot="1">
      <c r="A3" s="579" t="s">
        <v>445</v>
      </c>
      <c r="B3" s="580">
        <f ca="1">ROUND(B2*10000/(IF(B1="",'数据-汇总表'!E3,INDIRECT("'数据-取费表'!k"&amp;$G$1))),0)</f>
        <v>3031</v>
      </c>
      <c r="C3" s="85" t="s">
        <v>870</v>
      </c>
      <c r="D3" s="575"/>
      <c r="E3" s="575"/>
      <c r="F3" s="575"/>
      <c r="G3" s="575"/>
    </row>
    <row r="4" spans="1:9" s="584" customFormat="1" ht="15.75">
      <c r="A4" s="581" t="s">
        <v>822</v>
      </c>
      <c r="B4" s="582"/>
      <c r="C4" s="582"/>
      <c r="D4" s="582"/>
      <c r="E4" s="582"/>
      <c r="F4" s="582"/>
      <c r="G4" s="583"/>
    </row>
    <row r="5" spans="1:9" s="590" customFormat="1" ht="13.5" customHeight="1">
      <c r="A5" s="631" t="s">
        <v>2503</v>
      </c>
      <c r="B5" s="586" t="s">
        <v>823</v>
      </c>
      <c r="C5" s="587">
        <f>C6+C7+C8</f>
        <v>0</v>
      </c>
      <c r="D5" s="587" t="s">
        <v>824</v>
      </c>
      <c r="E5" s="588" t="s">
        <v>825</v>
      </c>
      <c r="F5" s="588" t="s">
        <v>826</v>
      </c>
      <c r="G5" s="589"/>
    </row>
    <row r="6" spans="1:9" s="590" customFormat="1" ht="13.5" customHeight="1">
      <c r="A6" s="1800" t="s">
        <v>1921</v>
      </c>
      <c r="B6" s="591" t="s">
        <v>827</v>
      </c>
      <c r="C6" s="592"/>
      <c r="D6" s="593"/>
      <c r="E6" s="594"/>
      <c r="F6" s="594"/>
      <c r="G6" s="595"/>
    </row>
    <row r="7" spans="1:9" s="590" customFormat="1" ht="13.5" customHeight="1">
      <c r="A7" s="1800" t="s">
        <v>1922</v>
      </c>
      <c r="B7" s="591" t="s">
        <v>345</v>
      </c>
      <c r="C7" s="596">
        <f>ROUND(C6*F7,0)</f>
        <v>0</v>
      </c>
      <c r="D7" s="596"/>
      <c r="E7" s="594"/>
      <c r="F7" s="597">
        <f>'数据-取费表'!B48+'数据-取费表'!B49</f>
        <v>3.0499999999999999E-2</v>
      </c>
      <c r="G7" s="595"/>
    </row>
    <row r="8" spans="1:9" s="599" customFormat="1">
      <c r="A8" s="1800" t="s">
        <v>1923</v>
      </c>
      <c r="B8" s="591" t="s">
        <v>828</v>
      </c>
      <c r="C8" s="596">
        <f>IF(G8="已包含在土地购买价格中","0",IF(B1="",'数据-取费表'!B29,IF(G9="全部缴纳",C9+C10,H9)))</f>
        <v>0</v>
      </c>
      <c r="D8" s="598"/>
      <c r="E8" s="596"/>
      <c r="F8" s="597"/>
      <c r="G8" s="84"/>
    </row>
    <row r="9" spans="1:9" s="590" customFormat="1" ht="13.5" customHeight="1">
      <c r="A9" s="1801" t="s">
        <v>1930</v>
      </c>
      <c r="B9" s="600" t="s">
        <v>829</v>
      </c>
      <c r="C9" s="601">
        <f ca="1">ROUND(D9*E9/10000,0)</f>
        <v>0</v>
      </c>
      <c r="D9" s="1905">
        <f ca="1">IF(B1="",'数据-汇总表'!E5,IF(INDIRECT("'数据-取费表'!c"&amp;$G$1)="住宅",INDIRECT("'数据-取费表'!k"&amp;$G$1),0))</f>
        <v>0</v>
      </c>
      <c r="E9" s="601">
        <f>'数据-取费表'!B27</f>
        <v>94.92</v>
      </c>
      <c r="F9" s="597"/>
      <c r="G9" s="2796"/>
      <c r="H9" s="2797"/>
      <c r="I9" s="2798" t="s">
        <v>2684</v>
      </c>
    </row>
    <row r="10" spans="1:9" s="590" customFormat="1" ht="13.5" customHeight="1">
      <c r="A10" s="1801" t="s">
        <v>1931</v>
      </c>
      <c r="B10" s="600" t="s">
        <v>830</v>
      </c>
      <c r="C10" s="601">
        <f ca="1">ROUND(D10*E10/10000,0)</f>
        <v>1571</v>
      </c>
      <c r="D10" s="1905">
        <f ca="1">IF(B1="",'数据-汇总表'!E6,IF(INDIRECT("'数据-取费表'!c"&amp;$G$1)="住宅",INDIRECT("'数据-取费表'!s"&amp;$G$1),INDIRECT("'数据-取费表'!k"&amp;$G$1)+INDIRECT("'数据-取费表'!s"&amp;$G$1)))</f>
        <v>165498.45000000001</v>
      </c>
      <c r="E10" s="601">
        <f>'数据-取费表'!B28</f>
        <v>94.92</v>
      </c>
      <c r="F10" s="597"/>
      <c r="G10" s="602"/>
    </row>
    <row r="11" spans="1:9" s="590" customFormat="1" ht="13.5" hidden="1" customHeight="1">
      <c r="A11" s="603" t="s">
        <v>42</v>
      </c>
      <c r="B11" s="591" t="s">
        <v>831</v>
      </c>
      <c r="C11" s="587"/>
      <c r="D11" s="1907"/>
      <c r="E11" s="594"/>
      <c r="F11" s="594"/>
      <c r="G11" s="595"/>
    </row>
    <row r="12" spans="1:9" s="590" customFormat="1" ht="13.5" hidden="1" customHeight="1">
      <c r="A12" s="603" t="s">
        <v>43</v>
      </c>
      <c r="B12" s="591" t="s">
        <v>832</v>
      </c>
      <c r="C12" s="587">
        <v>0</v>
      </c>
      <c r="D12" s="1907"/>
      <c r="E12" s="604"/>
      <c r="F12" s="597">
        <v>3.0499999999999999E-2</v>
      </c>
      <c r="G12" s="595"/>
    </row>
    <row r="13" spans="1:9" s="590" customFormat="1" ht="13.5" hidden="1" customHeight="1">
      <c r="A13" s="603" t="s">
        <v>44</v>
      </c>
      <c r="B13" s="591" t="s">
        <v>833</v>
      </c>
      <c r="C13" s="587"/>
      <c r="D13" s="1907"/>
      <c r="E13" s="594"/>
      <c r="F13" s="594"/>
      <c r="G13" s="595"/>
    </row>
    <row r="14" spans="1:9" s="590" customFormat="1" ht="13.5" hidden="1" customHeight="1">
      <c r="A14" s="603" t="s">
        <v>45</v>
      </c>
      <c r="B14" s="591" t="s">
        <v>828</v>
      </c>
      <c r="C14" s="587"/>
      <c r="D14" s="1907"/>
      <c r="E14" s="594"/>
      <c r="F14" s="594"/>
      <c r="G14" s="595" t="s">
        <v>834</v>
      </c>
    </row>
    <row r="15" spans="1:9" s="590" customFormat="1" ht="13.5" hidden="1" customHeight="1">
      <c r="A15" s="603" t="s">
        <v>46</v>
      </c>
      <c r="B15" s="591" t="s">
        <v>835</v>
      </c>
      <c r="C15" s="596"/>
      <c r="D15" s="1907"/>
      <c r="E15" s="594"/>
      <c r="F15" s="594"/>
      <c r="G15" s="595" t="s">
        <v>836</v>
      </c>
    </row>
    <row r="16" spans="1:9" s="590" customFormat="1" ht="13.5" hidden="1" customHeight="1">
      <c r="A16" s="603" t="s">
        <v>47</v>
      </c>
      <c r="B16" s="591" t="s">
        <v>828</v>
      </c>
      <c r="C16" s="596"/>
      <c r="D16" s="1907"/>
      <c r="E16" s="594"/>
      <c r="F16" s="594"/>
      <c r="G16" s="595"/>
    </row>
    <row r="17" spans="1:7" s="590" customFormat="1" ht="13.5" hidden="1" customHeight="1">
      <c r="A17" s="603" t="s">
        <v>48</v>
      </c>
      <c r="B17" s="591" t="s">
        <v>837</v>
      </c>
      <c r="C17" s="605"/>
      <c r="D17" s="1908"/>
      <c r="E17" s="605"/>
      <c r="F17" s="605"/>
      <c r="G17" s="595" t="s">
        <v>836</v>
      </c>
    </row>
    <row r="18" spans="1:7" s="590" customFormat="1" ht="13.5" hidden="1" customHeight="1">
      <c r="A18" s="603" t="s">
        <v>49</v>
      </c>
      <c r="B18" s="591" t="s">
        <v>838</v>
      </c>
      <c r="C18" s="596">
        <v>0</v>
      </c>
      <c r="D18" s="1907"/>
      <c r="E18" s="594"/>
      <c r="F18" s="597">
        <v>3.0499999999999999E-2</v>
      </c>
      <c r="G18" s="595" t="s">
        <v>839</v>
      </c>
    </row>
    <row r="19" spans="1:7" s="599" customFormat="1" ht="13.5" customHeight="1">
      <c r="A19" s="1799" t="s">
        <v>2504</v>
      </c>
      <c r="B19" s="586" t="s">
        <v>847</v>
      </c>
      <c r="C19" s="587">
        <f ca="1">IF(G19="已包含在土地取得成本中","0",ROUND(D19*E19/10000,0))</f>
        <v>3310</v>
      </c>
      <c r="D19" s="1909">
        <f ca="1">D9+D10</f>
        <v>165498.45000000001</v>
      </c>
      <c r="E19" s="587">
        <f>'数据-取费表'!B31</f>
        <v>200</v>
      </c>
      <c r="F19" s="607"/>
      <c r="G19" s="84"/>
    </row>
    <row r="20" spans="1:7" s="590" customFormat="1" ht="13.5" customHeight="1">
      <c r="A20" s="1799" t="s">
        <v>2506</v>
      </c>
      <c r="B20" s="586" t="s">
        <v>840</v>
      </c>
      <c r="C20" s="608">
        <f ca="1">ROUND((C5+C19)*F20,0)</f>
        <v>50</v>
      </c>
      <c r="D20" s="608"/>
      <c r="E20" s="608"/>
      <c r="F20" s="609">
        <f>'数据-取费表'!B37</f>
        <v>1.4999999999999999E-2</v>
      </c>
      <c r="G20" s="2616" t="s">
        <v>2517</v>
      </c>
    </row>
    <row r="21" spans="1:7" s="590" customFormat="1" ht="13.5" customHeight="1">
      <c r="A21" s="1799" t="s">
        <v>2508</v>
      </c>
      <c r="B21" s="586" t="s">
        <v>841</v>
      </c>
      <c r="C21" s="611">
        <f>F21</f>
        <v>1.4999999999999999E-2</v>
      </c>
      <c r="D21" s="612" t="s">
        <v>862</v>
      </c>
      <c r="E21" s="608"/>
      <c r="F21" s="609">
        <f>'数据-取费表'!B38</f>
        <v>1.4999999999999999E-2</v>
      </c>
      <c r="G21" s="610" t="s">
        <v>842</v>
      </c>
    </row>
    <row r="22" spans="1:7" s="590" customFormat="1" ht="13.5" customHeight="1">
      <c r="A22" s="1799" t="s">
        <v>1916</v>
      </c>
      <c r="B22" s="586" t="s">
        <v>843</v>
      </c>
      <c r="C22" s="2695">
        <f ca="1">ROUND(SUM(C23:C25),0)</f>
        <v>498</v>
      </c>
      <c r="D22" s="611">
        <f ca="1">C26</f>
        <v>1.1000000000000001E-3</v>
      </c>
      <c r="E22" s="612" t="s">
        <v>862</v>
      </c>
      <c r="F22" s="613">
        <f ca="1">'数据-取费表'!B40</f>
        <v>4.7500000000000001E-2</v>
      </c>
      <c r="G22" s="2616" t="str">
        <f>IF('数据-取费表'!B22&lt;=1,"单利计息","复利计息")</f>
        <v>复利计息</v>
      </c>
    </row>
    <row r="23" spans="1:7" s="590" customFormat="1" ht="13.5" customHeight="1">
      <c r="A23" s="1802" t="s">
        <v>1921</v>
      </c>
      <c r="B23" s="591" t="s">
        <v>2510</v>
      </c>
      <c r="C23" s="2696">
        <f ca="1">ROUND(IF('数据-取费表'!B22&lt;=1,C5*F22*'数据-取费表'!B23,C5*(POWER((1+F22),'数据-取费表'!B23)-1)),0)</f>
        <v>0</v>
      </c>
      <c r="D23" s="614"/>
      <c r="E23" s="614"/>
      <c r="F23" s="615"/>
      <c r="G23" s="616" t="s">
        <v>844</v>
      </c>
    </row>
    <row r="24" spans="1:7" s="590" customFormat="1" ht="13.5" customHeight="1">
      <c r="A24" s="1802" t="s">
        <v>1922</v>
      </c>
      <c r="B24" s="591" t="s">
        <v>2505</v>
      </c>
      <c r="C24" s="2696">
        <f ca="1">ROUND(IF('数据-取费表'!B22&lt;=1,C19*F22*('数据-取费表'!B19/2+'数据-取费表'!B21),C19*(POWER((1+F22),('数据-取费表'!B19/2+'数据-取费表'!B21))-1)),0)</f>
        <v>494</v>
      </c>
      <c r="D24" s="614"/>
      <c r="E24" s="614"/>
      <c r="F24" s="615"/>
      <c r="G24" s="616" t="s">
        <v>845</v>
      </c>
    </row>
    <row r="25" spans="1:7" s="590" customFormat="1" ht="24">
      <c r="A25" s="1802" t="s">
        <v>1923</v>
      </c>
      <c r="B25" s="591" t="s">
        <v>2507</v>
      </c>
      <c r="C25" s="2696">
        <f ca="1">ROUND(IF('数据-取费表'!B22&lt;=1,C20*F22*'数据-取费表'!B23/2,C20*(POWER((1+F22),'数据-取费表'!B23/2)-1)),0)</f>
        <v>4</v>
      </c>
      <c r="D25" s="614"/>
      <c r="E25" s="617"/>
      <c r="F25" s="615"/>
      <c r="G25" s="618" t="s">
        <v>846</v>
      </c>
    </row>
    <row r="26" spans="1:7" s="590" customFormat="1">
      <c r="A26" s="1802" t="s">
        <v>1925</v>
      </c>
      <c r="B26" s="591" t="s">
        <v>2509</v>
      </c>
      <c r="C26" s="614">
        <f ca="1">ROUND(IF('数据-取费表'!B22&lt;=1,F21*F22*'数据-取费表'!B23/2,F21*(POWER((1+F22),'数据-取费表'!B23/2)-1)),4)</f>
        <v>1.1000000000000001E-3</v>
      </c>
      <c r="D26" s="614"/>
      <c r="E26" s="617"/>
      <c r="F26" s="615"/>
      <c r="G26" s="619"/>
    </row>
    <row r="27" spans="1:7" s="590" customFormat="1" ht="24.75">
      <c r="A27" s="1799" t="s">
        <v>1917</v>
      </c>
      <c r="B27" s="620" t="s">
        <v>848</v>
      </c>
      <c r="C27" s="621">
        <f ca="1">C28</f>
        <v>571</v>
      </c>
      <c r="D27" s="611">
        <f ca="1">C29</f>
        <v>2.5999999999999999E-3</v>
      </c>
      <c r="E27" s="612" t="s">
        <v>862</v>
      </c>
      <c r="F27" s="622">
        <f ca="1">IF(B1="",'数据-取费表'!Q16,INDIRECT("'数据-取费表'!q"&amp;$G$1))</f>
        <v>0.17</v>
      </c>
      <c r="G27" s="623" t="s">
        <v>2518</v>
      </c>
    </row>
    <row r="28" spans="1:7" s="590" customFormat="1" ht="13.5" customHeight="1">
      <c r="A28" s="1802" t="s">
        <v>1921</v>
      </c>
      <c r="B28" s="624" t="s">
        <v>2511</v>
      </c>
      <c r="C28" s="625">
        <f ca="1">ROUND((C5+C19+C20)*F27*'数据-取费表'!B21/'数据-取费表'!B20,0)</f>
        <v>571</v>
      </c>
      <c r="D28" s="611"/>
      <c r="E28" s="612"/>
      <c r="F28" s="622"/>
      <c r="G28" s="623"/>
    </row>
    <row r="29" spans="1:7" s="590" customFormat="1" ht="13.5" customHeight="1">
      <c r="A29" s="1802" t="s">
        <v>1922</v>
      </c>
      <c r="B29" s="624" t="s">
        <v>2512</v>
      </c>
      <c r="C29" s="614">
        <f ca="1">ROUND(C21*F27*'数据-取费表'!B21/'数据-取费表'!B20,4)</f>
        <v>2.5999999999999999E-3</v>
      </c>
      <c r="D29" s="611"/>
      <c r="E29" s="612"/>
      <c r="F29" s="622"/>
      <c r="G29" s="623"/>
    </row>
    <row r="30" spans="1:7" s="590" customFormat="1" ht="13.5" customHeight="1">
      <c r="A30" s="1799" t="s">
        <v>1918</v>
      </c>
      <c r="B30" s="586" t="s">
        <v>346</v>
      </c>
      <c r="C30" s="611">
        <f>ROUND(F30/(1+'数据-取费表'!C42),4)</f>
        <v>5.33E-2</v>
      </c>
      <c r="D30" s="612" t="s">
        <v>2936</v>
      </c>
      <c r="E30" s="617"/>
      <c r="F30" s="613">
        <f>'数据-取费表'!B41</f>
        <v>5.6000000000000001E-2</v>
      </c>
      <c r="G30" s="2616" t="s">
        <v>2937</v>
      </c>
    </row>
    <row r="31" spans="1:7" ht="16.5" customHeight="1">
      <c r="A31" s="585">
        <v>1</v>
      </c>
      <c r="B31" s="586" t="s">
        <v>864</v>
      </c>
      <c r="C31" s="587">
        <f ca="1">ROUND((C5+C19+C20+C22+C27)/(1-C21-D22-D27-C30),0)</f>
        <v>4773</v>
      </c>
      <c r="D31" s="606"/>
      <c r="E31" s="587"/>
      <c r="F31" s="626"/>
      <c r="G31" s="610" t="s">
        <v>2519</v>
      </c>
    </row>
    <row r="32" spans="1:7" s="584" customFormat="1" ht="15.75">
      <c r="A32" s="628" t="s">
        <v>850</v>
      </c>
      <c r="B32" s="629"/>
      <c r="C32" s="629"/>
      <c r="D32" s="629"/>
      <c r="E32" s="629"/>
      <c r="F32" s="629"/>
      <c r="G32" s="630"/>
    </row>
    <row r="33" spans="1:7" s="590" customFormat="1" ht="13.5" customHeight="1">
      <c r="A33" s="631" t="s">
        <v>1912</v>
      </c>
      <c r="B33" s="586" t="s">
        <v>851</v>
      </c>
      <c r="C33" s="632">
        <f ca="1">SUM(C34:C38)</f>
        <v>34440</v>
      </c>
      <c r="D33" s="608"/>
      <c r="E33" s="588"/>
      <c r="F33" s="617"/>
      <c r="G33" s="610"/>
    </row>
    <row r="34" spans="1:7" s="634" customFormat="1" ht="13.5" customHeight="1">
      <c r="A34" s="1802" t="s">
        <v>1921</v>
      </c>
      <c r="B34" s="591" t="s">
        <v>347</v>
      </c>
      <c r="C34" s="596">
        <f ca="1">IF(B1="",IF(F34=100%,'数据-取费表'!M16,'数据-取费表'!O16),IF(F34=100%,INDIRECT("'数据-取费表'!m"&amp;$G$1)+INDIRECT("'数据-取费表'!t"&amp;$G$1),INDIRECT("'数据-取费表'!o"&amp;$G$1)+INDIRECT("'数据-取费表'!aq"&amp;$G$1)))</f>
        <v>29789</v>
      </c>
      <c r="D34" s="593"/>
      <c r="E34" s="596"/>
      <c r="F34" s="633">
        <f ca="1">IF('数据-取费表'!B24=0,1,IF(B1="",'数据-取费表'!N16,INDIRECT("'数据-取费表'!n"&amp;$G$1)))</f>
        <v>1</v>
      </c>
      <c r="G34" s="595" t="s">
        <v>852</v>
      </c>
    </row>
    <row r="35" spans="1:7" ht="13.5" customHeight="1">
      <c r="A35" s="1802" t="s">
        <v>1926</v>
      </c>
      <c r="B35" s="591" t="s">
        <v>348</v>
      </c>
      <c r="C35" s="596">
        <f ca="1">ROUND(C34*F35,0)</f>
        <v>894</v>
      </c>
      <c r="D35" s="596"/>
      <c r="E35" s="596"/>
      <c r="F35" s="635">
        <f>'数据-取费表'!B33</f>
        <v>0.03</v>
      </c>
      <c r="G35" s="595" t="s">
        <v>853</v>
      </c>
    </row>
    <row r="36" spans="1:7" ht="24">
      <c r="A36" s="1802" t="s">
        <v>1927</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350</v>
      </c>
    </row>
    <row r="37" spans="1:7" s="634" customFormat="1" ht="13.5" customHeight="1">
      <c r="A37" s="1802" t="s">
        <v>1928</v>
      </c>
      <c r="B37" s="591" t="s">
        <v>854</v>
      </c>
      <c r="C37" s="625">
        <f ca="1">ROUND(E37*D37*F34/10000,0)</f>
        <v>3310</v>
      </c>
      <c r="D37" s="593">
        <f ca="1">D19</f>
        <v>165498.45000000001</v>
      </c>
      <c r="E37" s="625">
        <f>'数据-取费表'!B35</f>
        <v>200</v>
      </c>
      <c r="F37" s="635"/>
      <c r="G37" s="637" t="s">
        <v>855</v>
      </c>
    </row>
    <row r="38" spans="1:7" ht="13.5" customHeight="1">
      <c r="A38" s="1802" t="s">
        <v>1929</v>
      </c>
      <c r="B38" s="591" t="s">
        <v>351</v>
      </c>
      <c r="C38" s="596">
        <f ca="1">ROUND(C34*F38,0)</f>
        <v>447</v>
      </c>
      <c r="D38" s="596"/>
      <c r="E38" s="596"/>
      <c r="F38" s="635">
        <f>'数据-取费表'!B36</f>
        <v>1.4999999999999999E-2</v>
      </c>
      <c r="G38" s="595" t="s">
        <v>853</v>
      </c>
    </row>
    <row r="39" spans="1:7" s="590" customFormat="1" ht="13.5" customHeight="1">
      <c r="A39" s="1799" t="s">
        <v>1913</v>
      </c>
      <c r="B39" s="586" t="s">
        <v>840</v>
      </c>
      <c r="C39" s="608">
        <f ca="1">ROUND(C33*F20,0)</f>
        <v>517</v>
      </c>
      <c r="D39" s="608"/>
      <c r="E39" s="608"/>
      <c r="F39" s="609"/>
      <c r="G39" s="2616" t="s">
        <v>2520</v>
      </c>
    </row>
    <row r="40" spans="1:7" s="590" customFormat="1" ht="13.5" customHeight="1">
      <c r="A40" s="1799" t="s">
        <v>1914</v>
      </c>
      <c r="B40" s="586" t="s">
        <v>841</v>
      </c>
      <c r="C40" s="3230">
        <f>F21</f>
        <v>1.4999999999999999E-2</v>
      </c>
      <c r="D40" s="612" t="s">
        <v>865</v>
      </c>
      <c r="E40" s="608"/>
      <c r="F40" s="609"/>
      <c r="G40" s="610" t="s">
        <v>856</v>
      </c>
    </row>
    <row r="41" spans="1:7" s="590" customFormat="1" ht="13.5" customHeight="1">
      <c r="A41" s="1799" t="s">
        <v>1915</v>
      </c>
      <c r="B41" s="586" t="s">
        <v>843</v>
      </c>
      <c r="C41" s="608">
        <f ca="1">ROUND(SUM(C42:C43),0)</f>
        <v>2520</v>
      </c>
      <c r="D41" s="611">
        <f ca="1">C44</f>
        <v>1.1000000000000001E-3</v>
      </c>
      <c r="E41" s="612" t="s">
        <v>865</v>
      </c>
      <c r="F41" s="613"/>
      <c r="G41" s="2616" t="str">
        <f>IF('数据-取费表'!B22&lt;=1,"单利计息","复利计息")</f>
        <v>复利计息</v>
      </c>
    </row>
    <row r="42" spans="1:7" ht="13.5" customHeight="1">
      <c r="A42" s="1802" t="s">
        <v>1921</v>
      </c>
      <c r="B42" s="591" t="s">
        <v>2510</v>
      </c>
      <c r="C42" s="614">
        <f ca="1">ROUND(IF('数据-取费表'!B22&lt;=1,C33*F22*'数据-取费表'!B21/2,C33*(POWER((1+F22),'数据-取费表'!B21/2)-1)),0)</f>
        <v>2483</v>
      </c>
      <c r="D42" s="614"/>
      <c r="E42" s="614"/>
      <c r="F42" s="615"/>
      <c r="G42" s="3753" t="s">
        <v>857</v>
      </c>
    </row>
    <row r="43" spans="1:7" ht="13.5" customHeight="1">
      <c r="A43" s="1802" t="s">
        <v>1922</v>
      </c>
      <c r="B43" s="591" t="s">
        <v>2513</v>
      </c>
      <c r="C43" s="614">
        <f ca="1">ROUND(IF('数据-取费表'!B22&lt;=1,C39*F22*'数据-取费表'!B21/2,C39*(POWER((1+F22),'数据-取费表'!B21/2)-1)),0)</f>
        <v>37</v>
      </c>
      <c r="D43" s="614"/>
      <c r="E43" s="614"/>
      <c r="F43" s="615"/>
      <c r="G43" s="3754"/>
    </row>
    <row r="44" spans="1:7" ht="13.5" customHeight="1">
      <c r="A44" s="1802" t="s">
        <v>1923</v>
      </c>
      <c r="B44" s="591" t="s">
        <v>2515</v>
      </c>
      <c r="C44" s="614">
        <f ca="1">ROUND(IF('数据-取费表'!B22&lt;=1,C40*F22*'数据-取费表'!B21/2,C40*(POWER((1+F22),'数据-取费表'!B21/2)-1)),4)</f>
        <v>1.1000000000000001E-3</v>
      </c>
      <c r="D44" s="614"/>
      <c r="E44" s="614"/>
      <c r="F44" s="615"/>
      <c r="G44" s="3755"/>
    </row>
    <row r="45" spans="1:7" s="590" customFormat="1" ht="13.5" customHeight="1">
      <c r="A45" s="1799" t="s">
        <v>1916</v>
      </c>
      <c r="B45" s="620" t="s">
        <v>848</v>
      </c>
      <c r="C45" s="621">
        <f ca="1">C46</f>
        <v>5943</v>
      </c>
      <c r="D45" s="611">
        <f ca="1">C47</f>
        <v>2.5999999999999999E-3</v>
      </c>
      <c r="E45" s="612" t="s">
        <v>865</v>
      </c>
      <c r="F45" s="622"/>
      <c r="G45" s="623" t="s">
        <v>2521</v>
      </c>
    </row>
    <row r="46" spans="1:7" s="590" customFormat="1" ht="13.5" customHeight="1">
      <c r="A46" s="1802" t="s">
        <v>1921</v>
      </c>
      <c r="B46" s="624" t="s">
        <v>2514</v>
      </c>
      <c r="C46" s="625">
        <f ca="1">ROUND((C33+C39)*F27,0)</f>
        <v>5943</v>
      </c>
      <c r="D46" s="639"/>
      <c r="E46" s="612"/>
      <c r="F46" s="622"/>
      <c r="G46" s="623"/>
    </row>
    <row r="47" spans="1:7" s="590" customFormat="1" ht="13.5" customHeight="1">
      <c r="A47" s="1802" t="s">
        <v>1922</v>
      </c>
      <c r="B47" s="624" t="s">
        <v>2516</v>
      </c>
      <c r="C47" s="614">
        <f ca="1">ROUND(C40*F27,4)</f>
        <v>2.5999999999999999E-3</v>
      </c>
      <c r="D47" s="639"/>
      <c r="E47" s="612"/>
      <c r="F47" s="622"/>
      <c r="G47" s="623"/>
    </row>
    <row r="48" spans="1:7" s="590" customFormat="1" ht="13.5" customHeight="1">
      <c r="A48" s="1799" t="s">
        <v>1917</v>
      </c>
      <c r="B48" s="586" t="s">
        <v>858</v>
      </c>
      <c r="C48" s="3230">
        <f>ROUND(F30/(1+'数据-取费表'!C42),4)</f>
        <v>5.33E-2</v>
      </c>
      <c r="D48" s="612" t="s">
        <v>2938</v>
      </c>
      <c r="E48" s="608"/>
      <c r="F48" s="613"/>
      <c r="G48" s="2616" t="s">
        <v>2939</v>
      </c>
    </row>
    <row r="49" spans="1:7" ht="16.5" customHeight="1">
      <c r="A49" s="1799" t="s">
        <v>1918</v>
      </c>
      <c r="B49" s="586" t="s">
        <v>867</v>
      </c>
      <c r="C49" s="608">
        <f ca="1">ROUND((C33+C39+C41+C45)/(1-C40-D41-D45-C48),0)</f>
        <v>46789</v>
      </c>
      <c r="D49" s="608"/>
      <c r="E49" s="608"/>
      <c r="F49" s="640"/>
      <c r="G49" s="610" t="s">
        <v>2522</v>
      </c>
    </row>
    <row r="50" spans="1:7" s="634" customFormat="1" ht="24">
      <c r="A50" s="1799" t="s">
        <v>1919</v>
      </c>
      <c r="B50" s="586" t="s">
        <v>860</v>
      </c>
      <c r="C50" s="608"/>
      <c r="D50" s="608"/>
      <c r="E50" s="608"/>
      <c r="F50" s="640">
        <f>IF('数据-取费表'!B24=0,'数据-取费表'!N16,1)</f>
        <v>0.97</v>
      </c>
      <c r="G50" s="623" t="s">
        <v>861</v>
      </c>
    </row>
    <row r="51" spans="1:7" ht="16.5" customHeight="1">
      <c r="A51" s="1799" t="s">
        <v>1920</v>
      </c>
      <c r="B51" s="586" t="s">
        <v>868</v>
      </c>
      <c r="C51" s="608">
        <f ca="1">ROUND(C49*F50,0)</f>
        <v>45385</v>
      </c>
      <c r="D51" s="608"/>
      <c r="E51" s="608"/>
      <c r="F51" s="640"/>
      <c r="G51" s="610" t="s">
        <v>352</v>
      </c>
    </row>
    <row r="52" spans="1:7" s="584" customFormat="1" ht="16.5" thickBot="1">
      <c r="A52" s="641" t="s">
        <v>353</v>
      </c>
      <c r="B52" s="642"/>
      <c r="C52" s="643">
        <f ca="1">C31+C51</f>
        <v>50158</v>
      </c>
      <c r="D52" s="642"/>
      <c r="E52" s="642"/>
      <c r="F52" s="642"/>
      <c r="G52" s="644"/>
    </row>
    <row r="55" spans="1:7" ht="15">
      <c r="B55" s="646" t="s">
        <v>354</v>
      </c>
      <c r="C55" s="647"/>
    </row>
    <row r="56" spans="1:7">
      <c r="B56" s="2868" t="s">
        <v>2696</v>
      </c>
      <c r="C56" s="651">
        <f ca="1">1-C57</f>
        <v>9.4999999999999973E-2</v>
      </c>
    </row>
    <row r="57" spans="1:7">
      <c r="B57" s="2868" t="s">
        <v>2695</v>
      </c>
      <c r="C57" s="650">
        <f ca="1">ROUND(C51/C52,3)</f>
        <v>0.90500000000000003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1962</v>
      </c>
      <c r="B36" s="1884" t="s">
        <v>1963</v>
      </c>
    </row>
    <row r="37" spans="1:9" ht="27.75" customHeight="1">
      <c r="A37" s="1884"/>
      <c r="B37" s="3560" t="str">
        <f>项目基本情况!B1</f>
        <v>广东省中山市中山市南区永安一路9号悦盈新成花园房地产市场价值预评估</v>
      </c>
      <c r="C37" s="3560"/>
      <c r="D37" s="3560"/>
      <c r="E37" s="3560"/>
      <c r="F37" s="3560"/>
      <c r="G37" s="3560"/>
      <c r="H37" s="3560"/>
      <c r="I37" s="3560"/>
    </row>
    <row r="38" spans="1:9">
      <c r="A38" s="1886"/>
      <c r="B38" s="1886"/>
    </row>
    <row r="39" spans="1:9">
      <c r="A39" s="1884" t="s">
        <v>1962</v>
      </c>
      <c r="B39" s="1884" t="s">
        <v>1964</v>
      </c>
    </row>
    <row r="40" spans="1:9">
      <c r="A40" s="1884"/>
      <c r="B40" s="1884" t="str">
        <f>项目基本情况!B5</f>
        <v>中山市悦创房地产投资有限公司、中山市悦恒商业管理有限公司</v>
      </c>
    </row>
    <row r="41" spans="1:9">
      <c r="A41" s="1884"/>
      <c r="B41" s="1884"/>
    </row>
    <row r="42" spans="1:9">
      <c r="A42" s="1884" t="s">
        <v>1962</v>
      </c>
      <c r="B42" s="1884" t="s">
        <v>1965</v>
      </c>
    </row>
    <row r="43" spans="1:9">
      <c r="A43" s="1884"/>
      <c r="B43" s="1884" t="s">
        <v>1966</v>
      </c>
    </row>
    <row r="44" spans="1:9">
      <c r="A44" s="1884"/>
      <c r="B44" s="1884"/>
    </row>
    <row r="45" spans="1:9">
      <c r="A45" s="1884" t="s">
        <v>1962</v>
      </c>
      <c r="B45" s="1884" t="s">
        <v>1967</v>
      </c>
    </row>
    <row r="46" spans="1:9" s="1884" customFormat="1" ht="12.75">
      <c r="B46" s="1884" t="str">
        <f ca="1">项目基本情况!K4</f>
        <v>梁津（注册号：1119970066)、郑燚（注册号：1120070131)</v>
      </c>
    </row>
    <row r="47" spans="1:9">
      <c r="A47" s="1884"/>
      <c r="B47" s="1884" t="str">
        <f ca="1">项目基本情况!K5</f>
        <v>王萌（注册号：1120130048)</v>
      </c>
    </row>
    <row r="48" spans="1:9">
      <c r="A48" s="1884" t="s">
        <v>1962</v>
      </c>
      <c r="B48" s="1884" t="s">
        <v>1968</v>
      </c>
    </row>
    <row r="49" spans="2:2">
      <c r="B49" s="1884" t="str">
        <f>"康正预评字"&amp;项目基本情况!B2&amp;"号"</f>
        <v>康正预评字2017-1-0821-P01DYGJ3号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48"/>
      <c r="C1" s="2753" t="s">
        <v>2626</v>
      </c>
      <c r="D1" s="574"/>
      <c r="E1" s="574"/>
      <c r="F1" s="574"/>
      <c r="G1" s="2749">
        <f>MATCH(B1,'数据-取费表'!A6:A16,0)+5</f>
        <v>10</v>
      </c>
      <c r="H1" s="2580" t="str">
        <f>IF(ISERROR(FIND("住宅",B1)),"非住宅","住宅")</f>
        <v>非住宅</v>
      </c>
    </row>
    <row r="2" spans="1:8" s="576" customFormat="1" ht="18" customHeight="1">
      <c r="A2" s="577" t="s">
        <v>343</v>
      </c>
      <c r="B2" s="578">
        <f ca="1">ROUND(IF(D2="——",C52/10000,C52/10000-E2),0)</f>
        <v>52422</v>
      </c>
      <c r="C2" s="85" t="s">
        <v>869</v>
      </c>
      <c r="D2" s="2866" t="s">
        <v>529</v>
      </c>
      <c r="E2" s="2864" t="e">
        <f ca="1">SUMIF(INDIRECT("'"&amp;G2&amp;"'"&amp;"!A:A"),"承租人权益价值",INDIRECT("'"&amp;G2&amp;"'"&amp;"!c:c"))</f>
        <v>#REF!</v>
      </c>
      <c r="F2" s="2862" t="s">
        <v>869</v>
      </c>
      <c r="G2" s="2865"/>
    </row>
    <row r="3" spans="1:8" s="576" customFormat="1" ht="18" customHeight="1" thickBot="1">
      <c r="A3" s="579" t="s">
        <v>344</v>
      </c>
      <c r="B3" s="580">
        <f ca="1">ROUND(B2*10000/(IF(B1="",'数据-汇总表'!E3,INDIRECT("'数据-取费表'!k"&amp;$G$1))),0)</f>
        <v>3168</v>
      </c>
      <c r="C3" s="85" t="s">
        <v>870</v>
      </c>
      <c r="D3" s="575"/>
      <c r="E3" s="575"/>
      <c r="F3" s="575"/>
      <c r="G3" s="575"/>
    </row>
    <row r="4" spans="1:8" s="584" customFormat="1" ht="15.75">
      <c r="A4" s="581" t="s">
        <v>822</v>
      </c>
      <c r="B4" s="582"/>
      <c r="C4" s="582"/>
      <c r="D4" s="582"/>
      <c r="E4" s="582"/>
      <c r="F4" s="582"/>
      <c r="G4" s="583"/>
    </row>
    <row r="5" spans="1:8" s="590" customFormat="1" ht="13.5" customHeight="1">
      <c r="A5" s="631" t="s">
        <v>1912</v>
      </c>
      <c r="B5" s="586" t="s">
        <v>823</v>
      </c>
      <c r="C5" s="587">
        <f ca="1">C6+C7+C8</f>
        <v>15709113</v>
      </c>
      <c r="D5" s="587" t="s">
        <v>824</v>
      </c>
      <c r="E5" s="588" t="s">
        <v>825</v>
      </c>
      <c r="F5" s="588" t="s">
        <v>826</v>
      </c>
      <c r="G5" s="589"/>
    </row>
    <row r="6" spans="1:8" s="590" customFormat="1" ht="13.5" customHeight="1">
      <c r="A6" s="1800" t="s">
        <v>1921</v>
      </c>
      <c r="B6" s="591" t="s">
        <v>827</v>
      </c>
      <c r="C6" s="592"/>
      <c r="D6" s="593"/>
      <c r="E6" s="594"/>
      <c r="F6" s="594"/>
      <c r="G6" s="595"/>
    </row>
    <row r="7" spans="1:8" s="590" customFormat="1" ht="13.5" customHeight="1">
      <c r="A7" s="1800" t="s">
        <v>1922</v>
      </c>
      <c r="B7" s="591" t="s">
        <v>345</v>
      </c>
      <c r="C7" s="596">
        <f>ROUND(C6*F7,0)</f>
        <v>0</v>
      </c>
      <c r="D7" s="596"/>
      <c r="E7" s="594"/>
      <c r="F7" s="597">
        <f>'数据-取费表'!B48+'数据-取费表'!B49</f>
        <v>3.0499999999999999E-2</v>
      </c>
      <c r="G7" s="595"/>
    </row>
    <row r="8" spans="1:8" s="599" customFormat="1">
      <c r="A8" s="1800" t="s">
        <v>1923</v>
      </c>
      <c r="B8" s="591" t="s">
        <v>828</v>
      </c>
      <c r="C8" s="596">
        <f ca="1">IF(G8="已包含在土地购买价格中",0,C9+C10)</f>
        <v>15709113</v>
      </c>
      <c r="D8" s="598"/>
      <c r="E8" s="596"/>
      <c r="F8" s="597"/>
      <c r="G8" s="84"/>
    </row>
    <row r="9" spans="1:8" s="590" customFormat="1" ht="13.5" customHeight="1">
      <c r="A9" s="1801" t="s">
        <v>1930</v>
      </c>
      <c r="B9" s="600" t="s">
        <v>829</v>
      </c>
      <c r="C9" s="601">
        <f ca="1">ROUND(D9*E9,0)</f>
        <v>0</v>
      </c>
      <c r="D9" s="1905">
        <f ca="1">IF(B1="",'数据-汇总表'!E5,IF(INDIRECT("'数据-取费表'!c"&amp;$G$1)="住宅",INDIRECT("'数据-取费表'!k"&amp;$G$1),0))</f>
        <v>0</v>
      </c>
      <c r="E9" s="601">
        <f>'数据-取费表'!B27</f>
        <v>94.92</v>
      </c>
      <c r="F9" s="597"/>
      <c r="G9" s="602"/>
    </row>
    <row r="10" spans="1:8" s="590" customFormat="1" ht="13.5" customHeight="1">
      <c r="A10" s="1801" t="s">
        <v>1931</v>
      </c>
      <c r="B10" s="600" t="s">
        <v>830</v>
      </c>
      <c r="C10" s="601">
        <f ca="1">ROUND(D10*E10,0)</f>
        <v>15709113</v>
      </c>
      <c r="D10" s="1905">
        <f ca="1">IF(B1="",'数据-汇总表'!E6,IF(INDIRECT("'数据-取费表'!c"&amp;$G$1)="住宅",INDIRECT("'数据-取费表'!s"&amp;$G$1),INDIRECT("'数据-取费表'!k"&amp;$G$1)+INDIRECT("'数据-取费表'!s"&amp;$G$1)))</f>
        <v>165498.45000000001</v>
      </c>
      <c r="E10" s="601">
        <f>'数据-取费表'!B28</f>
        <v>94.92</v>
      </c>
      <c r="F10" s="597"/>
      <c r="G10" s="602"/>
    </row>
    <row r="11" spans="1:8" s="590" customFormat="1" ht="13.5" hidden="1" customHeight="1">
      <c r="A11" s="603" t="s">
        <v>42</v>
      </c>
      <c r="B11" s="591" t="s">
        <v>831</v>
      </c>
      <c r="C11" s="587"/>
      <c r="D11" s="1907"/>
      <c r="E11" s="594"/>
      <c r="F11" s="594"/>
      <c r="G11" s="595"/>
    </row>
    <row r="12" spans="1:8" s="590" customFormat="1" ht="13.5" hidden="1" customHeight="1">
      <c r="A12" s="603" t="s">
        <v>43</v>
      </c>
      <c r="B12" s="591" t="s">
        <v>832</v>
      </c>
      <c r="C12" s="587">
        <v>0</v>
      </c>
      <c r="D12" s="1907"/>
      <c r="E12" s="604"/>
      <c r="F12" s="597">
        <v>3.0499999999999999E-2</v>
      </c>
      <c r="G12" s="595"/>
    </row>
    <row r="13" spans="1:8" s="590" customFormat="1" ht="13.5" hidden="1" customHeight="1">
      <c r="A13" s="603" t="s">
        <v>44</v>
      </c>
      <c r="B13" s="591" t="s">
        <v>833</v>
      </c>
      <c r="C13" s="587"/>
      <c r="D13" s="1907"/>
      <c r="E13" s="594"/>
      <c r="F13" s="594"/>
      <c r="G13" s="595"/>
    </row>
    <row r="14" spans="1:8" s="590" customFormat="1" ht="13.5" hidden="1" customHeight="1">
      <c r="A14" s="603" t="s">
        <v>45</v>
      </c>
      <c r="B14" s="591" t="s">
        <v>828</v>
      </c>
      <c r="C14" s="587"/>
      <c r="D14" s="1907"/>
      <c r="E14" s="594"/>
      <c r="F14" s="594"/>
      <c r="G14" s="595" t="s">
        <v>834</v>
      </c>
    </row>
    <row r="15" spans="1:8" s="590" customFormat="1" ht="13.5" hidden="1" customHeight="1">
      <c r="A15" s="603" t="s">
        <v>46</v>
      </c>
      <c r="B15" s="591" t="s">
        <v>835</v>
      </c>
      <c r="C15" s="596"/>
      <c r="D15" s="1907"/>
      <c r="E15" s="594"/>
      <c r="F15" s="594"/>
      <c r="G15" s="595" t="s">
        <v>836</v>
      </c>
    </row>
    <row r="16" spans="1:8" s="590" customFormat="1" ht="13.5" hidden="1" customHeight="1">
      <c r="A16" s="603" t="s">
        <v>47</v>
      </c>
      <c r="B16" s="591" t="s">
        <v>828</v>
      </c>
      <c r="C16" s="596"/>
      <c r="D16" s="1907"/>
      <c r="E16" s="594"/>
      <c r="F16" s="594"/>
      <c r="G16" s="595"/>
    </row>
    <row r="17" spans="1:7" s="590" customFormat="1" ht="13.5" hidden="1" customHeight="1">
      <c r="A17" s="603" t="s">
        <v>48</v>
      </c>
      <c r="B17" s="591" t="s">
        <v>837</v>
      </c>
      <c r="C17" s="605"/>
      <c r="D17" s="1908"/>
      <c r="E17" s="605"/>
      <c r="F17" s="605"/>
      <c r="G17" s="595" t="s">
        <v>836</v>
      </c>
    </row>
    <row r="18" spans="1:7" s="590" customFormat="1" ht="13.5" hidden="1" customHeight="1">
      <c r="A18" s="603" t="s">
        <v>49</v>
      </c>
      <c r="B18" s="591" t="s">
        <v>838</v>
      </c>
      <c r="C18" s="596">
        <v>0</v>
      </c>
      <c r="D18" s="1907"/>
      <c r="E18" s="594"/>
      <c r="F18" s="597">
        <v>3.0499999999999999E-2</v>
      </c>
      <c r="G18" s="595" t="s">
        <v>839</v>
      </c>
    </row>
    <row r="19" spans="1:7" s="599" customFormat="1" ht="13.5" customHeight="1">
      <c r="A19" s="1799" t="s">
        <v>1913</v>
      </c>
      <c r="B19" s="586" t="s">
        <v>847</v>
      </c>
      <c r="C19" s="587">
        <f ca="1">IF(G19="已包含在土地取得成本中","0",ROUND(D19*E19,0))</f>
        <v>33099690</v>
      </c>
      <c r="D19" s="1909">
        <f ca="1">D9+D10</f>
        <v>165498.45000000001</v>
      </c>
      <c r="E19" s="587">
        <f>'数据-取费表'!B31</f>
        <v>200</v>
      </c>
      <c r="F19" s="607"/>
      <c r="G19" s="84"/>
    </row>
    <row r="20" spans="1:7" s="590" customFormat="1" ht="13.5" customHeight="1">
      <c r="A20" s="1799" t="s">
        <v>1914</v>
      </c>
      <c r="B20" s="586" t="s">
        <v>840</v>
      </c>
      <c r="C20" s="608">
        <f ca="1">ROUND((C5+C19)*F20,0)</f>
        <v>732132</v>
      </c>
      <c r="D20" s="608"/>
      <c r="E20" s="608"/>
      <c r="F20" s="609">
        <f>'数据-取费表'!B37</f>
        <v>1.4999999999999999E-2</v>
      </c>
      <c r="G20" s="2616" t="s">
        <v>2517</v>
      </c>
    </row>
    <row r="21" spans="1:7" s="590" customFormat="1" ht="13.5" customHeight="1">
      <c r="A21" s="1799" t="s">
        <v>1915</v>
      </c>
      <c r="B21" s="586" t="s">
        <v>841</v>
      </c>
      <c r="C21" s="611">
        <f>F21</f>
        <v>1.4999999999999999E-2</v>
      </c>
      <c r="D21" s="612" t="s">
        <v>862</v>
      </c>
      <c r="E21" s="608"/>
      <c r="F21" s="609">
        <f>'数据-取费表'!B38</f>
        <v>1.4999999999999999E-2</v>
      </c>
      <c r="G21" s="610" t="s">
        <v>842</v>
      </c>
    </row>
    <row r="22" spans="1:7" s="590" customFormat="1" ht="13.5" customHeight="1">
      <c r="A22" s="1799" t="s">
        <v>1916</v>
      </c>
      <c r="B22" s="586" t="s">
        <v>843</v>
      </c>
      <c r="C22" s="2750">
        <f ca="1">ROUND(SUM(C23:C25),0)</f>
        <v>7343639</v>
      </c>
      <c r="D22" s="611">
        <f ca="1">C26</f>
        <v>1.1000000000000001E-3</v>
      </c>
      <c r="E22" s="612" t="s">
        <v>862</v>
      </c>
      <c r="F22" s="613">
        <f ca="1">'数据-取费表'!B40</f>
        <v>4.7500000000000001E-2</v>
      </c>
      <c r="G22" s="2616" t="str">
        <f>IF('数据-取费表'!B22&lt;=1,"单利计息","复利计息")</f>
        <v>复利计息</v>
      </c>
    </row>
    <row r="23" spans="1:7" s="590" customFormat="1" ht="13.5" customHeight="1">
      <c r="A23" s="1802" t="s">
        <v>1921</v>
      </c>
      <c r="B23" s="591" t="s">
        <v>2510</v>
      </c>
      <c r="C23" s="2751">
        <f ca="1">ROUND(IF('数据-取费表'!B22&lt;=1,C5*F22*'数据-取费表'!B22,C5*(POWER((1+F22),'数据-取费表'!B22)-1)),0)</f>
        <v>2346563</v>
      </c>
      <c r="D23" s="614"/>
      <c r="E23" s="614"/>
      <c r="F23" s="615"/>
      <c r="G23" s="616" t="s">
        <v>844</v>
      </c>
    </row>
    <row r="24" spans="1:7" s="590" customFormat="1" ht="13.5" customHeight="1">
      <c r="A24" s="1802" t="s">
        <v>1922</v>
      </c>
      <c r="B24" s="591" t="s">
        <v>2505</v>
      </c>
      <c r="C24" s="2751">
        <f ca="1">ROUND(IF('数据-取费表'!B22&lt;=1,C19*F22*('数据-取费表'!B19/2+'数据-取费表'!B20),C19*(POWER((1+F22),('数据-取费表'!B19/2+'数据-取费表'!B20))-1)),0)</f>
        <v>4944297</v>
      </c>
      <c r="D24" s="614"/>
      <c r="E24" s="614"/>
      <c r="F24" s="615"/>
      <c r="G24" s="616" t="s">
        <v>845</v>
      </c>
    </row>
    <row r="25" spans="1:7" s="590" customFormat="1" ht="24">
      <c r="A25" s="1802" t="s">
        <v>1923</v>
      </c>
      <c r="B25" s="591" t="s">
        <v>2507</v>
      </c>
      <c r="C25" s="2751">
        <f ca="1">ROUND(IF('数据-取费表'!B22&lt;=1,C20*F22*'数据-取费表'!B22/2,C20*(POWER((1+F22),'数据-取费表'!B22/2)-1)),0)</f>
        <v>52779</v>
      </c>
      <c r="D25" s="614"/>
      <c r="E25" s="617"/>
      <c r="F25" s="615"/>
      <c r="G25" s="618" t="s">
        <v>846</v>
      </c>
    </row>
    <row r="26" spans="1:7" s="590" customFormat="1">
      <c r="A26" s="1802" t="s">
        <v>1925</v>
      </c>
      <c r="B26" s="591" t="s">
        <v>2509</v>
      </c>
      <c r="C26" s="614">
        <f ca="1">ROUND(IF('数据-取费表'!B22&lt;=1,F21*F22*'数据-取费表'!B22/2,F21*(POWER((1+F22),'数据-取费表'!B22/2)-1)),4)</f>
        <v>1.1000000000000001E-3</v>
      </c>
      <c r="D26" s="614"/>
      <c r="E26" s="617"/>
      <c r="F26" s="615"/>
      <c r="G26" s="619"/>
    </row>
    <row r="27" spans="1:7" s="590" customFormat="1" ht="24.75">
      <c r="A27" s="1799" t="s">
        <v>1917</v>
      </c>
      <c r="B27" s="620" t="s">
        <v>848</v>
      </c>
      <c r="C27" s="621">
        <f ca="1">C28</f>
        <v>8421959</v>
      </c>
      <c r="D27" s="611">
        <f ca="1">C29</f>
        <v>2.5999999999999999E-3</v>
      </c>
      <c r="E27" s="612" t="s">
        <v>862</v>
      </c>
      <c r="F27" s="622">
        <f ca="1">IF(B1="",'数据-取费表'!Q16,INDIRECT("'数据-取费表'!q"&amp;$G$1))</f>
        <v>0.17</v>
      </c>
      <c r="G27" s="623" t="s">
        <v>2518</v>
      </c>
    </row>
    <row r="28" spans="1:7" s="590" customFormat="1" ht="13.5" customHeight="1">
      <c r="A28" s="1802" t="s">
        <v>1921</v>
      </c>
      <c r="B28" s="624" t="s">
        <v>2511</v>
      </c>
      <c r="C28" s="625">
        <f ca="1">ROUND((C5+C19+C20)*F27,0)</f>
        <v>8421959</v>
      </c>
      <c r="D28" s="611"/>
      <c r="E28" s="612"/>
      <c r="F28" s="622"/>
      <c r="G28" s="623"/>
    </row>
    <row r="29" spans="1:7" s="590" customFormat="1" ht="13.5" customHeight="1">
      <c r="A29" s="1802" t="s">
        <v>1922</v>
      </c>
      <c r="B29" s="624" t="s">
        <v>2512</v>
      </c>
      <c r="C29" s="614">
        <f ca="1">ROUND(C21*F27,4)</f>
        <v>2.5999999999999999E-3</v>
      </c>
      <c r="D29" s="611"/>
      <c r="E29" s="612"/>
      <c r="F29" s="622"/>
      <c r="G29" s="623"/>
    </row>
    <row r="30" spans="1:7" s="590" customFormat="1" ht="13.5" customHeight="1">
      <c r="A30" s="1799" t="s">
        <v>1918</v>
      </c>
      <c r="B30" s="586" t="s">
        <v>346</v>
      </c>
      <c r="C30" s="611">
        <f>ROUND(F30/(1+'数据-取费表'!C42),4)</f>
        <v>5.33E-2</v>
      </c>
      <c r="D30" s="612" t="s">
        <v>2940</v>
      </c>
      <c r="E30" s="617"/>
      <c r="F30" s="613">
        <f>'数据-取费表'!B41</f>
        <v>5.6000000000000001E-2</v>
      </c>
      <c r="G30" s="2616" t="s">
        <v>2941</v>
      </c>
    </row>
    <row r="31" spans="1:7" ht="16.5" customHeight="1">
      <c r="A31" s="585">
        <v>1</v>
      </c>
      <c r="B31" s="586" t="s">
        <v>864</v>
      </c>
      <c r="C31" s="587">
        <f ca="1">ROUND((C5+C19+C20+C22+C27)/(1-C21-D22-D27-C30),0)</f>
        <v>70373419</v>
      </c>
      <c r="D31" s="606"/>
      <c r="E31" s="587"/>
      <c r="F31" s="626"/>
      <c r="G31" s="610" t="s">
        <v>2519</v>
      </c>
    </row>
    <row r="32" spans="1:7" s="584" customFormat="1" ht="15.75">
      <c r="A32" s="628" t="s">
        <v>2621</v>
      </c>
      <c r="B32" s="629"/>
      <c r="C32" s="629"/>
      <c r="D32" s="629"/>
      <c r="E32" s="629"/>
      <c r="F32" s="629"/>
      <c r="G32" s="630"/>
    </row>
    <row r="33" spans="1:7" s="590" customFormat="1" ht="13.5" customHeight="1">
      <c r="A33" s="631" t="s">
        <v>1912</v>
      </c>
      <c r="B33" s="2752" t="s">
        <v>2622</v>
      </c>
      <c r="C33" s="632">
        <f ca="1">SUM(C34:C38)</f>
        <v>344402274</v>
      </c>
      <c r="D33" s="608"/>
      <c r="E33" s="588"/>
      <c r="F33" s="617"/>
      <c r="G33" s="610"/>
    </row>
    <row r="34" spans="1:7" s="634" customFormat="1" ht="13.5" customHeight="1">
      <c r="A34" s="1802" t="s">
        <v>1921</v>
      </c>
      <c r="B34" s="591" t="s">
        <v>347</v>
      </c>
      <c r="C34" s="596">
        <f ca="1">ROUND(IF(B1="",SUMPRODUCT('数据-取费表'!K6:K14,'数据-取费表'!L6:L14),INDIRECT("'数据-取费表'!l"&amp;$G$1)*INDIRECT("'数据-取费表'!k"&amp;$G$1)+'数据-取费表'!L14*INDIRECT("'数据-取费表'!S"&amp;$G$1)),0)</f>
        <v>297897210</v>
      </c>
      <c r="D34" s="593"/>
      <c r="E34" s="596"/>
      <c r="F34" s="633"/>
      <c r="G34" s="595"/>
    </row>
    <row r="35" spans="1:7" ht="13.5" customHeight="1">
      <c r="A35" s="1802" t="s">
        <v>1926</v>
      </c>
      <c r="B35" s="591" t="s">
        <v>348</v>
      </c>
      <c r="C35" s="596">
        <f ca="1">ROUND(C34*F35,0)</f>
        <v>8936916</v>
      </c>
      <c r="D35" s="596"/>
      <c r="E35" s="596"/>
      <c r="F35" s="635">
        <f>'数据-取费表'!B33</f>
        <v>0.03</v>
      </c>
      <c r="G35" s="595" t="s">
        <v>853</v>
      </c>
    </row>
    <row r="36" spans="1:7" ht="24">
      <c r="A36" s="1802" t="s">
        <v>1927</v>
      </c>
      <c r="B36" s="591" t="s">
        <v>349</v>
      </c>
      <c r="C36" s="596">
        <f ca="1">ROUND(IF(B1="",SUM('数据-取费表'!AP6:AP13)*F36,IF(INDIRECT("'数据-取费表'!c"&amp;$G$1)="住宅",INDIRECT("'数据-取费表'!k"&amp;$G$1)*INDIRECT("'数据-取费表'!l"&amp;$G$1)*F36,0)),0)</f>
        <v>0</v>
      </c>
      <c r="D36" s="596"/>
      <c r="E36" s="596"/>
      <c r="F36" s="635">
        <f>'数据-取费表'!B34</f>
        <v>0.05</v>
      </c>
      <c r="G36" s="636" t="s">
        <v>350</v>
      </c>
    </row>
    <row r="37" spans="1:7" s="634" customFormat="1" ht="13.5" customHeight="1">
      <c r="A37" s="1802" t="s">
        <v>1928</v>
      </c>
      <c r="B37" s="591" t="s">
        <v>854</v>
      </c>
      <c r="C37" s="625">
        <f ca="1">ROUND(E37*D37,0)</f>
        <v>33099690</v>
      </c>
      <c r="D37" s="593">
        <f ca="1">D19</f>
        <v>165498.45000000001</v>
      </c>
      <c r="E37" s="625">
        <f>'数据-取费表'!B35</f>
        <v>200</v>
      </c>
      <c r="F37" s="635"/>
      <c r="G37" s="637"/>
    </row>
    <row r="38" spans="1:7" ht="13.5" customHeight="1">
      <c r="A38" s="1802" t="s">
        <v>1929</v>
      </c>
      <c r="B38" s="591" t="s">
        <v>351</v>
      </c>
      <c r="C38" s="596">
        <f ca="1">ROUND(C34*F38,0)</f>
        <v>4468458</v>
      </c>
      <c r="D38" s="596"/>
      <c r="E38" s="596"/>
      <c r="F38" s="635">
        <f>'数据-取费表'!B36</f>
        <v>1.4999999999999999E-2</v>
      </c>
      <c r="G38" s="595" t="s">
        <v>853</v>
      </c>
    </row>
    <row r="39" spans="1:7" s="590" customFormat="1" ht="13.5" customHeight="1">
      <c r="A39" s="1799" t="s">
        <v>1913</v>
      </c>
      <c r="B39" s="586" t="s">
        <v>840</v>
      </c>
      <c r="C39" s="608">
        <f ca="1">ROUND(C33*F20,0)</f>
        <v>5166034</v>
      </c>
      <c r="D39" s="608"/>
      <c r="E39" s="608"/>
      <c r="F39" s="609"/>
      <c r="G39" s="2616" t="s">
        <v>2520</v>
      </c>
    </row>
    <row r="40" spans="1:7" s="590" customFormat="1" ht="13.5" customHeight="1">
      <c r="A40" s="1799" t="s">
        <v>1914</v>
      </c>
      <c r="B40" s="586" t="s">
        <v>841</v>
      </c>
      <c r="C40" s="3230">
        <f>F21</f>
        <v>1.4999999999999999E-2</v>
      </c>
      <c r="D40" s="612" t="s">
        <v>865</v>
      </c>
      <c r="E40" s="608"/>
      <c r="F40" s="609"/>
      <c r="G40" s="610" t="s">
        <v>856</v>
      </c>
    </row>
    <row r="41" spans="1:7" s="590" customFormat="1" ht="13.5" customHeight="1">
      <c r="A41" s="1799" t="s">
        <v>1915</v>
      </c>
      <c r="B41" s="586" t="s">
        <v>843</v>
      </c>
      <c r="C41" s="608">
        <f ca="1">ROUND(SUM(C42:C43),0)</f>
        <v>25200209</v>
      </c>
      <c r="D41" s="611">
        <f ca="1">C44</f>
        <v>1.1000000000000001E-3</v>
      </c>
      <c r="E41" s="612" t="s">
        <v>865</v>
      </c>
      <c r="F41" s="613"/>
      <c r="G41" s="2616" t="str">
        <f>IF('数据-取费表'!B22&lt;=1,"单利计息","复利计息")</f>
        <v>复利计息</v>
      </c>
    </row>
    <row r="42" spans="1:7" ht="13.5" customHeight="1">
      <c r="A42" s="1802" t="s">
        <v>1921</v>
      </c>
      <c r="B42" s="591" t="s">
        <v>2510</v>
      </c>
      <c r="C42" s="614">
        <f ca="1">ROUND(IF('数据-取费表'!B22&lt;=1,C33*F22*'数据-取费表'!B20/2,C33*(POWER((1+F22),'数据-取费表'!B20/2)-1)),0)</f>
        <v>24827792</v>
      </c>
      <c r="D42" s="614"/>
      <c r="E42" s="614"/>
      <c r="F42" s="615"/>
      <c r="G42" s="3756" t="s">
        <v>2625</v>
      </c>
    </row>
    <row r="43" spans="1:7" ht="13.5" customHeight="1">
      <c r="A43" s="1802" t="s">
        <v>1922</v>
      </c>
      <c r="B43" s="591" t="s">
        <v>2505</v>
      </c>
      <c r="C43" s="614">
        <f ca="1">ROUND(IF('数据-取费表'!B22&lt;=1,C39*F22*'数据-取费表'!B20/2,C39*(POWER((1+F22),'数据-取费表'!B20/2)-1)),0)</f>
        <v>372417</v>
      </c>
      <c r="D43" s="614"/>
      <c r="E43" s="614"/>
      <c r="F43" s="615"/>
      <c r="G43" s="3754"/>
    </row>
    <row r="44" spans="1:7" ht="13.5" customHeight="1">
      <c r="A44" s="1802" t="s">
        <v>1923</v>
      </c>
      <c r="B44" s="591" t="s">
        <v>2507</v>
      </c>
      <c r="C44" s="614">
        <f ca="1">ROUND(IF('数据-取费表'!B22&lt;=1,C40*F22*'数据-取费表'!B20/2,C40*(POWER((1+F22),'数据-取费表'!B20/2)-1)),4)</f>
        <v>1.1000000000000001E-3</v>
      </c>
      <c r="D44" s="614"/>
      <c r="E44" s="614"/>
      <c r="F44" s="615"/>
      <c r="G44" s="3755"/>
    </row>
    <row r="45" spans="1:7" s="590" customFormat="1" ht="13.5" customHeight="1">
      <c r="A45" s="1799" t="s">
        <v>1916</v>
      </c>
      <c r="B45" s="620" t="s">
        <v>848</v>
      </c>
      <c r="C45" s="621">
        <f ca="1">C46</f>
        <v>59426612</v>
      </c>
      <c r="D45" s="611">
        <f ca="1">C47</f>
        <v>2.5999999999999999E-3</v>
      </c>
      <c r="E45" s="612" t="s">
        <v>865</v>
      </c>
      <c r="F45" s="622"/>
      <c r="G45" s="623" t="s">
        <v>2521</v>
      </c>
    </row>
    <row r="46" spans="1:7" s="590" customFormat="1" ht="13.5" customHeight="1">
      <c r="A46" s="1802" t="s">
        <v>1921</v>
      </c>
      <c r="B46" s="624" t="s">
        <v>2514</v>
      </c>
      <c r="C46" s="625">
        <f ca="1">ROUND((C33+C39)*F27,0)</f>
        <v>59426612</v>
      </c>
      <c r="D46" s="639"/>
      <c r="E46" s="612"/>
      <c r="F46" s="622"/>
      <c r="G46" s="623"/>
    </row>
    <row r="47" spans="1:7" s="590" customFormat="1" ht="13.5" customHeight="1">
      <c r="A47" s="1802" t="s">
        <v>1922</v>
      </c>
      <c r="B47" s="624" t="s">
        <v>2516</v>
      </c>
      <c r="C47" s="614">
        <f ca="1">ROUND(C40*F27,4)</f>
        <v>2.5999999999999999E-3</v>
      </c>
      <c r="D47" s="639"/>
      <c r="E47" s="612"/>
      <c r="F47" s="622"/>
      <c r="G47" s="623"/>
    </row>
    <row r="48" spans="1:7" s="590" customFormat="1" ht="13.5" customHeight="1">
      <c r="A48" s="1799" t="s">
        <v>1917</v>
      </c>
      <c r="B48" s="586" t="s">
        <v>858</v>
      </c>
      <c r="C48" s="638">
        <f>ROUND(F30/(1+'数据-取费表'!C42),4)</f>
        <v>5.33E-2</v>
      </c>
      <c r="D48" s="612" t="s">
        <v>2938</v>
      </c>
      <c r="E48" s="608"/>
      <c r="F48" s="613"/>
      <c r="G48" s="2616" t="s">
        <v>2939</v>
      </c>
    </row>
    <row r="49" spans="1:7" ht="16.5" customHeight="1">
      <c r="A49" s="1799" t="s">
        <v>1918</v>
      </c>
      <c r="B49" s="586" t="s">
        <v>2623</v>
      </c>
      <c r="C49" s="608">
        <f ca="1">ROUND((C33+C39+C41+C45)/(1-C40-D41-D45-C48),0)</f>
        <v>467882682</v>
      </c>
      <c r="D49" s="608"/>
      <c r="E49" s="608"/>
      <c r="F49" s="640"/>
      <c r="G49" s="610" t="s">
        <v>2522</v>
      </c>
    </row>
    <row r="50" spans="1:7" s="634" customFormat="1">
      <c r="A50" s="1799" t="s">
        <v>1919</v>
      </c>
      <c r="B50" s="586" t="s">
        <v>860</v>
      </c>
      <c r="C50" s="608"/>
      <c r="D50" s="608"/>
      <c r="E50" s="608"/>
      <c r="F50" s="640">
        <f>IF('数据-取费表'!B24=0,'数据-取费表'!N16,1)</f>
        <v>0.97</v>
      </c>
      <c r="G50" s="623"/>
    </row>
    <row r="51" spans="1:7" ht="16.5" customHeight="1">
      <c r="A51" s="1799" t="s">
        <v>1920</v>
      </c>
      <c r="B51" s="586" t="s">
        <v>2624</v>
      </c>
      <c r="C51" s="608">
        <f ca="1">ROUND(C49*F50,0)</f>
        <v>453846202</v>
      </c>
      <c r="D51" s="608"/>
      <c r="E51" s="608"/>
      <c r="F51" s="640"/>
      <c r="G51" s="610" t="s">
        <v>352</v>
      </c>
    </row>
    <row r="52" spans="1:7" s="584" customFormat="1" ht="16.5" thickBot="1">
      <c r="A52" s="641" t="s">
        <v>353</v>
      </c>
      <c r="B52" s="642"/>
      <c r="C52" s="643">
        <f ca="1">C31+C51</f>
        <v>524219621</v>
      </c>
      <c r="D52" s="642"/>
      <c r="E52" s="642"/>
      <c r="F52" s="642"/>
      <c r="G52" s="644"/>
    </row>
    <row r="55" spans="1:7" ht="15">
      <c r="B55" s="646" t="s">
        <v>354</v>
      </c>
      <c r="C55" s="647"/>
    </row>
    <row r="56" spans="1:7">
      <c r="B56" s="2868" t="s">
        <v>2696</v>
      </c>
      <c r="C56" s="651">
        <f ca="1">1-C57</f>
        <v>0.13400000000000001</v>
      </c>
    </row>
    <row r="57" spans="1:7">
      <c r="B57" s="2868" t="s">
        <v>2695</v>
      </c>
      <c r="C57" s="650">
        <f ca="1">ROUND(C51/C52,3)</f>
        <v>0.86599999999999999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3" customWidth="1"/>
    <col min="3" max="3" width="10.375" style="1847" customWidth="1"/>
    <col min="4" max="4" width="9.875" style="1803" customWidth="1"/>
    <col min="5" max="5" width="9.5" style="1465"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871</v>
      </c>
      <c r="B1" s="3046"/>
      <c r="C1" s="3047"/>
      <c r="D1" s="3045"/>
      <c r="E1" s="652"/>
      <c r="F1" s="652"/>
      <c r="G1" s="3046"/>
      <c r="H1" s="652"/>
      <c r="I1" s="652"/>
      <c r="J1" s="652"/>
      <c r="K1" s="652">
        <f>MATCH(C1,'数据-取费表'!A6:A16,0)+5</f>
        <v>10</v>
      </c>
    </row>
    <row r="2" spans="1:33" ht="18" customHeight="1">
      <c r="A2" s="577" t="s">
        <v>820</v>
      </c>
      <c r="B2" s="580">
        <f ca="1">C32</f>
        <v>-1813</v>
      </c>
      <c r="C2" s="88" t="s">
        <v>1099</v>
      </c>
      <c r="D2" s="652"/>
      <c r="E2" s="652"/>
      <c r="F2" s="652"/>
      <c r="G2" s="652"/>
      <c r="H2" s="652"/>
      <c r="I2" s="652"/>
      <c r="J2" s="652"/>
      <c r="K2" s="652"/>
    </row>
    <row r="3" spans="1:33" ht="18" customHeight="1" thickBot="1">
      <c r="A3" s="579" t="s">
        <v>821</v>
      </c>
      <c r="B3" s="580">
        <f ca="1">ROUND(B2*10000/IF(C1="",'数据-汇总表'!E3,INDIRECT("'数据-取费表'!K"&amp;$K$1)),0)</f>
        <v>-110</v>
      </c>
      <c r="C3" s="88" t="s">
        <v>870</v>
      </c>
      <c r="D3" s="652"/>
      <c r="E3" s="652"/>
      <c r="F3" s="652"/>
      <c r="G3" s="652"/>
      <c r="H3" s="652"/>
      <c r="I3" s="652"/>
      <c r="J3" s="652"/>
      <c r="K3" s="652"/>
    </row>
    <row r="4" spans="1:33" s="1807" customFormat="1" ht="16.5" customHeight="1">
      <c r="A4" s="1804" t="s">
        <v>872</v>
      </c>
      <c r="B4" s="1805"/>
      <c r="C4" s="1848">
        <f>SUM(C8:K8)</f>
        <v>0</v>
      </c>
      <c r="D4" s="1805"/>
      <c r="E4" s="1805"/>
      <c r="F4" s="1805"/>
      <c r="G4" s="1805"/>
      <c r="H4" s="1805"/>
      <c r="I4" s="1805"/>
      <c r="J4" s="1805"/>
      <c r="K4" s="1806"/>
    </row>
    <row r="5" spans="1:33" s="1811" customFormat="1" ht="24">
      <c r="A5" s="1808" t="s">
        <v>873</v>
      </c>
      <c r="B5" s="1809" t="s">
        <v>874</v>
      </c>
      <c r="C5" s="1272" t="s">
        <v>202</v>
      </c>
      <c r="D5" s="1272" t="s">
        <v>203</v>
      </c>
      <c r="E5" s="1272" t="s">
        <v>193</v>
      </c>
      <c r="F5" s="1272"/>
      <c r="G5" s="1272"/>
      <c r="H5" s="1272"/>
      <c r="I5" s="1272"/>
      <c r="J5" s="1272"/>
      <c r="K5" s="1272"/>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1932</v>
      </c>
      <c r="B6" s="471" t="s">
        <v>875</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1913</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1914</v>
      </c>
      <c r="B8" s="509" t="s">
        <v>877</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878</v>
      </c>
      <c r="B9" s="1805"/>
      <c r="C9" s="1805"/>
      <c r="D9" s="1805"/>
      <c r="E9" s="1805"/>
      <c r="F9" s="1805"/>
      <c r="G9" s="1805"/>
      <c r="H9" s="1805"/>
      <c r="I9" s="1805"/>
      <c r="J9" s="1805"/>
      <c r="K9" s="1806"/>
    </row>
    <row r="10" spans="1:33" s="1822" customFormat="1" ht="13.5" customHeight="1">
      <c r="A10" s="1808" t="s">
        <v>873</v>
      </c>
      <c r="B10" s="295" t="s">
        <v>874</v>
      </c>
      <c r="C10" s="1818" t="s">
        <v>879</v>
      </c>
      <c r="D10" s="1819" t="s">
        <v>880</v>
      </c>
      <c r="E10" s="1819" t="s">
        <v>881</v>
      </c>
      <c r="F10" s="1819" t="s">
        <v>882</v>
      </c>
      <c r="G10" s="295"/>
      <c r="H10" s="1820"/>
      <c r="I10" s="1820"/>
      <c r="J10" s="1820"/>
      <c r="K10" s="1821"/>
    </row>
    <row r="11" spans="1:33" s="1827" customFormat="1" ht="13.5" customHeight="1">
      <c r="A11" s="1823" t="s">
        <v>2944</v>
      </c>
      <c r="B11" s="1824" t="s">
        <v>883</v>
      </c>
      <c r="C11" s="655">
        <f ca="1">IF(C1="",'数据-取费表'!P16,INDIRECT("'数据-取费表'!p"&amp;$K$1)+INDIRECT("'数据-取费表'!ar"&amp;$K$1))</f>
        <v>0</v>
      </c>
      <c r="D11" s="1825"/>
      <c r="E11" s="715"/>
      <c r="F11" s="1826">
        <f ca="1">1-IF('数据-取费表'!B24=0,1,IF(C1="",'数据-取费表'!N16,INDIRECT("'数据-取费表'!n"&amp;$K$1)))</f>
        <v>0</v>
      </c>
      <c r="G11" s="295"/>
      <c r="H11" s="1820"/>
      <c r="I11" s="1820"/>
      <c r="J11" s="1820"/>
      <c r="K11" s="1821"/>
    </row>
    <row r="12" spans="1:33" s="1827" customFormat="1" ht="13.5" customHeight="1">
      <c r="A12" s="1823" t="s">
        <v>2945</v>
      </c>
      <c r="B12" s="1824" t="s">
        <v>884</v>
      </c>
      <c r="C12" s="313">
        <f ca="1">ROUND(C11*F12,0)</f>
        <v>0</v>
      </c>
      <c r="D12" s="1825"/>
      <c r="E12" s="715"/>
      <c r="F12" s="1828">
        <f>'数据-取费表'!B33</f>
        <v>0.03</v>
      </c>
      <c r="G12" s="295" t="s">
        <v>885</v>
      </c>
      <c r="H12" s="1820"/>
      <c r="I12" s="1820"/>
      <c r="J12" s="1820"/>
      <c r="K12" s="1821"/>
    </row>
    <row r="13" spans="1:33" s="1827" customFormat="1" ht="13.5" customHeight="1">
      <c r="A13" s="1823" t="s">
        <v>2946</v>
      </c>
      <c r="B13" s="1824" t="s">
        <v>886</v>
      </c>
      <c r="C13" s="313">
        <f ca="1">ROUND(IF(C1="",SUMIF('数据-取费表'!C:C,"住宅",'数据-取费表'!P:P)*F13,IF(INDIRECT("'数据-取费表'!c"&amp;$K$1)="住宅",INDIRECT("'数据-取费表'!P"&amp;$K$1)*F13,0)),0)</f>
        <v>0</v>
      </c>
      <c r="D13" s="1906"/>
      <c r="E13" s="715"/>
      <c r="F13" s="1828">
        <f>'数据-取费表'!B34</f>
        <v>0.05</v>
      </c>
      <c r="G13" s="295" t="s">
        <v>887</v>
      </c>
      <c r="H13" s="1820"/>
      <c r="I13" s="1820"/>
      <c r="J13" s="1820"/>
      <c r="K13" s="1821"/>
    </row>
    <row r="14" spans="1:33" s="1829" customFormat="1" ht="13.5" customHeight="1">
      <c r="A14" s="1823" t="s">
        <v>2947</v>
      </c>
      <c r="B14" s="1824" t="s">
        <v>888</v>
      </c>
      <c r="C14" s="313">
        <f ca="1">ROUND(D14*E14*F11/10000,0)</f>
        <v>0</v>
      </c>
      <c r="D14" s="1906">
        <f ca="1">IF(C1="",'数据-汇总表'!E3,INDIRECT("'数据-取费表'!K"&amp;$K$1)+INDIRECT("'数据-取费表'!S"&amp;$K$1))</f>
        <v>165498.45000000001</v>
      </c>
      <c r="E14" s="313">
        <f>'数据-取费表'!B35</f>
        <v>200</v>
      </c>
      <c r="F14" s="1828"/>
      <c r="G14" s="295" t="s">
        <v>889</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2948</v>
      </c>
      <c r="B15" s="1824" t="s">
        <v>895</v>
      </c>
      <c r="C15" s="1835">
        <f ca="1">ROUND(C11*F15,0)</f>
        <v>0</v>
      </c>
      <c r="D15" s="1830"/>
      <c r="E15" s="1835"/>
      <c r="F15" s="1836">
        <f>'数据-取费表'!B36</f>
        <v>1.4999999999999999E-2</v>
      </c>
      <c r="G15" s="471" t="s">
        <v>896</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1933</v>
      </c>
      <c r="B16" s="3231" t="s">
        <v>2949</v>
      </c>
      <c r="C16" s="1835">
        <f ca="1">SUM(C11:C15)</f>
        <v>0</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1934</v>
      </c>
      <c r="B17" s="1824" t="s">
        <v>890</v>
      </c>
      <c r="C17" s="313">
        <f ca="1">ROUND(D17*E17/10000,0)</f>
        <v>0</v>
      </c>
      <c r="D17" s="1906">
        <f ca="1">D14</f>
        <v>165498.45000000001</v>
      </c>
      <c r="E17" s="313">
        <f>'数据-取费表'!B32</f>
        <v>0</v>
      </c>
      <c r="F17" s="1830"/>
      <c r="G17" s="471" t="s">
        <v>891</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2950</v>
      </c>
      <c r="B18" s="1824" t="s">
        <v>892</v>
      </c>
      <c r="C18" s="313">
        <f ca="1">C19+C20-IF(C1="",'数据-取费表'!B29,IF(G18="已全部缴纳",C19+C20,H18))</f>
        <v>1571</v>
      </c>
      <c r="D18" s="1906"/>
      <c r="E18" s="313"/>
      <c r="F18" s="1828"/>
      <c r="G18" s="3042"/>
      <c r="H18" s="3040"/>
      <c r="I18" s="3041" t="s">
        <v>2795</v>
      </c>
      <c r="J18" s="1831"/>
      <c r="K18" s="1832"/>
    </row>
    <row r="19" spans="1:33" s="1827" customFormat="1" ht="13.5" customHeight="1">
      <c r="A19" s="1823" t="s">
        <v>1935</v>
      </c>
      <c r="B19" s="1824" t="s">
        <v>893</v>
      </c>
      <c r="C19" s="313">
        <f ca="1">ROUND(D19*E19/10000,0)</f>
        <v>0</v>
      </c>
      <c r="D19" s="1906">
        <f ca="1">IF(C1="",'数据-汇总表'!E5,IF(INDIRECT("'数据-取费表'!c"&amp;$K$1)="住宅",INDIRECT("'数据-取费表'!k"&amp;$K$1),0))</f>
        <v>0</v>
      </c>
      <c r="E19" s="313">
        <f>'数据-取费表'!B27</f>
        <v>94.92</v>
      </c>
      <c r="F19" s="1828"/>
      <c r="G19" s="303"/>
      <c r="H19" s="3044"/>
      <c r="I19" s="1833"/>
      <c r="J19" s="1833"/>
      <c r="K19" s="1834"/>
    </row>
    <row r="20" spans="1:33" s="1827" customFormat="1" ht="13.5" customHeight="1">
      <c r="A20" s="1823" t="s">
        <v>1936</v>
      </c>
      <c r="B20" s="1824" t="s">
        <v>894</v>
      </c>
      <c r="C20" s="313">
        <f ca="1">ROUND(D20*E20/10000,0)</f>
        <v>1571</v>
      </c>
      <c r="D20" s="1906">
        <f ca="1">IF(C1="",'数据-汇总表'!E6,IF(INDIRECT("'数据-取费表'!c"&amp;$K$1)="住宅",INDIRECT("'数据-取费表'!s"&amp;$K$1),INDIRECT("'数据-取费表'!k"&amp;$K$1)+INDIRECT("'数据-取费表'!s"&amp;$K$1)))</f>
        <v>165498.45000000001</v>
      </c>
      <c r="E20" s="313">
        <f>'数据-取费表'!B28</f>
        <v>94.92</v>
      </c>
      <c r="F20" s="1828"/>
      <c r="G20" s="303"/>
      <c r="H20" s="1833"/>
      <c r="I20" s="1833"/>
      <c r="J20" s="1833"/>
      <c r="K20" s="1834"/>
    </row>
    <row r="21" spans="1:33" s="1827" customFormat="1" ht="13.5" customHeight="1">
      <c r="A21" s="1812" t="s">
        <v>1932</v>
      </c>
      <c r="B21" s="1837" t="s">
        <v>897</v>
      </c>
      <c r="C21" s="1838">
        <f ca="1">C16+C17+C18</f>
        <v>1571</v>
      </c>
      <c r="D21" s="1839"/>
      <c r="E21" s="657"/>
      <c r="F21" s="657"/>
      <c r="G21" s="471" t="s">
        <v>2523</v>
      </c>
      <c r="H21" s="1831"/>
      <c r="I21" s="1831"/>
      <c r="J21" s="1831"/>
      <c r="K21" s="1832"/>
    </row>
    <row r="22" spans="1:33" s="1827" customFormat="1" ht="13.5" customHeight="1">
      <c r="A22" s="1817" t="s">
        <v>1913</v>
      </c>
      <c r="B22" s="1837" t="s">
        <v>898</v>
      </c>
      <c r="C22" s="1838">
        <f ca="1">ROUND(C21*F22,0)</f>
        <v>24</v>
      </c>
      <c r="D22" s="657"/>
      <c r="E22" s="657"/>
      <c r="F22" s="1840">
        <f>'数据-取费表'!B37</f>
        <v>1.4999999999999999E-2</v>
      </c>
      <c r="G22" s="295" t="s">
        <v>899</v>
      </c>
      <c r="H22" s="1820"/>
      <c r="I22" s="1820"/>
      <c r="J22" s="1820"/>
      <c r="K22" s="1821"/>
    </row>
    <row r="23" spans="1:33" s="1827" customFormat="1" ht="13.5" customHeight="1">
      <c r="A23" s="1817" t="s">
        <v>1914</v>
      </c>
      <c r="B23" s="1837" t="s">
        <v>900</v>
      </c>
      <c r="C23" s="1838">
        <f ca="1">ROUND(C4*F23*F11,0)</f>
        <v>0</v>
      </c>
      <c r="D23" s="657"/>
      <c r="E23" s="657"/>
      <c r="F23" s="1840">
        <f>'数据-取费表'!B38</f>
        <v>1.4999999999999999E-2</v>
      </c>
      <c r="G23" s="295" t="s">
        <v>901</v>
      </c>
      <c r="H23" s="1820"/>
      <c r="I23" s="1820"/>
      <c r="J23" s="1820"/>
      <c r="K23" s="1821"/>
    </row>
    <row r="24" spans="1:33" s="1827" customFormat="1" ht="13.5" customHeight="1">
      <c r="A24" s="1817" t="s">
        <v>1915</v>
      </c>
      <c r="B24" s="1837" t="s">
        <v>902</v>
      </c>
      <c r="C24" s="656">
        <f>ROUND(F24/(1+'数据-取费表'!C42),4)</f>
        <v>2.9000000000000001E-2</v>
      </c>
      <c r="D24" s="657" t="s">
        <v>50</v>
      </c>
      <c r="E24" s="657"/>
      <c r="F24" s="1840">
        <f>'数据-取费表'!B48+'数据-取费表'!B49</f>
        <v>3.0499999999999999E-2</v>
      </c>
      <c r="G24" s="2018" t="s">
        <v>2942</v>
      </c>
      <c r="H24" s="1842"/>
      <c r="I24" s="1842"/>
      <c r="J24" s="1842"/>
      <c r="K24" s="1843"/>
    </row>
    <row r="25" spans="1:33" s="1827" customFormat="1" ht="13.5" customHeight="1">
      <c r="A25" s="1817" t="s">
        <v>1916</v>
      </c>
      <c r="B25" s="1839" t="s">
        <v>903</v>
      </c>
      <c r="C25" s="2698">
        <f ca="1">C27</f>
        <v>0</v>
      </c>
      <c r="D25" s="656">
        <f ca="1">C26</f>
        <v>0</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1933</v>
      </c>
      <c r="B26" s="1844" t="s">
        <v>904</v>
      </c>
      <c r="C26" s="2699">
        <f ca="1">ROUND(IF('数据-取费表'!B22&lt;=1,(1+C24)*F25*'数据-取费表'!B24,(1+C24)*(POWER((1+F25),'数据-取费表'!B24)-1)),4)</f>
        <v>0</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1934</v>
      </c>
      <c r="B27" s="1844" t="s">
        <v>2613</v>
      </c>
      <c r="C27" s="2700">
        <f ca="1">ROUND(IF('数据-取费表'!B22&lt;=1,(C21+C22+C23)*F25*'数据-取费表'!B24/2,(C21+C22+C23)*(POWER((1+F25),'数据-取费表'!B24/2)-1)),0)</f>
        <v>0</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1917</v>
      </c>
      <c r="B28" s="3232" t="s">
        <v>2951</v>
      </c>
      <c r="C28" s="663">
        <f ca="1">C30</f>
        <v>271</v>
      </c>
      <c r="D28" s="656">
        <f ca="1">C29</f>
        <v>0</v>
      </c>
      <c r="E28" s="658" t="s">
        <v>50</v>
      </c>
      <c r="F28" s="664">
        <f ca="1">IF(C1="",'数据-取费表'!Q16,INDIRECT("'数据-取费表'!q"&amp;$K$1))</f>
        <v>0.17</v>
      </c>
      <c r="G28" s="1841"/>
      <c r="H28" s="1842"/>
      <c r="I28" s="1842"/>
      <c r="J28" s="1842"/>
      <c r="K28" s="1843"/>
    </row>
    <row r="29" spans="1:33" s="667" customFormat="1" ht="13.5" customHeight="1">
      <c r="A29" s="1823" t="s">
        <v>1933</v>
      </c>
      <c r="B29" s="1846" t="s">
        <v>905</v>
      </c>
      <c r="C29" s="660">
        <f ca="1">ROUND((1+C24)*F28*'数据-取费表'!B24/'数据-取费表'!B20,4)</f>
        <v>0</v>
      </c>
      <c r="D29" s="660"/>
      <c r="E29" s="661"/>
      <c r="F29" s="666"/>
      <c r="G29" s="471" t="s">
        <v>906</v>
      </c>
      <c r="H29" s="1831"/>
      <c r="I29" s="1831"/>
      <c r="J29" s="1831"/>
      <c r="K29" s="1832"/>
    </row>
    <row r="30" spans="1:33" s="667" customFormat="1" ht="13.5" customHeight="1">
      <c r="A30" s="1823" t="s">
        <v>1934</v>
      </c>
      <c r="B30" s="2705" t="s">
        <v>2614</v>
      </c>
      <c r="C30" s="668">
        <f ca="1">ROUND((C21+C22+C23)*F28,0)</f>
        <v>271</v>
      </c>
      <c r="D30" s="660"/>
      <c r="E30" s="661"/>
      <c r="F30" s="666"/>
      <c r="G30" s="471"/>
      <c r="H30" s="1831"/>
      <c r="I30" s="1831"/>
      <c r="J30" s="1831"/>
      <c r="K30" s="1832"/>
    </row>
    <row r="31" spans="1:33" s="1827" customFormat="1" ht="13.5" customHeight="1" thickBot="1">
      <c r="A31" s="1858" t="s">
        <v>1918</v>
      </c>
      <c r="B31" s="1859" t="s">
        <v>907</v>
      </c>
      <c r="C31" s="1860">
        <f>ROUND(C4*F31/(1+'数据-取费表'!C42),0)</f>
        <v>0</v>
      </c>
      <c r="D31" s="1861"/>
      <c r="E31" s="1862"/>
      <c r="F31" s="1863">
        <f>'数据-取费表'!B41</f>
        <v>5.6000000000000001E-2</v>
      </c>
      <c r="G31" s="1864" t="s">
        <v>908</v>
      </c>
      <c r="H31" s="1865"/>
      <c r="I31" s="1865"/>
      <c r="J31" s="1865"/>
      <c r="K31" s="1866"/>
    </row>
    <row r="32" spans="1:33" s="1822" customFormat="1" ht="13.5" customHeight="1" thickBot="1">
      <c r="A32" s="1853" t="s">
        <v>2943</v>
      </c>
      <c r="B32" s="1854"/>
      <c r="C32" s="1855">
        <f ca="1">ROUND((C4-C21-C22-C23-C25-C28-C31)/(1+C24+D25+D28),0)</f>
        <v>-1813</v>
      </c>
      <c r="D32" s="1854"/>
      <c r="E32" s="1854"/>
      <c r="F32" s="1854"/>
      <c r="G32" s="1856" t="s">
        <v>909</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F13"/>
  <sheetViews>
    <sheetView workbookViewId="0">
      <selection activeCell="E2" sqref="E2"/>
    </sheetView>
  </sheetViews>
  <sheetFormatPr defaultRowHeight="13.5"/>
  <cols>
    <col min="1" max="1" width="23.625" customWidth="1"/>
    <col min="2" max="2" width="12" customWidth="1"/>
    <col min="4" max="4" width="14.125" customWidth="1"/>
    <col min="6" max="6" width="12.875" customWidth="1"/>
  </cols>
  <sheetData>
    <row r="1" spans="1:6" ht="20.25">
      <c r="A1" s="2779" t="s">
        <v>2669</v>
      </c>
      <c r="B1" s="2780"/>
      <c r="C1" s="2780"/>
      <c r="D1" s="2780"/>
      <c r="E1" s="2781"/>
    </row>
    <row r="2" spans="1:6" ht="14.25">
      <c r="A2" s="2782" t="s">
        <v>2670</v>
      </c>
      <c r="B2" s="2776">
        <f ca="1">SUMIF(B6:B13,"&lt;&gt;#ref!",B6:B13)</f>
        <v>125291</v>
      </c>
      <c r="C2" s="2777" t="s">
        <v>2667</v>
      </c>
      <c r="D2" s="2778" t="s">
        <v>2672</v>
      </c>
      <c r="E2" s="2786">
        <f>SUM(E6:E13)</f>
        <v>61657.18</v>
      </c>
    </row>
    <row r="3" spans="1:6" ht="14.25">
      <c r="A3" s="2782" t="s">
        <v>2671</v>
      </c>
      <c r="B3" s="2776">
        <f ca="1">ROUND(B2*10000/E2,0)</f>
        <v>20321</v>
      </c>
      <c r="C3" s="2777" t="s">
        <v>2668</v>
      </c>
      <c r="D3" s="2783"/>
      <c r="E3" s="2787"/>
    </row>
    <row r="4" spans="1:6" ht="14.25">
      <c r="A4" s="2788"/>
      <c r="B4" s="2783"/>
      <c r="C4" s="2783"/>
      <c r="D4" s="2783"/>
      <c r="E4" s="2787"/>
    </row>
    <row r="5" spans="1:6">
      <c r="A5" s="2792" t="s">
        <v>2674</v>
      </c>
      <c r="B5" s="3757" t="s">
        <v>2676</v>
      </c>
      <c r="C5" s="3757"/>
      <c r="D5" s="2791"/>
      <c r="E5" s="3333" t="s">
        <v>2675</v>
      </c>
      <c r="F5" s="3334" t="s">
        <v>3047</v>
      </c>
    </row>
    <row r="6" spans="1:6">
      <c r="A6" s="2789" t="str">
        <f>'数据-取费表'!AN6</f>
        <v>收益法</v>
      </c>
      <c r="B6" s="2785">
        <f ca="1">IF(F6="是",'数据-取费表'!AO6,0)</f>
        <v>72785</v>
      </c>
      <c r="C6" s="2777" t="s">
        <v>2667</v>
      </c>
      <c r="D6" s="2783"/>
      <c r="E6" s="1539">
        <f>IF(OR(A6=0,F6="否"),0,'数据-取费表'!K6+'数据-取费表'!S6)</f>
        <v>21711.050000000003</v>
      </c>
      <c r="F6" s="3335" t="s">
        <v>3048</v>
      </c>
    </row>
    <row r="7" spans="1:6">
      <c r="A7" s="2789" t="str">
        <f>'数据-取费表'!AN7</f>
        <v>收益法 (3)</v>
      </c>
      <c r="B7" s="2785">
        <f>IF(F7="是",'数据-取费表'!AO7,0)</f>
        <v>0</v>
      </c>
      <c r="C7" s="2777" t="s">
        <v>2667</v>
      </c>
      <c r="D7" s="2783"/>
      <c r="E7" s="1539">
        <f>IF(OR(A7=0,F7="否"),0,'数据-取费表'!K7+'数据-取费表'!S7)</f>
        <v>0</v>
      </c>
      <c r="F7" s="3335" t="s">
        <v>41</v>
      </c>
    </row>
    <row r="8" spans="1:6">
      <c r="A8" s="2789" t="str">
        <f>'数据-取费表'!AN8</f>
        <v>收益法 (4)</v>
      </c>
      <c r="B8" s="2785">
        <f>IF(F8="是",'数据-取费表'!AO8,0)</f>
        <v>0</v>
      </c>
      <c r="C8" s="2777" t="s">
        <v>2667</v>
      </c>
      <c r="D8" s="2783"/>
      <c r="E8" s="1539">
        <f>IF(OR(A8=0,F8="否"),0,'数据-取费表'!K8+'数据-取费表'!S8)</f>
        <v>0</v>
      </c>
      <c r="F8" s="3335" t="s">
        <v>41</v>
      </c>
    </row>
    <row r="9" spans="1:6">
      <c r="A9" s="2789" t="str">
        <f>'数据-取费表'!AN9</f>
        <v>收益法 (2)</v>
      </c>
      <c r="B9" s="2785">
        <f ca="1">IF(F9="是",'数据-取费表'!AO9,0)</f>
        <v>52506</v>
      </c>
      <c r="C9" s="2777" t="s">
        <v>2667</v>
      </c>
      <c r="D9" s="2783"/>
      <c r="E9" s="1539">
        <f>IF(OR(A9=0,F9="否"),0,'数据-取费表'!K9+'数据-取费表'!S9)</f>
        <v>39946.129999999997</v>
      </c>
      <c r="F9" s="3335" t="s">
        <v>3048</v>
      </c>
    </row>
    <row r="10" spans="1:6">
      <c r="A10" s="2789">
        <f>'数据-取费表'!AN10</f>
        <v>0</v>
      </c>
      <c r="B10" s="2785">
        <f>IF(F10="是",'数据-取费表'!AO10,0)</f>
        <v>0</v>
      </c>
      <c r="C10" s="2777" t="s">
        <v>2667</v>
      </c>
      <c r="D10" s="2783"/>
      <c r="E10" s="1539">
        <f>IF(OR(A10=0,F10="否"),0,'数据-取费表'!K10+'数据-取费表'!S10)</f>
        <v>0</v>
      </c>
      <c r="F10" s="3335" t="s">
        <v>41</v>
      </c>
    </row>
    <row r="11" spans="1:6">
      <c r="A11" s="2789">
        <f>'数据-取费表'!AN11</f>
        <v>0</v>
      </c>
      <c r="B11" s="2785">
        <f>IF(F11="是",'数据-取费表'!AO11,0)</f>
        <v>0</v>
      </c>
      <c r="C11" s="2777" t="s">
        <v>2667</v>
      </c>
      <c r="D11" s="2783"/>
      <c r="E11" s="1539">
        <f>IF(OR(A11=0,F11="否"),0,'数据-取费表'!K11+'数据-取费表'!S11)</f>
        <v>0</v>
      </c>
      <c r="F11" s="3335" t="s">
        <v>41</v>
      </c>
    </row>
    <row r="12" spans="1:6">
      <c r="A12" s="2789">
        <f>'数据-取费表'!AN12</f>
        <v>0</v>
      </c>
      <c r="B12" s="2785">
        <f>IF(F12="是",'数据-取费表'!AO12,0)</f>
        <v>0</v>
      </c>
      <c r="C12" s="2777" t="s">
        <v>2667</v>
      </c>
      <c r="D12" s="2783"/>
      <c r="E12" s="1539">
        <f>IF(OR(A12=0,F12="否"),0,'数据-取费表'!K12+'数据-取费表'!S12)</f>
        <v>0</v>
      </c>
      <c r="F12" s="3335" t="s">
        <v>41</v>
      </c>
    </row>
    <row r="13" spans="1:6" ht="14.25" thickBot="1">
      <c r="A13" s="2790">
        <f>'数据-取费表'!AN13</f>
        <v>0</v>
      </c>
      <c r="B13" s="2785">
        <f>IF(F13="是",'数据-取费表'!AO13,0)</f>
        <v>0</v>
      </c>
      <c r="C13" s="2793" t="s">
        <v>2667</v>
      </c>
      <c r="D13" s="2784"/>
      <c r="E13" s="1539">
        <f>IF(OR(A13=0,F13="否"),0,'数据-取费表'!K13+'数据-取费表'!S13)</f>
        <v>0</v>
      </c>
      <c r="F13" s="3335"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B3" sqref="B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88" t="s">
        <v>3122</v>
      </c>
      <c r="D1" s="1273"/>
      <c r="E1" s="2581" t="s">
        <v>2441</v>
      </c>
      <c r="F1" s="2582">
        <f ca="1">J53</f>
        <v>27.62</v>
      </c>
      <c r="G1" s="672">
        <f>MATCH(C1,'数据-取费表'!A6:A16,0)+5</f>
        <v>9</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820</v>
      </c>
      <c r="B2" s="1406">
        <f ca="1">C40+J29+L46</f>
        <v>72785</v>
      </c>
      <c r="C2" s="1299" t="s">
        <v>1100</v>
      </c>
      <c r="D2" s="1275"/>
      <c r="E2" s="2571"/>
      <c r="F2" s="1276"/>
      <c r="G2" s="2283"/>
      <c r="H2" s="1274"/>
      <c r="I2" s="1274"/>
      <c r="J2" s="1274"/>
      <c r="K2" s="1298"/>
      <c r="L2" s="1274"/>
      <c r="M2" s="1274"/>
    </row>
    <row r="3" spans="1:37" ht="18" customHeight="1" thickBot="1">
      <c r="A3" s="675" t="s">
        <v>821</v>
      </c>
      <c r="B3" s="1407">
        <f ca="1">IF(ISERROR(B2*10000/F43),0,ROUND(B2*10000/F43,0))</f>
        <v>18221</v>
      </c>
      <c r="C3" s="1299" t="s">
        <v>1101</v>
      </c>
      <c r="D3" s="1275"/>
      <c r="E3" s="2571"/>
      <c r="F3" s="1276"/>
      <c r="G3" s="2283"/>
      <c r="H3" s="676" t="s">
        <v>911</v>
      </c>
      <c r="I3" s="1274"/>
      <c r="J3" s="1274"/>
      <c r="K3" s="1298"/>
      <c r="L3" s="1274"/>
      <c r="M3" s="1274"/>
    </row>
    <row r="4" spans="1:37" ht="18" customHeight="1">
      <c r="A4" s="677" t="s">
        <v>912</v>
      </c>
      <c r="B4" s="678" t="s">
        <v>913</v>
      </c>
      <c r="C4" s="678" t="s">
        <v>914</v>
      </c>
      <c r="D4" s="678" t="s">
        <v>915</v>
      </c>
      <c r="E4" s="679" t="s">
        <v>916</v>
      </c>
      <c r="F4" s="680"/>
      <c r="G4" s="2284"/>
      <c r="H4" s="677" t="s">
        <v>912</v>
      </c>
      <c r="I4" s="678" t="s">
        <v>913</v>
      </c>
      <c r="J4" s="678" t="s">
        <v>914</v>
      </c>
      <c r="K4" s="678" t="s">
        <v>915</v>
      </c>
      <c r="L4" s="679" t="s">
        <v>916</v>
      </c>
      <c r="M4" s="680"/>
    </row>
    <row r="5" spans="1:37" ht="18" customHeight="1">
      <c r="A5" s="681">
        <v>1</v>
      </c>
      <c r="B5" s="682" t="s">
        <v>2531</v>
      </c>
      <c r="C5" s="2622">
        <f ca="1">C6+C10+C12</f>
        <v>2920</v>
      </c>
      <c r="D5" s="2632" t="s">
        <v>2533</v>
      </c>
      <c r="E5" s="2623"/>
      <c r="F5" s="2624"/>
      <c r="G5" s="2284"/>
      <c r="H5" s="681">
        <v>1</v>
      </c>
      <c r="I5" s="682" t="s">
        <v>2531</v>
      </c>
      <c r="J5" s="2622">
        <f ca="1">J6+J10+J12</f>
        <v>5585</v>
      </c>
      <c r="K5" s="2625" t="s">
        <v>2533</v>
      </c>
      <c r="L5" s="2623"/>
      <c r="M5" s="2624"/>
    </row>
    <row r="6" spans="1:37" ht="18" customHeight="1">
      <c r="A6" s="2618" t="s">
        <v>2538</v>
      </c>
      <c r="B6" s="3760" t="s">
        <v>2532</v>
      </c>
      <c r="C6" s="2627">
        <f ca="1">ROUND(F6*F8*F7*(1-F9)/10000,0)</f>
        <v>2916</v>
      </c>
      <c r="D6" s="2621" t="s">
        <v>2534</v>
      </c>
      <c r="E6" s="684" t="s">
        <v>917</v>
      </c>
      <c r="F6" s="685">
        <f ca="1">INDIRECT("'数据-取费表'!u"&amp;$G$1)</f>
        <v>2</v>
      </c>
      <c r="G6" s="2284"/>
      <c r="H6" s="2618" t="s">
        <v>2541</v>
      </c>
      <c r="I6" s="3760" t="s">
        <v>2532</v>
      </c>
      <c r="J6" s="683">
        <f ca="1">ROUND(M6*M8*M7*(1-M9)/10000,0)</f>
        <v>5577</v>
      </c>
      <c r="K6" s="2621" t="s">
        <v>2534</v>
      </c>
      <c r="L6" s="684" t="s">
        <v>917</v>
      </c>
      <c r="M6" s="685">
        <f ca="1">INDIRECT("'数据-取费表'!z"&amp;$G$1)</f>
        <v>4.5</v>
      </c>
    </row>
    <row r="7" spans="1:37" ht="18" customHeight="1">
      <c r="A7" s="2626"/>
      <c r="B7" s="3761"/>
      <c r="C7" s="2628"/>
      <c r="D7" s="2057"/>
      <c r="E7" s="2629" t="s">
        <v>918</v>
      </c>
      <c r="F7" s="685">
        <f ca="1">IF(INDIRECT("'数据-取费表'!ah"&amp;$G$1)="",INDIRECT("'数据-取费表'!k"&amp;$G$1),INDIRECT("'数据-取费表'!ah"&amp;$G$1))</f>
        <v>39946.129999999997</v>
      </c>
      <c r="G7" s="2284"/>
      <c r="H7" s="686"/>
      <c r="I7" s="3761"/>
      <c r="J7" s="688"/>
      <c r="K7" s="689"/>
      <c r="L7" s="684" t="s">
        <v>918</v>
      </c>
      <c r="M7" s="685">
        <f ca="1">F7</f>
        <v>39946.129999999997</v>
      </c>
    </row>
    <row r="8" spans="1:37" ht="18" customHeight="1">
      <c r="A8" s="686"/>
      <c r="B8" s="3761"/>
      <c r="C8" s="688"/>
      <c r="D8" s="689"/>
      <c r="E8" s="684" t="s">
        <v>919</v>
      </c>
      <c r="F8" s="685">
        <f ca="1">INDIRECT("'数据-取费表'!ai"&amp;$G$1)</f>
        <v>365</v>
      </c>
      <c r="G8" s="2284"/>
      <c r="H8" s="686"/>
      <c r="I8" s="3761"/>
      <c r="J8" s="688"/>
      <c r="K8" s="689"/>
      <c r="L8" s="684" t="s">
        <v>919</v>
      </c>
      <c r="M8" s="685">
        <f ca="1">INDIRECT("'数据-取费表'!ai"&amp;$G$1)</f>
        <v>365</v>
      </c>
    </row>
    <row r="9" spans="1:37" ht="18" customHeight="1">
      <c r="A9" s="686"/>
      <c r="B9" s="3762"/>
      <c r="C9" s="688"/>
      <c r="D9" s="689"/>
      <c r="E9" s="684" t="s">
        <v>920</v>
      </c>
      <c r="F9" s="694">
        <f ca="1">INDIRECT("'数据-取费表'!w"&amp;$G$1)</f>
        <v>0</v>
      </c>
      <c r="G9" s="2284"/>
      <c r="H9" s="686"/>
      <c r="I9" s="3762"/>
      <c r="J9" s="688"/>
      <c r="K9" s="689"/>
      <c r="L9" s="695" t="s">
        <v>920</v>
      </c>
      <c r="M9" s="696">
        <f ca="1">INDIRECT("'数据-取费表'!ab"&amp;$G$1)</f>
        <v>0.15</v>
      </c>
    </row>
    <row r="10" spans="1:37" ht="18" customHeight="1">
      <c r="A10" s="2618" t="s">
        <v>2539</v>
      </c>
      <c r="B10" s="2619" t="s">
        <v>2527</v>
      </c>
      <c r="C10" s="698">
        <f ca="1">ROUND(IF(F10="押一",F6*F8*F7/12*F11,IF(F10="押二",F6*F8*F7/12*2*F11,IF(F10="押三",F6*F8*F7/12*3*F11,C11*F11)))/10000,0)</f>
        <v>4</v>
      </c>
      <c r="D10" s="2630" t="s">
        <v>2535</v>
      </c>
      <c r="E10" s="2093" t="s">
        <v>2529</v>
      </c>
      <c r="F10" s="2824" t="s">
        <v>3901</v>
      </c>
      <c r="G10" s="2284"/>
      <c r="H10" s="2618" t="s">
        <v>2542</v>
      </c>
      <c r="I10" s="2619" t="s">
        <v>2527</v>
      </c>
      <c r="J10" s="683">
        <f ca="1">ROUND(IF(M10="押一",M6*M8*M7/12*M11,IF(M10="押二",M6*M8*M7/12*2*M11,IF(M10="押三",M6*M8*M7/12*3*M11,J11*M11)))/10000,0)</f>
        <v>8</v>
      </c>
      <c r="K10" s="2630" t="s">
        <v>2535</v>
      </c>
      <c r="L10" s="2093" t="s">
        <v>2529</v>
      </c>
      <c r="M10" s="2725" t="s">
        <v>3901</v>
      </c>
    </row>
    <row r="11" spans="1:37" ht="18" customHeight="1">
      <c r="A11" s="690"/>
      <c r="B11" s="2620" t="s">
        <v>2693</v>
      </c>
      <c r="C11" s="2411"/>
      <c r="D11" s="2863"/>
      <c r="E11" s="2093" t="s">
        <v>2530</v>
      </c>
      <c r="F11" s="696">
        <f ca="1">'数据-取费表'!B39</f>
        <v>1.4999999999999999E-2</v>
      </c>
      <c r="G11" s="2284"/>
      <c r="H11" s="2631"/>
      <c r="I11" s="2620" t="s">
        <v>2693</v>
      </c>
      <c r="J11" s="2411"/>
      <c r="K11" s="1280"/>
      <c r="L11" s="2093" t="s">
        <v>2530</v>
      </c>
      <c r="M11" s="2092">
        <f ca="1">'数据-取费表'!B39</f>
        <v>1.4999999999999999E-2</v>
      </c>
    </row>
    <row r="12" spans="1:37" ht="18" customHeight="1" thickBot="1">
      <c r="A12" s="2666" t="s">
        <v>2540</v>
      </c>
      <c r="B12" s="2667" t="s">
        <v>2528</v>
      </c>
      <c r="C12" s="2668"/>
      <c r="D12" s="2669"/>
      <c r="E12" s="2670"/>
      <c r="F12" s="2671"/>
      <c r="G12" s="2284"/>
      <c r="H12" s="2666" t="s">
        <v>2543</v>
      </c>
      <c r="I12" s="2667" t="s">
        <v>2528</v>
      </c>
      <c r="J12" s="2668"/>
      <c r="K12" s="2685"/>
      <c r="L12" s="2670"/>
      <c r="M12" s="2686"/>
    </row>
    <row r="13" spans="1:37" ht="18" customHeight="1" thickTop="1">
      <c r="A13" s="2662">
        <v>2</v>
      </c>
      <c r="B13" s="2663" t="s">
        <v>921</v>
      </c>
      <c r="C13" s="692">
        <f ca="1">ROUND(C29*F13,0)</f>
        <v>11676</v>
      </c>
      <c r="D13" s="2664" t="s">
        <v>922</v>
      </c>
      <c r="E13" s="2664" t="s">
        <v>923</v>
      </c>
      <c r="F13" s="2665">
        <f ca="1">INDIRECT("'数据-取费表'!y"&amp;$G$1)</f>
        <v>0.97</v>
      </c>
      <c r="G13" s="2284"/>
      <c r="H13" s="2662">
        <v>2</v>
      </c>
      <c r="I13" s="2663" t="s">
        <v>921</v>
      </c>
      <c r="J13" s="2617">
        <f ca="1">ROUND(J14*J15,0)</f>
        <v>11676</v>
      </c>
      <c r="K13" s="2672" t="s">
        <v>922</v>
      </c>
      <c r="L13" s="2683"/>
      <c r="M13" s="2684"/>
    </row>
    <row r="14" spans="1:37" ht="18" customHeight="1">
      <c r="A14" s="2434" t="s">
        <v>2368</v>
      </c>
      <c r="B14" s="684" t="s">
        <v>357</v>
      </c>
      <c r="C14" s="702">
        <f ca="1">INDIRECT("'数据-取费表'!m"&amp;$G$1)+INDIRECT("'数据-取费表'!t"&amp;$G$1)</f>
        <v>7190</v>
      </c>
      <c r="D14" s="2211" t="s">
        <v>924</v>
      </c>
      <c r="E14" s="2210"/>
      <c r="F14" s="703"/>
      <c r="G14" s="2284"/>
      <c r="H14" s="2434" t="s">
        <v>2371</v>
      </c>
      <c r="I14" s="684" t="s">
        <v>925</v>
      </c>
      <c r="J14" s="313">
        <f ca="1">C29</f>
        <v>12037</v>
      </c>
      <c r="K14" s="303"/>
      <c r="L14" s="700"/>
      <c r="M14" s="701"/>
    </row>
    <row r="15" spans="1:37" s="706" customFormat="1" ht="18" customHeight="1" thickBot="1">
      <c r="A15" s="2434" t="s">
        <v>2604</v>
      </c>
      <c r="B15" s="684" t="s">
        <v>358</v>
      </c>
      <c r="C15" s="313">
        <f ca="1">ROUND(C14*F15,0)</f>
        <v>216</v>
      </c>
      <c r="D15" s="704" t="s">
        <v>926</v>
      </c>
      <c r="E15" s="704" t="s">
        <v>927</v>
      </c>
      <c r="F15" s="705">
        <f>'数据-取费表'!B33</f>
        <v>0.03</v>
      </c>
      <c r="G15" s="2285"/>
      <c r="H15" s="2674" t="s">
        <v>2378</v>
      </c>
      <c r="I15" s="2675" t="s">
        <v>923</v>
      </c>
      <c r="J15" s="2686">
        <f ca="1">INDIRECT("'数据-取费表'!ad"&amp;$G$1)</f>
        <v>0.97</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2605</v>
      </c>
      <c r="B16" s="684" t="s">
        <v>359</v>
      </c>
      <c r="C16" s="313">
        <f ca="1">ROUND(INDIRECT("'数据-取费表'!m"&amp;$G$1)*F16,0)</f>
        <v>0</v>
      </c>
      <c r="D16" s="684" t="s">
        <v>926</v>
      </c>
      <c r="E16" s="684" t="s">
        <v>927</v>
      </c>
      <c r="F16" s="707">
        <f ca="1">IF(INDIRECT("'数据-取费表'!c"&amp;$G$1)="住宅",'数据-取费表'!B34,0)</f>
        <v>0</v>
      </c>
      <c r="G16" s="2284"/>
      <c r="H16" s="2662" t="s">
        <v>2336</v>
      </c>
      <c r="I16" s="2663" t="s">
        <v>928</v>
      </c>
      <c r="J16" s="692">
        <f ca="1">ROUND(J17+J22+J23+J24,0)</f>
        <v>662</v>
      </c>
      <c r="K16" s="2672" t="s">
        <v>929</v>
      </c>
      <c r="L16" s="2673"/>
      <c r="M16" s="2624"/>
    </row>
    <row r="17" spans="1:37" s="706" customFormat="1" ht="18" customHeight="1">
      <c r="A17" s="2434" t="s">
        <v>2606</v>
      </c>
      <c r="B17" s="684" t="s">
        <v>360</v>
      </c>
      <c r="C17" s="313">
        <f ca="1">ROUND(F17*(F43+INDIRECT("'数据-取费表'!S"&amp;$G$1))/10000,0)</f>
        <v>799</v>
      </c>
      <c r="D17" s="684" t="s">
        <v>930</v>
      </c>
      <c r="E17" s="684" t="s">
        <v>931</v>
      </c>
      <c r="F17" s="315">
        <f>'数据-取费表'!B35</f>
        <v>200</v>
      </c>
      <c r="G17" s="2285"/>
      <c r="H17" s="2434" t="s">
        <v>2371</v>
      </c>
      <c r="I17" s="684" t="s">
        <v>361</v>
      </c>
      <c r="J17" s="313">
        <f ca="1">ROUND(IF(项目基本情况!B11="自然人",J5*M17,J18+J19+J20),1)</f>
        <v>402.2</v>
      </c>
      <c r="K17" s="2211" t="s">
        <v>932</v>
      </c>
      <c r="L17" s="2209"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2607</v>
      </c>
      <c r="B18" s="684" t="s">
        <v>362</v>
      </c>
      <c r="C18" s="313">
        <f ca="1">ROUND(C14*F18,0)</f>
        <v>108</v>
      </c>
      <c r="D18" s="684" t="s">
        <v>926</v>
      </c>
      <c r="E18" s="684" t="s">
        <v>927</v>
      </c>
      <c r="F18" s="707">
        <f>'数据-取费表'!B36</f>
        <v>1.4999999999999999E-2</v>
      </c>
      <c r="G18" s="2285"/>
      <c r="H18" s="2434" t="s">
        <v>2368</v>
      </c>
      <c r="I18" s="684" t="s">
        <v>934</v>
      </c>
      <c r="J18" s="313">
        <f ca="1">ROUND(J5*M18/(1+'数据-取费表'!C42),2)</f>
        <v>297.87</v>
      </c>
      <c r="K18" s="2209" t="s">
        <v>935</v>
      </c>
      <c r="L18" s="684" t="s">
        <v>927</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2538</v>
      </c>
      <c r="B19" s="684" t="s">
        <v>364</v>
      </c>
      <c r="C19" s="313">
        <f ca="1">SUM(C14:C18)</f>
        <v>8313</v>
      </c>
      <c r="D19" s="471" t="s">
        <v>936</v>
      </c>
      <c r="E19" s="2219"/>
      <c r="F19" s="315"/>
      <c r="G19" s="2284"/>
      <c r="H19" s="2434" t="s">
        <v>2604</v>
      </c>
      <c r="I19" s="684" t="s">
        <v>937</v>
      </c>
      <c r="J19" s="313">
        <f ca="1">IF(K19="按租金收入计税",ROUND(J5*M19,2),ROUND(C29*M19*0.7,2))</f>
        <v>101.11</v>
      </c>
      <c r="K19" s="1300" t="s">
        <v>2411</v>
      </c>
      <c r="L19" s="684" t="s">
        <v>927</v>
      </c>
      <c r="M19" s="707">
        <f>IF(K19="按租金收入计税",'数据-取费表'!B51,'数据-取费表'!B50)</f>
        <v>1.2E-2</v>
      </c>
    </row>
    <row r="20" spans="1:37" s="706" customFormat="1" ht="18" customHeight="1">
      <c r="A20" s="2434" t="s">
        <v>2608</v>
      </c>
      <c r="B20" s="684" t="s">
        <v>365</v>
      </c>
      <c r="C20" s="313">
        <f ca="1">ROUND(C19*F20,0)</f>
        <v>125</v>
      </c>
      <c r="D20" s="709" t="s">
        <v>938</v>
      </c>
      <c r="E20" s="684" t="s">
        <v>927</v>
      </c>
      <c r="F20" s="707">
        <f>'数据-取费表'!B37</f>
        <v>1.4999999999999999E-2</v>
      </c>
      <c r="G20" s="2285"/>
      <c r="H20" s="2434" t="s">
        <v>2605</v>
      </c>
      <c r="I20" s="496" t="s">
        <v>939</v>
      </c>
      <c r="J20" s="314">
        <f ca="1">ROUND(M20*M21/10000,2)</f>
        <v>3.23</v>
      </c>
      <c r="K20" s="710" t="s">
        <v>940</v>
      </c>
      <c r="L20" s="684" t="s">
        <v>941</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2609</v>
      </c>
      <c r="B21" s="684" t="s">
        <v>942</v>
      </c>
      <c r="C21" s="313" t="s">
        <v>69</v>
      </c>
      <c r="D21" s="709" t="s">
        <v>943</v>
      </c>
      <c r="E21" s="684" t="s">
        <v>944</v>
      </c>
      <c r="F21" s="707">
        <f>'数据-取费表'!B38</f>
        <v>1.4999999999999999E-2</v>
      </c>
      <c r="G21" s="2285"/>
      <c r="H21" s="712"/>
      <c r="I21" s="693"/>
      <c r="J21" s="318"/>
      <c r="K21" s="713"/>
      <c r="L21" s="684" t="s">
        <v>945</v>
      </c>
      <c r="M21" s="685">
        <f ca="1">INDIRECT("'数据-取费表'!r"&amp;$G$1)</f>
        <v>8080.7</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2610</v>
      </c>
      <c r="B22" s="684" t="s">
        <v>946</v>
      </c>
      <c r="C22" s="313"/>
      <c r="D22" s="2697" t="str">
        <f>IF(F23&lt;=1,"单利计息。","复利计息。")&amp;"建造成本、管理费用、销售费用产生的利息。"</f>
        <v>复利计息。建造成本、管理费用、销售费用产生的利息。</v>
      </c>
      <c r="E22" s="2219"/>
      <c r="F22" s="315"/>
      <c r="G22" s="2284"/>
      <c r="H22" s="2434" t="s">
        <v>2378</v>
      </c>
      <c r="I22" s="684" t="s">
        <v>947</v>
      </c>
      <c r="J22" s="313">
        <f ca="1">ROUND(J14*M22,1)</f>
        <v>180.6</v>
      </c>
      <c r="K22" s="2209" t="s">
        <v>948</v>
      </c>
      <c r="L22" s="684" t="s">
        <v>927</v>
      </c>
      <c r="M22" s="714">
        <f ca="1">INDIRECT("'数据-取费表'!Ak"&amp;$G$1)</f>
        <v>1.4999999999999999E-2</v>
      </c>
    </row>
    <row r="23" spans="1:37" s="706" customFormat="1" ht="18" customHeight="1">
      <c r="A23" s="2434" t="s">
        <v>2368</v>
      </c>
      <c r="B23" s="684" t="s">
        <v>2524</v>
      </c>
      <c r="C23" s="313">
        <f ca="1">IF('数据-取费表'!B22&lt;=1,ROUND(C19*F24*F23/2,0)+ROUND(C20*F24*F23/2,0),ROUND(C19*(POWER((1+F24),F23/2)-1),0)+ROUND(C20*(POWER((1+F24),F23/2)-1),0))</f>
        <v>608</v>
      </c>
      <c r="D23" s="2701" t="str">
        <f>IF(F23&lt;=1,"(建造成本+管理费用)×利率×(建设周期÷2)","(建造成本+管理费用)×((1+利率)^(建设周期÷2)-1)")</f>
        <v>(建造成本+管理费用)×((1+利率)^(建设周期÷2)-1)</v>
      </c>
      <c r="E23" s="684" t="s">
        <v>949</v>
      </c>
      <c r="F23" s="711">
        <f>'数据-取费表'!B20</f>
        <v>3</v>
      </c>
      <c r="G23" s="2285"/>
      <c r="H23" s="2434" t="s">
        <v>2609</v>
      </c>
      <c r="I23" s="684" t="s">
        <v>366</v>
      </c>
      <c r="J23" s="313">
        <f ca="1">ROUND(J13*M23,1)</f>
        <v>23.4</v>
      </c>
      <c r="K23" s="2209" t="s">
        <v>950</v>
      </c>
      <c r="L23" s="684" t="s">
        <v>927</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2374</v>
      </c>
      <c r="B24" s="684" t="s">
        <v>951</v>
      </c>
      <c r="C24" s="313">
        <f ca="1">ROUND(IF('数据-取费表'!B22&lt;=1,F21*F24*F23/2,F21*(POWER((1+F24),F23/2)-1)),4)</f>
        <v>1.1000000000000001E-3</v>
      </c>
      <c r="D24" s="2701" t="str">
        <f>IF(F23&lt;=1,"销售费用×利率×(建设周期÷2)","销售费用×((1+利率)^(建设周期÷2)-1)")</f>
        <v>销售费用×((1+利率)^(建设周期÷2)-1)</v>
      </c>
      <c r="E24" s="684" t="s">
        <v>952</v>
      </c>
      <c r="F24" s="717">
        <f ca="1">'数据-取费表'!B40</f>
        <v>4.7500000000000001E-2</v>
      </c>
      <c r="G24" s="2285"/>
      <c r="H24" s="2674" t="s">
        <v>2610</v>
      </c>
      <c r="I24" s="2675" t="s">
        <v>365</v>
      </c>
      <c r="J24" s="2676">
        <f ca="1">ROUND(J5*M24,1)</f>
        <v>55.9</v>
      </c>
      <c r="K24" s="2677" t="s">
        <v>953</v>
      </c>
      <c r="L24" s="2675" t="s">
        <v>927</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2375</v>
      </c>
      <c r="B25" s="684" t="s">
        <v>370</v>
      </c>
      <c r="C25" s="313"/>
      <c r="D25" s="471" t="s">
        <v>954</v>
      </c>
      <c r="E25" s="2219"/>
      <c r="F25" s="315"/>
      <c r="G25" s="2284"/>
      <c r="H25" s="2662" t="s">
        <v>2351</v>
      </c>
      <c r="I25" s="2679" t="s">
        <v>955</v>
      </c>
      <c r="J25" s="692">
        <f ca="1">J5-J16</f>
        <v>4923</v>
      </c>
      <c r="K25" s="2680" t="s">
        <v>956</v>
      </c>
      <c r="L25" s="2681"/>
      <c r="M25" s="2682"/>
    </row>
    <row r="26" spans="1:37" ht="18" customHeight="1">
      <c r="A26" s="2434" t="s">
        <v>2368</v>
      </c>
      <c r="B26" s="684" t="s">
        <v>2525</v>
      </c>
      <c r="C26" s="313">
        <f ca="1">ROUND((C19+C20)*F26,0)</f>
        <v>2110</v>
      </c>
      <c r="D26" s="709" t="s">
        <v>957</v>
      </c>
      <c r="E26" s="695" t="s">
        <v>958</v>
      </c>
      <c r="F26" s="694">
        <f ca="1">INDIRECT("'数据-取费表'!q"&amp;$G$1)</f>
        <v>0.25</v>
      </c>
      <c r="G26" s="2284"/>
      <c r="H26" s="681" t="s">
        <v>2354</v>
      </c>
      <c r="I26" s="682" t="s">
        <v>959</v>
      </c>
      <c r="J26" s="683">
        <f ca="1">IF(J5&lt;&gt;0,ROUND(J25*(1-((1+M28)/(1+M26))^M27)/(M26-M28),0),0)</f>
        <v>75257</v>
      </c>
      <c r="K26" s="710" t="s">
        <v>960</v>
      </c>
      <c r="L26" s="684" t="s">
        <v>966</v>
      </c>
      <c r="M26" s="694">
        <f ca="1">INDIRECT("'数据-取费表'!I"&amp;$G$1)</f>
        <v>5.5E-2</v>
      </c>
    </row>
    <row r="27" spans="1:37" ht="18" customHeight="1">
      <c r="A27" s="2434" t="s">
        <v>2374</v>
      </c>
      <c r="B27" s="684" t="s">
        <v>373</v>
      </c>
      <c r="C27" s="313">
        <f ca="1">ROUND(F21*F26,4)</f>
        <v>3.8E-3</v>
      </c>
      <c r="D27" s="709" t="s">
        <v>961</v>
      </c>
      <c r="E27" s="704"/>
      <c r="F27" s="705"/>
      <c r="G27" s="2284"/>
      <c r="H27" s="686"/>
      <c r="I27" s="687"/>
      <c r="J27" s="688"/>
      <c r="K27" s="718" t="s">
        <v>962</v>
      </c>
      <c r="L27" s="684" t="s">
        <v>967</v>
      </c>
      <c r="M27" s="719">
        <f ca="1">INDIRECT("'数据-取费表'!ag"&amp;$G$1)</f>
        <v>21.270000000000003</v>
      </c>
    </row>
    <row r="28" spans="1:37" s="706" customFormat="1" ht="18" customHeight="1">
      <c r="A28" s="2434" t="s">
        <v>2376</v>
      </c>
      <c r="B28" s="684" t="s">
        <v>374</v>
      </c>
      <c r="C28" s="313">
        <f>ROUND(F28/(1+'数据-取费表'!C42),4)</f>
        <v>5.33E-2</v>
      </c>
      <c r="D28" s="709" t="s">
        <v>968</v>
      </c>
      <c r="E28" s="684" t="s">
        <v>927</v>
      </c>
      <c r="F28" s="707">
        <f>'数据-取费表'!B41</f>
        <v>5.6000000000000001E-2</v>
      </c>
      <c r="G28" s="2285"/>
      <c r="H28" s="690"/>
      <c r="I28" s="691"/>
      <c r="J28" s="692"/>
      <c r="K28" s="713"/>
      <c r="L28" s="684" t="s">
        <v>969</v>
      </c>
      <c r="M28" s="694">
        <f ca="1">INDIRECT("'数据-取费表'!aa"&amp;$G$1)</f>
        <v>2.5000000000000001E-2</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2377</v>
      </c>
      <c r="B29" s="2675" t="s">
        <v>970</v>
      </c>
      <c r="C29" s="2676">
        <f ca="1">ROUND((C19+C20+C23+C26)/(1-F21-C24-C27-C28),0)</f>
        <v>12037</v>
      </c>
      <c r="D29" s="2677"/>
      <c r="E29" s="2675"/>
      <c r="F29" s="2678"/>
      <c r="G29" s="2285"/>
      <c r="H29" s="720" t="s">
        <v>2361</v>
      </c>
      <c r="I29" s="721" t="s">
        <v>963</v>
      </c>
      <c r="J29" s="722">
        <f ca="1">ROUND(J26/(1+F40)^F41,0)</f>
        <v>53567</v>
      </c>
      <c r="K29" s="723" t="s">
        <v>964</v>
      </c>
      <c r="L29" s="724"/>
      <c r="M29" s="725">
        <f ca="1">INDIRECT("'数据-取费表'!k"&amp;$G$1)</f>
        <v>39946.129999999997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2336</v>
      </c>
      <c r="B30" s="2663" t="s">
        <v>928</v>
      </c>
      <c r="C30" s="692">
        <f ca="1">ROUND(C31+C36+C37+C38,0)</f>
        <v>493</v>
      </c>
      <c r="D30" s="2672" t="s">
        <v>929</v>
      </c>
      <c r="E30" s="2673"/>
      <c r="F30" s="2624"/>
      <c r="G30" s="2284"/>
      <c r="H30" s="1277"/>
      <c r="I30" s="1278"/>
      <c r="J30" s="1279"/>
      <c r="K30" s="1280"/>
      <c r="L30" s="1281"/>
      <c r="M30" s="1282"/>
    </row>
    <row r="31" spans="1:37" ht="18" customHeight="1">
      <c r="A31" s="2434" t="s">
        <v>2538</v>
      </c>
      <c r="B31" s="684" t="s">
        <v>361</v>
      </c>
      <c r="C31" s="313">
        <f ca="1">ROUND(IF(项目基本情况!B11="自然人",C5*F31,C32+C33+C34),1)</f>
        <v>260.10000000000002</v>
      </c>
      <c r="D31" s="2211" t="s">
        <v>932</v>
      </c>
      <c r="E31" s="2209" t="s">
        <v>971</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2603</v>
      </c>
      <c r="B32" s="684" t="s">
        <v>934</v>
      </c>
      <c r="C32" s="313">
        <f ca="1">IF(项目基本情况!B11="自然人","——",ROUND(C5*F32/(1+'数据-取费表'!C42),2))</f>
        <v>155.72999999999999</v>
      </c>
      <c r="D32" s="2209" t="s">
        <v>935</v>
      </c>
      <c r="E32" s="684" t="s">
        <v>927</v>
      </c>
      <c r="F32" s="717">
        <f>'数据-取费表'!B41</f>
        <v>5.6000000000000001E-2</v>
      </c>
      <c r="G32" s="2284"/>
      <c r="H32" s="1283"/>
      <c r="I32" s="1284"/>
      <c r="J32" s="1285"/>
      <c r="K32" s="1286"/>
      <c r="L32" s="1287"/>
      <c r="M32" s="1288"/>
    </row>
    <row r="33" spans="1:18" ht="18" customHeight="1">
      <c r="A33" s="2434" t="s">
        <v>2604</v>
      </c>
      <c r="B33" s="684" t="s">
        <v>937</v>
      </c>
      <c r="C33" s="313">
        <f ca="1">IF(项目基本情况!B11="自然人","——",IF(D33="按租金收入计税",ROUND(C5*F33,2),IF(D33="按房产原值计税",ROUND(C29*F33*0.7,2),INDIRECT("'数据-取费表'!Aj"&amp;$G$1))))</f>
        <v>101.11</v>
      </c>
      <c r="D33" s="1300" t="s">
        <v>2411</v>
      </c>
      <c r="E33" s="684" t="s">
        <v>363</v>
      </c>
      <c r="F33" s="707">
        <f>IF(D33="按票据","——",IF(D33="按租金收入计税",'数据-取费表'!B51,'数据-取费表'!B50))</f>
        <v>1.2E-2</v>
      </c>
      <c r="G33" s="2284"/>
      <c r="H33" s="1289"/>
      <c r="I33" s="2877"/>
      <c r="J33" s="2878"/>
      <c r="K33" s="1290"/>
      <c r="L33" s="1289"/>
      <c r="M33" s="1289"/>
    </row>
    <row r="34" spans="1:18" ht="18" customHeight="1">
      <c r="A34" s="2618" t="s">
        <v>2605</v>
      </c>
      <c r="B34" s="496" t="s">
        <v>972</v>
      </c>
      <c r="C34" s="314">
        <f ca="1">IF(项目基本情况!B11="自然人","——",ROUND(F34*F35/10000,2))</f>
        <v>3.23</v>
      </c>
      <c r="D34" s="710" t="s">
        <v>973</v>
      </c>
      <c r="E34" s="684" t="s">
        <v>974</v>
      </c>
      <c r="F34" s="711">
        <f>'数据-取费表'!B52</f>
        <v>4</v>
      </c>
      <c r="G34" s="2284"/>
      <c r="H34" s="1277"/>
      <c r="I34" s="2877"/>
      <c r="J34" s="2878"/>
      <c r="K34" s="1291"/>
      <c r="L34" s="1292"/>
      <c r="M34" s="1292"/>
    </row>
    <row r="35" spans="1:18" ht="18" customHeight="1">
      <c r="A35" s="2692"/>
      <c r="B35" s="2690"/>
      <c r="C35" s="318"/>
      <c r="D35" s="713"/>
      <c r="E35" s="684" t="s">
        <v>945</v>
      </c>
      <c r="F35" s="685">
        <f ca="1">INDIRECT("'数据-取费表'!r"&amp;$G$1)</f>
        <v>8080.7</v>
      </c>
      <c r="G35" s="2284"/>
      <c r="H35" s="1277"/>
      <c r="I35" s="2877"/>
      <c r="J35" s="2878"/>
      <c r="K35" s="1290"/>
      <c r="L35" s="1289"/>
      <c r="M35" s="1289"/>
    </row>
    <row r="36" spans="1:18" ht="18" customHeight="1">
      <c r="A36" s="2691" t="s">
        <v>2378</v>
      </c>
      <c r="B36" s="684" t="s">
        <v>947</v>
      </c>
      <c r="C36" s="313">
        <f ca="1">ROUND(C29*F36,1)</f>
        <v>180.6</v>
      </c>
      <c r="D36" s="2209" t="s">
        <v>977</v>
      </c>
      <c r="E36" s="684" t="s">
        <v>978</v>
      </c>
      <c r="F36" s="714">
        <f ca="1">INDIRECT("'数据-取费表'!Ak"&amp;$G$1)</f>
        <v>1.4999999999999999E-2</v>
      </c>
      <c r="G36" s="2284"/>
      <c r="H36" s="1289"/>
      <c r="I36" s="2877"/>
      <c r="J36" s="2878"/>
      <c r="K36" s="1293"/>
      <c r="L36" s="1289"/>
      <c r="M36" s="1289"/>
    </row>
    <row r="37" spans="1:18" ht="18" customHeight="1">
      <c r="A37" s="2434" t="s">
        <v>2609</v>
      </c>
      <c r="B37" s="684" t="s">
        <v>366</v>
      </c>
      <c r="C37" s="313">
        <f ca="1">ROUND(C13*F37,1)</f>
        <v>23.4</v>
      </c>
      <c r="D37" s="2209" t="s">
        <v>367</v>
      </c>
      <c r="E37" s="684" t="s">
        <v>368</v>
      </c>
      <c r="F37" s="716">
        <f ca="1">INDIRECT("'数据-取费表'!Al"&amp;$G$1)</f>
        <v>2E-3</v>
      </c>
      <c r="G37" s="2284"/>
      <c r="H37" s="1289"/>
      <c r="I37" s="2877"/>
      <c r="J37" s="2878"/>
      <c r="K37" s="1293"/>
      <c r="L37" s="1289"/>
      <c r="M37" s="1289"/>
    </row>
    <row r="38" spans="1:18" ht="18" customHeight="1" thickBot="1">
      <c r="A38" s="2674" t="s">
        <v>2610</v>
      </c>
      <c r="B38" s="2675" t="s">
        <v>365</v>
      </c>
      <c r="C38" s="2676">
        <f ca="1">ROUND(C5*F38,1)</f>
        <v>29.2</v>
      </c>
      <c r="D38" s="2677" t="s">
        <v>369</v>
      </c>
      <c r="E38" s="2675" t="s">
        <v>368</v>
      </c>
      <c r="F38" s="2671">
        <f ca="1">INDIRECT("'数据-取费表'!Am"&amp;$G$1)</f>
        <v>0.01</v>
      </c>
      <c r="G38" s="2284"/>
      <c r="H38" s="1289"/>
      <c r="I38" s="2877"/>
      <c r="J38" s="2878"/>
      <c r="K38" s="1294"/>
      <c r="L38" s="1289"/>
      <c r="M38" s="1289"/>
    </row>
    <row r="39" spans="1:18" ht="24.6" customHeight="1" thickTop="1">
      <c r="A39" s="2662" t="s">
        <v>2351</v>
      </c>
      <c r="B39" s="2679" t="s">
        <v>375</v>
      </c>
      <c r="C39" s="692">
        <f ca="1">C5-C30</f>
        <v>2427</v>
      </c>
      <c r="D39" s="2680" t="s">
        <v>376</v>
      </c>
      <c r="E39" s="2681"/>
      <c r="F39" s="2682"/>
      <c r="G39" s="2284"/>
      <c r="H39" s="1289"/>
      <c r="I39" s="2877"/>
      <c r="J39" s="2878"/>
      <c r="K39" s="1294"/>
      <c r="L39" s="1289"/>
      <c r="M39" s="1289"/>
    </row>
    <row r="40" spans="1:18" ht="18" customHeight="1">
      <c r="A40" s="681" t="s">
        <v>2354</v>
      </c>
      <c r="B40" s="682" t="s">
        <v>377</v>
      </c>
      <c r="C40" s="683">
        <f ca="1">ROUND(C39*(1-((1+F42)/(1+F40))^F41)/(F40-F42),0)</f>
        <v>12718</v>
      </c>
      <c r="D40" s="710" t="s">
        <v>371</v>
      </c>
      <c r="E40" s="684" t="s">
        <v>372</v>
      </c>
      <c r="F40" s="694">
        <f ca="1">INDIRECT("'数据-取费表'!I"&amp;$G$1)</f>
        <v>5.5E-2</v>
      </c>
      <c r="G40" s="2284"/>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6.35</v>
      </c>
      <c r="G41" s="2284"/>
      <c r="H41" s="1191"/>
      <c r="I41" s="2877"/>
      <c r="J41" s="2878"/>
      <c r="K41" s="1293"/>
      <c r="L41" s="1191"/>
      <c r="M41" s="1191"/>
    </row>
    <row r="42" spans="1:18" ht="18" customHeight="1">
      <c r="A42" s="690"/>
      <c r="B42" s="691"/>
      <c r="C42" s="692"/>
      <c r="D42" s="713"/>
      <c r="E42" s="684" t="s">
        <v>380</v>
      </c>
      <c r="F42" s="694">
        <f ca="1">INDIRECT("'数据-取费表'!v"&amp;$G$1)</f>
        <v>0</v>
      </c>
      <c r="G42" s="2284"/>
      <c r="H42" s="1191"/>
      <c r="I42" s="2877"/>
      <c r="J42" s="2878"/>
      <c r="K42" s="1293"/>
      <c r="L42" s="1191"/>
      <c r="M42" s="1191"/>
    </row>
    <row r="43" spans="1:18" ht="18" customHeight="1" thickBot="1">
      <c r="A43" s="720" t="s">
        <v>2361</v>
      </c>
      <c r="B43" s="721" t="s">
        <v>381</v>
      </c>
      <c r="C43" s="722">
        <f ca="1">ROUND(C40*10000/F43,0)</f>
        <v>3184</v>
      </c>
      <c r="D43" s="723" t="s">
        <v>382</v>
      </c>
      <c r="E43" s="724" t="s">
        <v>383</v>
      </c>
      <c r="F43" s="725">
        <f ca="1">INDIRECT("'数据-取费表'!k"&amp;$G$1)</f>
        <v>39946.129999999997</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2484</v>
      </c>
      <c r="P45" s="1295"/>
      <c r="Q45" s="1295"/>
      <c r="R45" s="1295"/>
    </row>
    <row r="46" spans="1:18" s="1454" customFormat="1" ht="21" thickBot="1">
      <c r="A46" s="2392" t="s">
        <v>2323</v>
      </c>
      <c r="B46" s="2393"/>
      <c r="C46" s="2721">
        <f ca="1">C68-C40</f>
        <v>-14332</v>
      </c>
      <c r="D46" s="2722" t="str">
        <f>C2</f>
        <v>万元</v>
      </c>
      <c r="E46" s="1432"/>
      <c r="F46" s="1432"/>
      <c r="I46" s="2574" t="s">
        <v>2419</v>
      </c>
      <c r="J46" s="2575"/>
      <c r="K46" s="2576"/>
      <c r="L46" s="2578">
        <f ca="1">IF(M47="住宅",0,IF(L48&gt;J51,L60,J60))</f>
        <v>6500</v>
      </c>
      <c r="O46" s="2590" t="s">
        <v>2462</v>
      </c>
      <c r="P46" s="2591" t="s">
        <v>2463</v>
      </c>
      <c r="Q46" s="2592" t="s">
        <v>2461</v>
      </c>
      <c r="R46" s="2592" t="s">
        <v>2464</v>
      </c>
    </row>
    <row r="47" spans="1:18" s="1454" customFormat="1" ht="15.75" thickBot="1">
      <c r="A47" s="2394" t="s">
        <v>2325</v>
      </c>
      <c r="B47" s="2430" t="s">
        <v>2326</v>
      </c>
      <c r="C47" s="2726" t="s">
        <v>2327</v>
      </c>
      <c r="D47" s="2430" t="s">
        <v>2328</v>
      </c>
      <c r="E47" s="2533" t="s">
        <v>2329</v>
      </c>
      <c r="F47" s="2534"/>
      <c r="G47" s="1456"/>
      <c r="I47" s="2549" t="s">
        <v>2412</v>
      </c>
      <c r="J47" s="2550" t="s">
        <v>3874</v>
      </c>
      <c r="K47" s="2559" t="s">
        <v>2435</v>
      </c>
      <c r="L47" s="2560">
        <f ca="1">INDIRECT("'数据-取费表'!d"&amp;$G$1)</f>
        <v>0</v>
      </c>
      <c r="M47" s="2580" t="str">
        <f>IF(ISNUMBER(FIND("住宅",C1)),"住宅","非住宅")</f>
        <v>非住宅</v>
      </c>
      <c r="O47" s="2583" t="s">
        <v>2447</v>
      </c>
      <c r="P47" s="2593" t="s">
        <v>2465</v>
      </c>
      <c r="Q47" s="2584">
        <f ca="1">C40+J29</f>
        <v>66285</v>
      </c>
      <c r="R47" s="2584" t="s">
        <v>2466</v>
      </c>
    </row>
    <row r="48" spans="1:18" s="1454" customFormat="1" ht="47.25" thickBot="1">
      <c r="A48" s="2707" t="s">
        <v>2615</v>
      </c>
      <c r="B48" s="682" t="s">
        <v>2330</v>
      </c>
      <c r="C48" s="2717">
        <f ca="1">C49+C53+C55</f>
        <v>0</v>
      </c>
      <c r="D48" s="2711"/>
      <c r="E48" s="2712"/>
      <c r="F48" s="2414"/>
      <c r="G48" s="1456"/>
      <c r="H48" s="1457"/>
      <c r="I48" s="2540" t="s">
        <v>2413</v>
      </c>
      <c r="J48" s="2551" t="s">
        <v>2414</v>
      </c>
      <c r="K48" s="2561" t="s">
        <v>2436</v>
      </c>
      <c r="L48" s="2164">
        <f ca="1">INDIRECT("'数据-取费表'!f"&amp;$G$1)</f>
        <v>27.62</v>
      </c>
      <c r="O48" s="2583" t="s">
        <v>2448</v>
      </c>
      <c r="P48" s="2593" t="s">
        <v>2467</v>
      </c>
      <c r="Q48" s="2584">
        <f ca="1">J60</f>
        <v>6500</v>
      </c>
      <c r="R48" s="2584" t="s">
        <v>2475</v>
      </c>
    </row>
    <row r="49" spans="1:18" s="1454" customFormat="1" ht="15.75" thickBot="1">
      <c r="A49" s="2427" t="s">
        <v>2616</v>
      </c>
      <c r="B49" s="2710" t="s">
        <v>2618</v>
      </c>
      <c r="C49" s="2719">
        <f ca="1">ROUND(F49*F51*F50*(1-F52)/10000,0)</f>
        <v>0</v>
      </c>
      <c r="D49" s="2529" t="s">
        <v>2331</v>
      </c>
      <c r="E49" s="2532" t="s">
        <v>2324</v>
      </c>
      <c r="F49" s="2535"/>
      <c r="G49" s="1458"/>
      <c r="H49" s="1457"/>
      <c r="I49" s="2540" t="s">
        <v>2433</v>
      </c>
      <c r="J49" s="2552"/>
      <c r="K49" s="2562" t="s">
        <v>2438</v>
      </c>
      <c r="L49" s="2563"/>
      <c r="O49" s="2585" t="s">
        <v>2449</v>
      </c>
      <c r="P49" s="2593" t="s">
        <v>2468</v>
      </c>
      <c r="Q49" s="2584">
        <f ca="1">C29</f>
        <v>12037</v>
      </c>
      <c r="R49" s="2584" t="s">
        <v>2466</v>
      </c>
    </row>
    <row r="50" spans="1:18" s="1454" customFormat="1" ht="15.75" thickBot="1">
      <c r="A50" s="2428"/>
      <c r="B50" s="2431"/>
      <c r="C50" s="2727"/>
      <c r="D50" s="2401"/>
      <c r="E50" s="2530" t="s">
        <v>2332</v>
      </c>
      <c r="F50" s="2531">
        <f ca="1">F7</f>
        <v>39946.129999999997</v>
      </c>
      <c r="H50" s="1457"/>
      <c r="I50" s="2540" t="s">
        <v>2415</v>
      </c>
      <c r="J50" s="2553">
        <f>SUMPRODUCT((I63:I65=J47)*(J62:L62=J48)*(J63:L65))</f>
        <v>60</v>
      </c>
      <c r="K50" s="2562" t="s">
        <v>2439</v>
      </c>
      <c r="L50" s="2563"/>
      <c r="M50" s="2557"/>
      <c r="O50" s="2585" t="s">
        <v>2450</v>
      </c>
      <c r="P50" s="2593" t="s">
        <v>2476</v>
      </c>
      <c r="Q50" s="2586">
        <f ca="1">J58</f>
        <v>0.54</v>
      </c>
      <c r="R50" s="2584"/>
    </row>
    <row r="51" spans="1:18" s="1454" customFormat="1" ht="15.75" thickBot="1">
      <c r="A51" s="2429"/>
      <c r="B51" s="2431"/>
      <c r="C51" s="2432"/>
      <c r="D51" s="2401"/>
      <c r="E51" s="2433" t="s">
        <v>2333</v>
      </c>
      <c r="F51" s="685">
        <f ca="1">F8</f>
        <v>365</v>
      </c>
      <c r="I51" s="2554" t="s">
        <v>2420</v>
      </c>
      <c r="J51" s="2555">
        <f>IF(J49="",J50,J49+J50-YEAR('数据-取费表'!B2))</f>
        <v>60</v>
      </c>
      <c r="K51" s="2564" t="s">
        <v>2440</v>
      </c>
      <c r="L51" s="2577">
        <f ca="1">ROUND(-PV(INDIRECT("'数据-取费表'!h"&amp;$G$1),L48,(C39-C13*C76),0),0)</f>
        <v>26990</v>
      </c>
      <c r="M51" s="2558"/>
      <c r="O51" s="2585" t="s">
        <v>2451</v>
      </c>
      <c r="P51" s="2593" t="s">
        <v>2477</v>
      </c>
      <c r="Q51" s="2586">
        <f>J52</f>
        <v>0</v>
      </c>
      <c r="R51" s="2584"/>
    </row>
    <row r="52" spans="1:18" s="1454" customFormat="1" ht="15.75" thickBot="1">
      <c r="A52" s="2429"/>
      <c r="B52" s="2431"/>
      <c r="C52" s="2432"/>
      <c r="D52" s="2401"/>
      <c r="E52" s="2433" t="s">
        <v>2334</v>
      </c>
      <c r="F52" s="2528"/>
      <c r="I52" s="2556" t="s">
        <v>2443</v>
      </c>
      <c r="J52" s="2570"/>
      <c r="K52" s="2556" t="s">
        <v>2428</v>
      </c>
      <c r="L52" s="2570"/>
      <c r="M52" s="2393"/>
      <c r="O52" s="2585" t="s">
        <v>2452</v>
      </c>
      <c r="P52" s="2593" t="s">
        <v>2469</v>
      </c>
      <c r="Q52" s="2584">
        <f ca="1">J53</f>
        <v>27.62</v>
      </c>
      <c r="R52" s="2584" t="s">
        <v>2470</v>
      </c>
    </row>
    <row r="53" spans="1:18" s="1454" customFormat="1" ht="43.5" thickBot="1">
      <c r="A53" s="2822" t="s">
        <v>2617</v>
      </c>
      <c r="B53" s="433" t="s">
        <v>2527</v>
      </c>
      <c r="C53" s="698">
        <f ca="1">ROUND(IF(F53="押一",F49*F51*F50/12*F11,IF(F53="押二",F49*F51*F50/12*2*F11,IF(F53="押三",F49*F51*F50/12*3*F11,C54*F11)))/10000,0)</f>
        <v>0</v>
      </c>
      <c r="D53" s="2630" t="s">
        <v>2535</v>
      </c>
      <c r="E53" s="2093" t="s">
        <v>2529</v>
      </c>
      <c r="F53" s="2824"/>
      <c r="I53" s="2566" t="s">
        <v>2445</v>
      </c>
      <c r="J53" s="2567">
        <f ca="1">IF(M47="住宅",J51,MIN(J51,L48))</f>
        <v>27.62</v>
      </c>
      <c r="K53" s="3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9"/>
      <c r="O53" s="2583" t="s">
        <v>2453</v>
      </c>
      <c r="P53" s="2593" t="s">
        <v>2471</v>
      </c>
      <c r="Q53" s="2584">
        <f ca="1">Q47+Q48</f>
        <v>72785</v>
      </c>
      <c r="R53" s="2584" t="s">
        <v>2454</v>
      </c>
    </row>
    <row r="54" spans="1:18" s="1454" customFormat="1" ht="16.5" thickBot="1">
      <c r="A54" s="2823"/>
      <c r="B54" s="2620" t="s">
        <v>2693</v>
      </c>
      <c r="C54" s="2411"/>
      <c r="D54" s="2630"/>
      <c r="E54" s="2774"/>
      <c r="F54" s="2536"/>
      <c r="I54" s="2408"/>
      <c r="J54" s="2565"/>
      <c r="K54" s="2565"/>
      <c r="L54" s="2565"/>
      <c r="M54" s="1458"/>
      <c r="O54" s="2587" t="s">
        <v>2478</v>
      </c>
      <c r="P54" s="1295"/>
      <c r="Q54" s="1295"/>
      <c r="R54" s="1295"/>
    </row>
    <row r="55" spans="1:18" s="1454" customFormat="1" ht="15.75" thickBot="1">
      <c r="A55" s="2666" t="s">
        <v>2540</v>
      </c>
      <c r="B55" s="2667" t="s">
        <v>2528</v>
      </c>
      <c r="C55" s="2668"/>
      <c r="D55" s="2630"/>
      <c r="E55" s="2706"/>
      <c r="F55" s="2536"/>
      <c r="I55" s="3314" t="s">
        <v>2421</v>
      </c>
      <c r="J55" s="3313">
        <f ca="1">ROUND(IF(J47="钢混",J57/J50,1-(1-2%)*(J50-J57)/J50),3)</f>
        <v>0.54</v>
      </c>
      <c r="K55" s="2547" t="s">
        <v>2422</v>
      </c>
      <c r="L55" s="2569"/>
      <c r="O55" s="2590" t="s">
        <v>2462</v>
      </c>
      <c r="P55" s="2591" t="s">
        <v>2463</v>
      </c>
      <c r="Q55" s="2592" t="s">
        <v>2461</v>
      </c>
      <c r="R55" s="2592" t="s">
        <v>2464</v>
      </c>
    </row>
    <row r="56" spans="1:18" s="1454" customFormat="1" ht="44.25" thickTop="1" thickBot="1">
      <c r="A56" s="2405">
        <v>2</v>
      </c>
      <c r="B56" s="2406" t="s">
        <v>2335</v>
      </c>
      <c r="C56" s="608">
        <f ca="1">C13</f>
        <v>11676</v>
      </c>
      <c r="D56" s="2694"/>
      <c r="E56" s="2407"/>
      <c r="F56" s="2536"/>
      <c r="I56" s="2539" t="s">
        <v>2423</v>
      </c>
      <c r="J56" s="2568" t="s">
        <v>41</v>
      </c>
      <c r="K56" s="2540" t="s">
        <v>2427</v>
      </c>
      <c r="L56" s="2164" t="str">
        <f ca="1">IF(L48&lt;J51,"——",L48-J51)</f>
        <v>——</v>
      </c>
      <c r="O56" s="2583" t="s">
        <v>2447</v>
      </c>
      <c r="P56" s="2593" t="s">
        <v>2465</v>
      </c>
      <c r="Q56" s="2584">
        <f ca="1">C40+J29</f>
        <v>66285</v>
      </c>
      <c r="R56" s="2584" t="s">
        <v>2466</v>
      </c>
    </row>
    <row r="57" spans="1:18" s="1454" customFormat="1" ht="29.25" thickBot="1">
      <c r="A57" s="2537"/>
      <c r="B57" s="2398" t="s">
        <v>2365</v>
      </c>
      <c r="C57" s="614">
        <f ca="1">C29</f>
        <v>12037</v>
      </c>
      <c r="D57" s="2409"/>
      <c r="E57" s="2410"/>
      <c r="F57" s="2538"/>
      <c r="I57" s="2541" t="s">
        <v>2444</v>
      </c>
      <c r="J57" s="2545">
        <f ca="1">IF(OR(M47="住宅",J51&lt;L48,J56="是"),"——",J51-L48)</f>
        <v>32.379999999999995</v>
      </c>
      <c r="K57" s="2540" t="s">
        <v>2896</v>
      </c>
      <c r="L57" s="2164" t="str">
        <f ca="1">IF(L48&lt;J51,"——",IF(L55="比较法",L49,IF(L55="基准地价",L50,L51)))</f>
        <v>——</v>
      </c>
      <c r="O57" s="2583" t="s">
        <v>2448</v>
      </c>
      <c r="P57" s="2593" t="s">
        <v>2472</v>
      </c>
      <c r="Q57" s="2584">
        <f ca="1">L60</f>
        <v>0</v>
      </c>
      <c r="R57" s="2584" t="s">
        <v>2487</v>
      </c>
    </row>
    <row r="58" spans="1:18" s="1454" customFormat="1" ht="29.25" thickBot="1">
      <c r="A58" s="697" t="s">
        <v>2336</v>
      </c>
      <c r="B58" s="2406" t="s">
        <v>2366</v>
      </c>
      <c r="C58" s="698">
        <f ca="1">ROUND(C59+C64+C65+C66,0)</f>
        <v>308</v>
      </c>
      <c r="D58" s="2412" t="s">
        <v>2367</v>
      </c>
      <c r="E58" s="2413"/>
      <c r="F58" s="2414"/>
      <c r="I58" s="2541" t="s">
        <v>2424</v>
      </c>
      <c r="J58" s="3315">
        <f ca="1">IF(J55&lt;0.4,0.4,J55)</f>
        <v>0.54</v>
      </c>
      <c r="K58" s="2564" t="s">
        <v>2897</v>
      </c>
      <c r="L58" s="2164">
        <f ca="1">IF(ISERROR(POWER(1+L52,L47-L48)*(POWER(1+L52,L48)-1)/(POWER(1+L52,L47)-1)),0,POWER(1+L52,L47-L48)*(POWER(1+L52,L48)-1)/(POWER(1+L52,L47)-1))</f>
        <v>0</v>
      </c>
      <c r="O58" s="2585" t="s">
        <v>2449</v>
      </c>
      <c r="P58" s="2593" t="s">
        <v>2479</v>
      </c>
      <c r="Q58" s="2584">
        <f>IF(L55="比较法",L49,IF(L55="基准地价",L50,0))</f>
        <v>0</v>
      </c>
      <c r="R58" s="2584" t="s">
        <v>2466</v>
      </c>
    </row>
    <row r="59" spans="1:18" s="1454" customFormat="1" ht="29.25" thickBot="1">
      <c r="A59" s="2434" t="s">
        <v>2371</v>
      </c>
      <c r="B59" s="2398" t="s">
        <v>361</v>
      </c>
      <c r="C59" s="313">
        <f ca="1">ROUND(IF(项目基本情况!B11="自然人",C48*F59,C60+C61+C62),1)</f>
        <v>104.3</v>
      </c>
      <c r="D59" s="2415" t="s">
        <v>2337</v>
      </c>
      <c r="E59" s="2416" t="s">
        <v>2338</v>
      </c>
      <c r="F59" s="708" t="str">
        <f ca="1">IF(项目基本情况!B11="企业","",IF(INDIRECT("'数据-取费表'!c"&amp;$G$1)="住宅",5%,IF(F49*F50*F51/12/(1+'数据-取费表'!C42)&gt;20000,12%,7%)))</f>
        <v/>
      </c>
      <c r="I59" s="2541" t="s">
        <v>2425</v>
      </c>
      <c r="J59" s="2545">
        <f ca="1">IF(OR(M47="住宅",J51&lt;L48,J56="是"),"——",ROUND(C29*J58,0))</f>
        <v>6500</v>
      </c>
      <c r="K59" s="2564" t="s">
        <v>2898</v>
      </c>
      <c r="L59" s="2164">
        <f ca="1">IF(ISERROR(POWER(1+L52,L47-J51)*(POWER(1+L52,J51)-1)/(POWER(1+L52,L47)-1)),0,POWER(1+L52,L47-J51)*(POWER(1+L52,J51)-1)/(POWER(1+L52,L47)-1))</f>
        <v>0</v>
      </c>
      <c r="O59" s="2585" t="s">
        <v>2450</v>
      </c>
      <c r="P59" s="2593" t="s">
        <v>2480</v>
      </c>
      <c r="Q59" s="2586">
        <f>L52</f>
        <v>0</v>
      </c>
      <c r="R59" s="2584"/>
    </row>
    <row r="60" spans="1:18" s="1454" customFormat="1" ht="20.25" thickBot="1">
      <c r="A60" s="2434" t="s">
        <v>2368</v>
      </c>
      <c r="B60" s="2398" t="s">
        <v>2339</v>
      </c>
      <c r="C60" s="313">
        <f ca="1">IF(项目基本情况!B11="自然人","——",ROUND(C48*F60/(1+'数据-取费表'!C42),2))</f>
        <v>0</v>
      </c>
      <c r="D60" s="2416" t="s">
        <v>2340</v>
      </c>
      <c r="E60" s="2398" t="s">
        <v>2341</v>
      </c>
      <c r="F60" s="717">
        <f t="shared" ref="F60:F66" si="0">F32</f>
        <v>5.6000000000000001E-2</v>
      </c>
      <c r="I60" s="2542" t="s">
        <v>2426</v>
      </c>
      <c r="J60" s="2546">
        <f ca="1">IF(OR(M47="住宅",J51&lt;L48,J56="是"),"0",ROUND(J59/(1+J52)^J53,0))</f>
        <v>6500</v>
      </c>
      <c r="K60" s="2548" t="s">
        <v>2429</v>
      </c>
      <c r="L60" s="2546">
        <f ca="1">IF(OR(M47="住宅",L48&lt;J51),0,ROUND(L57*(L58/L59-1),0))</f>
        <v>0</v>
      </c>
      <c r="O60" s="2585" t="s">
        <v>2451</v>
      </c>
      <c r="P60" s="2593" t="s">
        <v>2481</v>
      </c>
      <c r="Q60" s="2584">
        <f ca="1">L58</f>
        <v>0</v>
      </c>
      <c r="R60" s="2584" t="s">
        <v>2456</v>
      </c>
    </row>
    <row r="61" spans="1:18" s="1454" customFormat="1" ht="20.25" thickBot="1">
      <c r="A61" s="2434" t="s">
        <v>2369</v>
      </c>
      <c r="B61" s="2398" t="s">
        <v>2342</v>
      </c>
      <c r="C61" s="313">
        <f ca="1">IF(项目基本情况!B11="自然人","——",IF(D61="按租金收入计税",ROUND(C48*F61,2),IF(D61="按房产原值计税",ROUND(C57*F61*0.7,2),INDIRECT("'数据-取费表'!Aj"&amp;$G$1))))</f>
        <v>101.11</v>
      </c>
      <c r="D61" s="1300" t="s">
        <v>2411</v>
      </c>
      <c r="E61" s="2398" t="s">
        <v>2341</v>
      </c>
      <c r="F61" s="707">
        <f t="shared" si="0"/>
        <v>1.2E-2</v>
      </c>
      <c r="I61" s="2408"/>
      <c r="J61" s="2408"/>
      <c r="K61" s="2408"/>
      <c r="L61" s="2408"/>
      <c r="O61" s="2585" t="s">
        <v>2452</v>
      </c>
      <c r="P61" s="2593" t="s">
        <v>2482</v>
      </c>
      <c r="Q61" s="2584">
        <f ca="1">L59</f>
        <v>0</v>
      </c>
      <c r="R61" s="2584" t="s">
        <v>2457</v>
      </c>
    </row>
    <row r="62" spans="1:18" s="1454" customFormat="1" ht="15.75" thickBot="1">
      <c r="A62" s="2434" t="s">
        <v>2370</v>
      </c>
      <c r="B62" s="2397" t="s">
        <v>2343</v>
      </c>
      <c r="C62" s="314">
        <f ca="1">IF(项目基本情况!B11="自然人","——",ROUND(F62*F63/10000,2))</f>
        <v>3.23</v>
      </c>
      <c r="D62" s="2417" t="s">
        <v>2344</v>
      </c>
      <c r="E62" s="2398" t="s">
        <v>2345</v>
      </c>
      <c r="F62" s="711">
        <f t="shared" si="0"/>
        <v>4</v>
      </c>
      <c r="I62" s="2543" t="s">
        <v>2416</v>
      </c>
      <c r="J62" s="2544" t="s">
        <v>2417</v>
      </c>
      <c r="K62" s="2544" t="s">
        <v>2418</v>
      </c>
      <c r="L62" s="2544" t="s">
        <v>2414</v>
      </c>
      <c r="M62" s="3316" t="s">
        <v>3031</v>
      </c>
      <c r="O62" s="2583" t="s">
        <v>2453</v>
      </c>
      <c r="P62" s="2593" t="s">
        <v>2471</v>
      </c>
      <c r="Q62" s="2584">
        <f ca="1">Q56+Q57</f>
        <v>66285</v>
      </c>
      <c r="R62" s="2584" t="s">
        <v>2454</v>
      </c>
    </row>
    <row r="63" spans="1:18" s="1454" customFormat="1" ht="16.5" thickBot="1">
      <c r="A63" s="712"/>
      <c r="B63" s="2404"/>
      <c r="C63" s="318"/>
      <c r="D63" s="2418"/>
      <c r="E63" s="2398" t="s">
        <v>2346</v>
      </c>
      <c r="F63" s="685">
        <f t="shared" ca="1" si="0"/>
        <v>8080.7</v>
      </c>
      <c r="I63" s="2543" t="s">
        <v>2430</v>
      </c>
      <c r="J63" s="3319">
        <v>70</v>
      </c>
      <c r="K63" s="3319">
        <v>50</v>
      </c>
      <c r="L63" s="3319">
        <v>80</v>
      </c>
      <c r="M63" s="3317">
        <v>0.02</v>
      </c>
      <c r="O63" s="2587" t="s">
        <v>2485</v>
      </c>
      <c r="P63" s="1295"/>
      <c r="Q63" s="1295"/>
      <c r="R63" s="1295"/>
    </row>
    <row r="64" spans="1:18" s="1454" customFormat="1" ht="15.75" thickBot="1">
      <c r="A64" s="2434" t="s">
        <v>2378</v>
      </c>
      <c r="B64" s="2398" t="s">
        <v>2347</v>
      </c>
      <c r="C64" s="313">
        <f ca="1">ROUND(C57*F64,1)</f>
        <v>180.6</v>
      </c>
      <c r="D64" s="2416" t="s">
        <v>2348</v>
      </c>
      <c r="E64" s="2398" t="s">
        <v>2341</v>
      </c>
      <c r="F64" s="714">
        <f t="shared" ca="1" si="0"/>
        <v>1.4999999999999999E-2</v>
      </c>
      <c r="I64" s="2543" t="s">
        <v>2431</v>
      </c>
      <c r="J64" s="3319">
        <v>50</v>
      </c>
      <c r="K64" s="3319">
        <v>35</v>
      </c>
      <c r="L64" s="3319">
        <v>60</v>
      </c>
      <c r="M64" s="3318">
        <v>0</v>
      </c>
      <c r="O64" s="2590" t="s">
        <v>2462</v>
      </c>
      <c r="P64" s="2591" t="s">
        <v>2463</v>
      </c>
      <c r="Q64" s="2592" t="s">
        <v>2461</v>
      </c>
      <c r="R64" s="2592" t="s">
        <v>2464</v>
      </c>
    </row>
    <row r="65" spans="1:18" s="1454" customFormat="1" ht="15.75" thickBot="1">
      <c r="A65" s="2434" t="s">
        <v>2372</v>
      </c>
      <c r="B65" s="2398" t="s">
        <v>366</v>
      </c>
      <c r="C65" s="313">
        <f ca="1">ROUND(C56*F65,1)</f>
        <v>23.4</v>
      </c>
      <c r="D65" s="2416" t="s">
        <v>2349</v>
      </c>
      <c r="E65" s="2398" t="s">
        <v>2341</v>
      </c>
      <c r="F65" s="716">
        <f t="shared" ca="1" si="0"/>
        <v>2E-3</v>
      </c>
      <c r="I65" s="2543" t="s">
        <v>2432</v>
      </c>
      <c r="J65" s="3319">
        <v>40</v>
      </c>
      <c r="K65" s="3319">
        <v>30</v>
      </c>
      <c r="L65" s="3319">
        <v>50</v>
      </c>
      <c r="M65" s="3317">
        <v>0.02</v>
      </c>
      <c r="O65" s="2583" t="s">
        <v>2447</v>
      </c>
      <c r="P65" s="2593" t="s">
        <v>2465</v>
      </c>
      <c r="Q65" s="2584">
        <f ca="1">C40+J29</f>
        <v>66285</v>
      </c>
      <c r="R65" s="2584" t="s">
        <v>2466</v>
      </c>
    </row>
    <row r="66" spans="1:18" s="1454" customFormat="1" ht="20.25" thickBot="1">
      <c r="A66" s="2434" t="s">
        <v>2373</v>
      </c>
      <c r="B66" s="2398" t="s">
        <v>365</v>
      </c>
      <c r="C66" s="313">
        <f ca="1">ROUND(C48*F66,1)</f>
        <v>0</v>
      </c>
      <c r="D66" s="2416" t="s">
        <v>2350</v>
      </c>
      <c r="E66" s="2398" t="s">
        <v>2341</v>
      </c>
      <c r="F66" s="694">
        <f t="shared" ca="1" si="0"/>
        <v>0.01</v>
      </c>
      <c r="O66" s="2583" t="s">
        <v>2448</v>
      </c>
      <c r="P66" s="2593" t="s">
        <v>2472</v>
      </c>
      <c r="Q66" s="2584">
        <f ca="1">L60</f>
        <v>0</v>
      </c>
      <c r="R66" s="2584" t="s">
        <v>2455</v>
      </c>
    </row>
    <row r="67" spans="1:18" s="1454" customFormat="1" ht="24.75" thickBot="1">
      <c r="A67" s="2405" t="s">
        <v>2351</v>
      </c>
      <c r="B67" s="2419" t="s">
        <v>2352</v>
      </c>
      <c r="C67" s="698">
        <f ca="1">C48-C58</f>
        <v>-308</v>
      </c>
      <c r="D67" s="2415" t="s">
        <v>2353</v>
      </c>
      <c r="E67" s="2420"/>
      <c r="F67" s="2421"/>
      <c r="O67" s="2585" t="s">
        <v>2449</v>
      </c>
      <c r="P67" s="2593" t="s">
        <v>2479</v>
      </c>
      <c r="Q67" s="2588">
        <f ca="1">L51</f>
        <v>26990</v>
      </c>
      <c r="R67" s="2589" t="s">
        <v>2489</v>
      </c>
    </row>
    <row r="68" spans="1:18" s="1454" customFormat="1" ht="20.25" thickBot="1">
      <c r="A68" s="2395" t="s">
        <v>2354</v>
      </c>
      <c r="B68" s="2396" t="s">
        <v>2355</v>
      </c>
      <c r="C68" s="683">
        <f ca="1">ROUND(C67*(1-((1+F70)/(1+F68))^F69)/(F68-F70),0)</f>
        <v>-1614</v>
      </c>
      <c r="D68" s="2417" t="s">
        <v>2356</v>
      </c>
      <c r="E68" s="2398" t="s">
        <v>2357</v>
      </c>
      <c r="F68" s="694">
        <f ca="1">F40</f>
        <v>5.5E-2</v>
      </c>
      <c r="O68" s="2585" t="s">
        <v>2450</v>
      </c>
      <c r="P68" s="2594" t="s">
        <v>2483</v>
      </c>
      <c r="Q68" s="2584">
        <f ca="1">ROUND(Q69-Q70*Q71,0)</f>
        <v>1726</v>
      </c>
      <c r="R68" s="2584" t="s">
        <v>2488</v>
      </c>
    </row>
    <row r="69" spans="1:18" s="1454" customFormat="1" ht="15.75" thickBot="1">
      <c r="A69" s="2399"/>
      <c r="B69" s="2400"/>
      <c r="C69" s="688"/>
      <c r="D69" s="2422" t="s">
        <v>2358</v>
      </c>
      <c r="E69" s="2398" t="s">
        <v>2359</v>
      </c>
      <c r="F69" s="719">
        <f ca="1">F41</f>
        <v>6.35</v>
      </c>
      <c r="O69" s="2585" t="s">
        <v>2458</v>
      </c>
      <c r="P69" s="2594" t="s">
        <v>2473</v>
      </c>
      <c r="Q69" s="2584">
        <f ca="1">C39</f>
        <v>2427</v>
      </c>
      <c r="R69" s="2584" t="s">
        <v>2466</v>
      </c>
    </row>
    <row r="70" spans="1:18" s="1454" customFormat="1" ht="15.75" thickBot="1">
      <c r="A70" s="2402"/>
      <c r="B70" s="2403"/>
      <c r="C70" s="692"/>
      <c r="D70" s="2418"/>
      <c r="E70" s="2398" t="s">
        <v>2360</v>
      </c>
      <c r="F70" s="2528"/>
      <c r="O70" s="2585" t="s">
        <v>2459</v>
      </c>
      <c r="P70" s="2594" t="s">
        <v>2474</v>
      </c>
      <c r="Q70" s="2584">
        <f ca="1">C13</f>
        <v>11676</v>
      </c>
      <c r="R70" s="2584" t="s">
        <v>2466</v>
      </c>
    </row>
    <row r="71" spans="1:18" s="1454" customFormat="1" ht="15.75" thickBot="1">
      <c r="A71" s="2423" t="s">
        <v>2361</v>
      </c>
      <c r="B71" s="2424" t="s">
        <v>2362</v>
      </c>
      <c r="C71" s="722">
        <f ca="1">ROUND(C68*10000/F71,0)</f>
        <v>-404</v>
      </c>
      <c r="D71" s="2425" t="s">
        <v>2363</v>
      </c>
      <c r="E71" s="2426" t="s">
        <v>2364</v>
      </c>
      <c r="F71" s="725">
        <f ca="1">F43</f>
        <v>39946.129999999997</v>
      </c>
      <c r="I71" s="2393"/>
      <c r="K71" s="2393"/>
      <c r="O71" s="2585" t="s">
        <v>2460</v>
      </c>
      <c r="P71" s="2594" t="s">
        <v>2486</v>
      </c>
      <c r="Q71" s="2586">
        <f ca="1">C76</f>
        <v>0.06</v>
      </c>
      <c r="R71" s="2584"/>
    </row>
    <row r="72" spans="1:18" s="1454" customFormat="1" ht="15.75" thickBot="1">
      <c r="B72" s="1459"/>
      <c r="C72" s="1459"/>
      <c r="I72" s="2393"/>
      <c r="O72" s="2585" t="s">
        <v>2451</v>
      </c>
      <c r="P72" s="2593" t="s">
        <v>2480</v>
      </c>
      <c r="Q72" s="2586">
        <f>L52</f>
        <v>0</v>
      </c>
      <c r="R72" s="2584"/>
    </row>
    <row r="73" spans="1:18" ht="20.25" thickBot="1">
      <c r="A73" s="1454"/>
      <c r="B73" s="1459"/>
      <c r="C73" s="1459"/>
      <c r="D73" s="1454"/>
      <c r="E73" s="1454"/>
      <c r="F73" s="1454"/>
      <c r="I73" s="2579"/>
      <c r="O73" s="2585" t="s">
        <v>2452</v>
      </c>
      <c r="P73" s="2593" t="s">
        <v>2481</v>
      </c>
      <c r="Q73" s="2584">
        <f ca="1">L58</f>
        <v>0</v>
      </c>
      <c r="R73" s="2584" t="s">
        <v>2456</v>
      </c>
    </row>
    <row r="74" spans="1:18" ht="20.25" thickBot="1">
      <c r="A74" s="1454"/>
      <c r="B74" s="727" t="s">
        <v>384</v>
      </c>
      <c r="C74" s="728"/>
      <c r="D74" s="1454"/>
      <c r="E74" s="1454"/>
      <c r="F74" s="1454"/>
      <c r="O74" s="2585" t="s">
        <v>2490</v>
      </c>
      <c r="P74" s="2593" t="s">
        <v>2482</v>
      </c>
      <c r="Q74" s="2584">
        <f ca="1">L59</f>
        <v>0</v>
      </c>
      <c r="R74" s="2584" t="s">
        <v>2457</v>
      </c>
    </row>
    <row r="75" spans="1:18" ht="15.75" thickBot="1">
      <c r="A75" s="1454"/>
      <c r="B75" s="729" t="s">
        <v>975</v>
      </c>
      <c r="C75" s="730">
        <f ca="1">ROUND(C13*C76,0)</f>
        <v>701</v>
      </c>
      <c r="D75" s="1454"/>
      <c r="E75" s="1454"/>
      <c r="F75" s="1454"/>
      <c r="K75" s="1455"/>
      <c r="L75" s="1454"/>
      <c r="O75" s="2583" t="s">
        <v>2453</v>
      </c>
      <c r="P75" s="2593" t="s">
        <v>2471</v>
      </c>
      <c r="Q75" s="2584">
        <f ca="1">Q65+Q66</f>
        <v>66285</v>
      </c>
      <c r="R75" s="2584" t="s">
        <v>2454</v>
      </c>
    </row>
    <row r="76" spans="1:18">
      <c r="B76" s="731" t="s">
        <v>976</v>
      </c>
      <c r="C76" s="732">
        <f ca="1">INDIRECT("'数据-取费表'!j"&amp;$G$1)</f>
        <v>0.06</v>
      </c>
      <c r="I76" s="1454"/>
      <c r="J76" s="1454"/>
      <c r="K76" s="1455"/>
      <c r="L76" s="1454"/>
    </row>
    <row r="77" spans="1:18">
      <c r="B77" s="733" t="s">
        <v>979</v>
      </c>
      <c r="C77" s="734"/>
      <c r="I77" s="1454"/>
      <c r="J77" s="1454"/>
      <c r="K77" s="1455"/>
      <c r="L77" s="1454"/>
    </row>
    <row r="78" spans="1:18">
      <c r="B78" s="646" t="s">
        <v>2694</v>
      </c>
      <c r="C78" s="735"/>
    </row>
    <row r="79" spans="1:18">
      <c r="B79" s="2869" t="s">
        <v>2698</v>
      </c>
      <c r="C79" s="650">
        <f ca="1">1-C80</f>
        <v>0.71100000000000008</v>
      </c>
    </row>
    <row r="80" spans="1:18">
      <c r="B80" s="2869" t="s">
        <v>2697</v>
      </c>
      <c r="C80" s="650">
        <f ca="1">ROUND(C75/C39,3)</f>
        <v>0.28899999999999998</v>
      </c>
    </row>
    <row r="81" spans="2:3">
      <c r="B81" s="646" t="s">
        <v>385</v>
      </c>
      <c r="C81" s="647"/>
    </row>
    <row r="82" spans="2:3">
      <c r="B82" s="2868" t="s">
        <v>2696</v>
      </c>
      <c r="C82" s="651">
        <f ca="1">1-C83</f>
        <v>8.1999999999999962E-2</v>
      </c>
    </row>
    <row r="83" spans="2:3">
      <c r="B83" s="2868" t="s">
        <v>2695</v>
      </c>
      <c r="C83" s="650">
        <f ca="1">ROUND(C13/C40,3)</f>
        <v>0.91800000000000004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D9" sqref="D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88" t="s">
        <v>3037</v>
      </c>
      <c r="D1" s="1273"/>
      <c r="E1" s="2581" t="s">
        <v>537</v>
      </c>
      <c r="F1" s="2582">
        <f ca="1">J53</f>
        <v>27.62</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820</v>
      </c>
      <c r="B2" s="1406">
        <f ca="1">C40+J29+L46</f>
        <v>52506</v>
      </c>
      <c r="C2" s="1299" t="s">
        <v>1100</v>
      </c>
      <c r="D2" s="1275"/>
      <c r="E2" s="2571"/>
      <c r="F2" s="1276"/>
      <c r="G2" s="2283"/>
      <c r="H2" s="1274"/>
      <c r="I2" s="1274"/>
      <c r="J2" s="1274"/>
      <c r="K2" s="1298"/>
      <c r="L2" s="1274"/>
      <c r="M2" s="1274"/>
    </row>
    <row r="3" spans="1:37" ht="18" customHeight="1" thickBot="1">
      <c r="A3" s="675" t="s">
        <v>821</v>
      </c>
      <c r="B3" s="1407">
        <f ca="1">IF(ISERROR(B2*10000/F43),0,ROUND(B2*10000/F43,0))</f>
        <v>24184</v>
      </c>
      <c r="C3" s="1299" t="s">
        <v>1101</v>
      </c>
      <c r="D3" s="1275"/>
      <c r="E3" s="2571"/>
      <c r="F3" s="1276"/>
      <c r="G3" s="2283"/>
      <c r="H3" s="676" t="s">
        <v>911</v>
      </c>
      <c r="I3" s="1274"/>
      <c r="J3" s="1274"/>
      <c r="K3" s="1298"/>
      <c r="L3" s="1274"/>
      <c r="M3" s="1274"/>
    </row>
    <row r="4" spans="1:37" ht="18" customHeight="1">
      <c r="A4" s="677" t="s">
        <v>912</v>
      </c>
      <c r="B4" s="678" t="s">
        <v>913</v>
      </c>
      <c r="C4" s="678" t="s">
        <v>914</v>
      </c>
      <c r="D4" s="678" t="s">
        <v>915</v>
      </c>
      <c r="E4" s="679" t="s">
        <v>916</v>
      </c>
      <c r="F4" s="680"/>
      <c r="G4" s="2284"/>
      <c r="H4" s="677" t="s">
        <v>912</v>
      </c>
      <c r="I4" s="678" t="s">
        <v>913</v>
      </c>
      <c r="J4" s="678" t="s">
        <v>914</v>
      </c>
      <c r="K4" s="678" t="s">
        <v>915</v>
      </c>
      <c r="L4" s="679" t="s">
        <v>916</v>
      </c>
      <c r="M4" s="680"/>
    </row>
    <row r="5" spans="1:37" ht="18" customHeight="1">
      <c r="A5" s="681">
        <v>1</v>
      </c>
      <c r="B5" s="682" t="s">
        <v>2330</v>
      </c>
      <c r="C5" s="2622">
        <f ca="1">C6+C10+C12</f>
        <v>3035</v>
      </c>
      <c r="D5" s="2632" t="s">
        <v>2533</v>
      </c>
      <c r="E5" s="2623"/>
      <c r="F5" s="2624"/>
      <c r="G5" s="2284"/>
      <c r="H5" s="681">
        <v>1</v>
      </c>
      <c r="I5" s="682" t="s">
        <v>2330</v>
      </c>
      <c r="J5" s="2622">
        <f ca="1">J6+J10+J12</f>
        <v>0</v>
      </c>
      <c r="K5" s="2625" t="s">
        <v>2533</v>
      </c>
      <c r="L5" s="2623"/>
      <c r="M5" s="2624"/>
    </row>
    <row r="6" spans="1:37" ht="18" customHeight="1">
      <c r="A6" s="2618" t="s">
        <v>2371</v>
      </c>
      <c r="B6" s="3760" t="s">
        <v>2532</v>
      </c>
      <c r="C6" s="2627">
        <f ca="1">ROUND(F6*F8*F7*(1-F9)/10000,0)</f>
        <v>3031</v>
      </c>
      <c r="D6" s="2621" t="s">
        <v>2534</v>
      </c>
      <c r="E6" s="684" t="s">
        <v>917</v>
      </c>
      <c r="F6" s="685">
        <f ca="1">INDIRECT("'数据-取费表'!u"&amp;$G$1)</f>
        <v>4.5</v>
      </c>
      <c r="G6" s="2284"/>
      <c r="H6" s="2618" t="s">
        <v>2371</v>
      </c>
      <c r="I6" s="3760" t="s">
        <v>2532</v>
      </c>
      <c r="J6" s="683">
        <f ca="1">ROUND(M6*M8*M7*(1-M9)/10000,0)</f>
        <v>0</v>
      </c>
      <c r="K6" s="2621" t="s">
        <v>2534</v>
      </c>
      <c r="L6" s="684" t="s">
        <v>917</v>
      </c>
      <c r="M6" s="685">
        <f ca="1">INDIRECT("'数据-取费表'!z"&amp;$G$1)</f>
        <v>0</v>
      </c>
    </row>
    <row r="7" spans="1:37" ht="18" customHeight="1">
      <c r="A7" s="2626"/>
      <c r="B7" s="3761"/>
      <c r="C7" s="2628"/>
      <c r="D7" s="2057"/>
      <c r="E7" s="2629" t="s">
        <v>918</v>
      </c>
      <c r="F7" s="685">
        <f ca="1">IF(INDIRECT("'数据-取费表'!ah"&amp;$G$1)="",INDIRECT("'数据-取费表'!k"&amp;$G$1),INDIRECT("'数据-取费表'!ah"&amp;$G$1))</f>
        <v>21711.050000000003</v>
      </c>
      <c r="G7" s="2284"/>
      <c r="H7" s="686"/>
      <c r="I7" s="3761"/>
      <c r="J7" s="688"/>
      <c r="K7" s="689"/>
      <c r="L7" s="684" t="s">
        <v>918</v>
      </c>
      <c r="M7" s="685">
        <f ca="1">F7</f>
        <v>21711.050000000003</v>
      </c>
    </row>
    <row r="8" spans="1:37" ht="18" customHeight="1">
      <c r="A8" s="686"/>
      <c r="B8" s="3761"/>
      <c r="C8" s="688"/>
      <c r="D8" s="689"/>
      <c r="E8" s="684" t="s">
        <v>919</v>
      </c>
      <c r="F8" s="685">
        <f ca="1">INDIRECT("'数据-取费表'!ai"&amp;$G$1)</f>
        <v>365</v>
      </c>
      <c r="G8" s="2284"/>
      <c r="H8" s="686"/>
      <c r="I8" s="3761"/>
      <c r="J8" s="688"/>
      <c r="K8" s="689"/>
      <c r="L8" s="684" t="s">
        <v>919</v>
      </c>
      <c r="M8" s="685">
        <f ca="1">INDIRECT("'数据-取费表'!ai"&amp;$G$1)</f>
        <v>365</v>
      </c>
    </row>
    <row r="9" spans="1:37" ht="18" customHeight="1">
      <c r="A9" s="686"/>
      <c r="B9" s="3762"/>
      <c r="C9" s="688"/>
      <c r="D9" s="689"/>
      <c r="E9" s="684" t="s">
        <v>920</v>
      </c>
      <c r="F9" s="694">
        <f ca="1">INDIRECT("'数据-取费表'!w"&amp;$G$1)</f>
        <v>0.15</v>
      </c>
      <c r="G9" s="2284"/>
      <c r="H9" s="686"/>
      <c r="I9" s="3762"/>
      <c r="J9" s="688"/>
      <c r="K9" s="689"/>
      <c r="L9" s="695" t="s">
        <v>920</v>
      </c>
      <c r="M9" s="696">
        <f ca="1">INDIRECT("'数据-取费表'!ab"&amp;$G$1)</f>
        <v>0</v>
      </c>
    </row>
    <row r="10" spans="1:37" ht="18" customHeight="1">
      <c r="A10" s="2618" t="s">
        <v>2378</v>
      </c>
      <c r="B10" s="2619" t="s">
        <v>2527</v>
      </c>
      <c r="C10" s="698">
        <f ca="1">ROUND(IF(F10="押一",F6*F8*F7/12*F11,IF(F10="押二",F6*F8*F7/12*2*F11,IF(F10="押三",F6*F8*F7/12*3*F11,C11*F11)))/10000,0)</f>
        <v>4</v>
      </c>
      <c r="D10" s="2630" t="s">
        <v>2535</v>
      </c>
      <c r="E10" s="2093" t="s">
        <v>2529</v>
      </c>
      <c r="F10" s="2824" t="s">
        <v>3901</v>
      </c>
      <c r="G10" s="2284"/>
      <c r="H10" s="2618" t="s">
        <v>2378</v>
      </c>
      <c r="I10" s="2619" t="s">
        <v>2527</v>
      </c>
      <c r="J10" s="683">
        <f ca="1">ROUND(IF(M10="押一",M6*M8*M7/12*M11,IF(M10="押二",M6*M8*M7/12*2*M11,IF(M10="押三",M6*M8*M7/12*3*M11,J11*M11)))/10000,0)</f>
        <v>0</v>
      </c>
      <c r="K10" s="2630" t="s">
        <v>2535</v>
      </c>
      <c r="L10" s="2093" t="s">
        <v>2529</v>
      </c>
      <c r="M10" s="2725" t="s">
        <v>3901</v>
      </c>
    </row>
    <row r="11" spans="1:37" ht="18" customHeight="1">
      <c r="A11" s="690"/>
      <c r="B11" s="2620" t="s">
        <v>2693</v>
      </c>
      <c r="C11" s="2411"/>
      <c r="D11" s="2863"/>
      <c r="E11" s="2093" t="s">
        <v>2530</v>
      </c>
      <c r="F11" s="696">
        <f ca="1">'数据-取费表'!B39</f>
        <v>1.4999999999999999E-2</v>
      </c>
      <c r="G11" s="2284"/>
      <c r="H11" s="2631"/>
      <c r="I11" s="2620" t="s">
        <v>2693</v>
      </c>
      <c r="J11" s="2411"/>
      <c r="K11" s="1280"/>
      <c r="L11" s="2093" t="s">
        <v>2530</v>
      </c>
      <c r="M11" s="2092">
        <f ca="1">'数据-取费表'!B39</f>
        <v>1.4999999999999999E-2</v>
      </c>
    </row>
    <row r="12" spans="1:37" ht="18" customHeight="1" thickBot="1">
      <c r="A12" s="2666" t="s">
        <v>2540</v>
      </c>
      <c r="B12" s="2667" t="s">
        <v>2528</v>
      </c>
      <c r="C12" s="2668"/>
      <c r="D12" s="2669"/>
      <c r="E12" s="2670"/>
      <c r="F12" s="2671"/>
      <c r="G12" s="2284"/>
      <c r="H12" s="2666" t="s">
        <v>2540</v>
      </c>
      <c r="I12" s="2667" t="s">
        <v>2528</v>
      </c>
      <c r="J12" s="2668"/>
      <c r="K12" s="2685"/>
      <c r="L12" s="2670"/>
      <c r="M12" s="2686"/>
    </row>
    <row r="13" spans="1:37" ht="18" customHeight="1" thickTop="1">
      <c r="A13" s="2662">
        <v>2</v>
      </c>
      <c r="B13" s="2663" t="s">
        <v>921</v>
      </c>
      <c r="C13" s="692">
        <f ca="1">ROUND(C29*F13,0)</f>
        <v>6347</v>
      </c>
      <c r="D13" s="2664" t="s">
        <v>922</v>
      </c>
      <c r="E13" s="2664" t="s">
        <v>923</v>
      </c>
      <c r="F13" s="2665">
        <f ca="1">INDIRECT("'数据-取费表'!y"&amp;$G$1)</f>
        <v>0.97</v>
      </c>
      <c r="G13" s="2284"/>
      <c r="H13" s="2662">
        <v>2</v>
      </c>
      <c r="I13" s="2663" t="s">
        <v>921</v>
      </c>
      <c r="J13" s="2617">
        <f ca="1">ROUND(J14*J15,0)</f>
        <v>0</v>
      </c>
      <c r="K13" s="2672" t="s">
        <v>922</v>
      </c>
      <c r="L13" s="2683"/>
      <c r="M13" s="2684"/>
    </row>
    <row r="14" spans="1:37" ht="18" customHeight="1">
      <c r="A14" s="2434" t="s">
        <v>2368</v>
      </c>
      <c r="B14" s="684" t="s">
        <v>357</v>
      </c>
      <c r="C14" s="702">
        <f ca="1">INDIRECT("'数据-取费表'!m"&amp;$G$1)+INDIRECT("'数据-取费表'!t"&amp;$G$1)</f>
        <v>3908</v>
      </c>
      <c r="D14" s="3363" t="s">
        <v>924</v>
      </c>
      <c r="E14" s="3361"/>
      <c r="F14" s="703"/>
      <c r="G14" s="2284"/>
      <c r="H14" s="2434" t="s">
        <v>2371</v>
      </c>
      <c r="I14" s="684" t="s">
        <v>925</v>
      </c>
      <c r="J14" s="313">
        <f ca="1">C29</f>
        <v>6543</v>
      </c>
      <c r="K14" s="303"/>
      <c r="L14" s="700"/>
      <c r="M14" s="701"/>
    </row>
    <row r="15" spans="1:37" s="706" customFormat="1" ht="18" customHeight="1" thickBot="1">
      <c r="A15" s="2434" t="s">
        <v>2604</v>
      </c>
      <c r="B15" s="684" t="s">
        <v>358</v>
      </c>
      <c r="C15" s="313">
        <f ca="1">ROUND(C14*F15,0)</f>
        <v>117</v>
      </c>
      <c r="D15" s="704" t="s">
        <v>926</v>
      </c>
      <c r="E15" s="704" t="s">
        <v>927</v>
      </c>
      <c r="F15" s="705">
        <f>'数据-取费表'!B33</f>
        <v>0.03</v>
      </c>
      <c r="G15" s="2285"/>
      <c r="H15" s="2674" t="s">
        <v>2378</v>
      </c>
      <c r="I15" s="2675" t="s">
        <v>923</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2605</v>
      </c>
      <c r="B16" s="684" t="s">
        <v>359</v>
      </c>
      <c r="C16" s="313">
        <f ca="1">ROUND(INDIRECT("'数据-取费表'!m"&amp;$G$1)*F16,0)</f>
        <v>0</v>
      </c>
      <c r="D16" s="684" t="s">
        <v>926</v>
      </c>
      <c r="E16" s="684" t="s">
        <v>927</v>
      </c>
      <c r="F16" s="707">
        <f ca="1">IF(INDIRECT("'数据-取费表'!c"&amp;$G$1)="住宅",'数据-取费表'!B34,0)</f>
        <v>0</v>
      </c>
      <c r="G16" s="2284"/>
      <c r="H16" s="2662" t="s">
        <v>2336</v>
      </c>
      <c r="I16" s="2663" t="s">
        <v>928</v>
      </c>
      <c r="J16" s="692">
        <f ca="1">ROUND(J17+J22+J23+J24,0)</f>
        <v>155</v>
      </c>
      <c r="K16" s="2672" t="s">
        <v>929</v>
      </c>
      <c r="L16" s="2673"/>
      <c r="M16" s="2624"/>
    </row>
    <row r="17" spans="1:37" s="706" customFormat="1" ht="18" customHeight="1">
      <c r="A17" s="2434" t="s">
        <v>2606</v>
      </c>
      <c r="B17" s="684" t="s">
        <v>360</v>
      </c>
      <c r="C17" s="313">
        <f ca="1">ROUND(F17*(F43+INDIRECT("'数据-取费表'!S"&amp;$G$1))/10000,0)</f>
        <v>434</v>
      </c>
      <c r="D17" s="684" t="s">
        <v>930</v>
      </c>
      <c r="E17" s="684" t="s">
        <v>931</v>
      </c>
      <c r="F17" s="315">
        <f>'数据-取费表'!B35</f>
        <v>200</v>
      </c>
      <c r="G17" s="2285"/>
      <c r="H17" s="2434" t="s">
        <v>2371</v>
      </c>
      <c r="I17" s="684" t="s">
        <v>361</v>
      </c>
      <c r="J17" s="313">
        <f ca="1">ROUND(IF(项目基本情况!B11="自然人",J5*M17,J18+J19+J20),1)</f>
        <v>56.7</v>
      </c>
      <c r="K17" s="3363" t="s">
        <v>932</v>
      </c>
      <c r="L17" s="3362"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2607</v>
      </c>
      <c r="B18" s="684" t="s">
        <v>362</v>
      </c>
      <c r="C18" s="313">
        <f ca="1">ROUND(C14*F18,0)</f>
        <v>59</v>
      </c>
      <c r="D18" s="684" t="s">
        <v>926</v>
      </c>
      <c r="E18" s="684" t="s">
        <v>927</v>
      </c>
      <c r="F18" s="707">
        <f>'数据-取费表'!B36</f>
        <v>1.4999999999999999E-2</v>
      </c>
      <c r="G18" s="2285"/>
      <c r="H18" s="2434" t="s">
        <v>2368</v>
      </c>
      <c r="I18" s="684" t="s">
        <v>934</v>
      </c>
      <c r="J18" s="313">
        <f ca="1">ROUND(J5*M18/(1+'数据-取费表'!C42),2)</f>
        <v>0</v>
      </c>
      <c r="K18" s="3362" t="s">
        <v>935</v>
      </c>
      <c r="L18" s="684" t="s">
        <v>927</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2371</v>
      </c>
      <c r="B19" s="684" t="s">
        <v>364</v>
      </c>
      <c r="C19" s="313">
        <f ca="1">SUM(C14:C18)</f>
        <v>4518</v>
      </c>
      <c r="D19" s="471" t="s">
        <v>936</v>
      </c>
      <c r="E19" s="3366"/>
      <c r="F19" s="315"/>
      <c r="G19" s="2284"/>
      <c r="H19" s="2434" t="s">
        <v>2604</v>
      </c>
      <c r="I19" s="684" t="s">
        <v>937</v>
      </c>
      <c r="J19" s="313">
        <f ca="1">IF(K19="按租金收入计税",ROUND(J5*M19,2),ROUND(C29*M19*0.7,2))</f>
        <v>54.96</v>
      </c>
      <c r="K19" s="1300" t="s">
        <v>2411</v>
      </c>
      <c r="L19" s="684" t="s">
        <v>927</v>
      </c>
      <c r="M19" s="707">
        <f>IF(K19="按租金收入计税",'数据-取费表'!B51,'数据-取费表'!B50)</f>
        <v>1.2E-2</v>
      </c>
    </row>
    <row r="20" spans="1:37" s="706" customFormat="1" ht="18" customHeight="1">
      <c r="A20" s="2434" t="s">
        <v>2608</v>
      </c>
      <c r="B20" s="684" t="s">
        <v>365</v>
      </c>
      <c r="C20" s="313">
        <f ca="1">ROUND(C19*F20,0)</f>
        <v>68</v>
      </c>
      <c r="D20" s="709" t="s">
        <v>938</v>
      </c>
      <c r="E20" s="684" t="s">
        <v>927</v>
      </c>
      <c r="F20" s="707">
        <f>'数据-取费表'!B37</f>
        <v>1.4999999999999999E-2</v>
      </c>
      <c r="G20" s="2285"/>
      <c r="H20" s="2434" t="s">
        <v>2605</v>
      </c>
      <c r="I20" s="496" t="s">
        <v>939</v>
      </c>
      <c r="J20" s="314">
        <f ca="1">ROUND(M20*M21/10000,2)</f>
        <v>1.76</v>
      </c>
      <c r="K20" s="710" t="s">
        <v>940</v>
      </c>
      <c r="L20" s="684" t="s">
        <v>941</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2609</v>
      </c>
      <c r="B21" s="684" t="s">
        <v>942</v>
      </c>
      <c r="C21" s="313" t="s">
        <v>23</v>
      </c>
      <c r="D21" s="709" t="s">
        <v>943</v>
      </c>
      <c r="E21" s="684" t="s">
        <v>944</v>
      </c>
      <c r="F21" s="707">
        <f>'数据-取费表'!B38</f>
        <v>1.4999999999999999E-2</v>
      </c>
      <c r="G21" s="2285"/>
      <c r="H21" s="712"/>
      <c r="I21" s="693"/>
      <c r="J21" s="318"/>
      <c r="K21" s="713"/>
      <c r="L21" s="684" t="s">
        <v>945</v>
      </c>
      <c r="M21" s="685">
        <f ca="1">INDIRECT("'数据-取费表'!r"&amp;$G$1)</f>
        <v>4391.93</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2610</v>
      </c>
      <c r="B22" s="684" t="s">
        <v>946</v>
      </c>
      <c r="C22" s="313"/>
      <c r="D22" s="2697" t="str">
        <f>IF(F23&lt;=1,"单利计息。","复利计息。")&amp;"建造成本、管理费用、销售费用产生的利息。"</f>
        <v>复利计息。建造成本、管理费用、销售费用产生的利息。</v>
      </c>
      <c r="E22" s="3366"/>
      <c r="F22" s="315"/>
      <c r="G22" s="2284"/>
      <c r="H22" s="2434" t="s">
        <v>2378</v>
      </c>
      <c r="I22" s="684" t="s">
        <v>947</v>
      </c>
      <c r="J22" s="313">
        <f ca="1">ROUND(J14*M22,1)</f>
        <v>98.1</v>
      </c>
      <c r="K22" s="3362" t="s">
        <v>948</v>
      </c>
      <c r="L22" s="684" t="s">
        <v>927</v>
      </c>
      <c r="M22" s="714">
        <f ca="1">INDIRECT("'数据-取费表'!Ak"&amp;$G$1)</f>
        <v>1.4999999999999999E-2</v>
      </c>
    </row>
    <row r="23" spans="1:37" s="706" customFormat="1" ht="18" customHeight="1">
      <c r="A23" s="2434" t="s">
        <v>2368</v>
      </c>
      <c r="B23" s="684" t="s">
        <v>2524</v>
      </c>
      <c r="C23" s="313">
        <f ca="1">IF('数据-取费表'!B22&lt;=1,ROUND(C19*F24*F23/2,0)+ROUND(C20*F24*F23/2,0),ROUND(C19*(POWER((1+F24),F23/2)-1),0)+ROUND(C20*(POWER((1+F24),F23/2)-1),0))</f>
        <v>331</v>
      </c>
      <c r="D23" s="2701" t="str">
        <f>IF(F23&lt;=1,"(建造成本+管理费用)×利率×(建设周期÷2)","(建造成本+管理费用)×((1+利率)^(建设周期÷2)-1)")</f>
        <v>(建造成本+管理费用)×((1+利率)^(建设周期÷2)-1)</v>
      </c>
      <c r="E23" s="684" t="s">
        <v>949</v>
      </c>
      <c r="F23" s="711">
        <f>'数据-取费表'!B20</f>
        <v>3</v>
      </c>
      <c r="G23" s="2285"/>
      <c r="H23" s="2434" t="s">
        <v>2609</v>
      </c>
      <c r="I23" s="684" t="s">
        <v>366</v>
      </c>
      <c r="J23" s="313">
        <f ca="1">ROUND(J13*M23,1)</f>
        <v>0</v>
      </c>
      <c r="K23" s="3362" t="s">
        <v>950</v>
      </c>
      <c r="L23" s="684" t="s">
        <v>927</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2374</v>
      </c>
      <c r="B24" s="684" t="s">
        <v>951</v>
      </c>
      <c r="C24" s="313">
        <f ca="1">ROUND(IF('数据-取费表'!B22&lt;=1,F21*F24*F23/2,F21*(POWER((1+F24),F23/2)-1)),4)</f>
        <v>1.1000000000000001E-3</v>
      </c>
      <c r="D24" s="2701" t="str">
        <f>IF(F23&lt;=1,"销售费用×利率×(建设周期÷2)","销售费用×((1+利率)^(建设周期÷2)-1)")</f>
        <v>销售费用×((1+利率)^(建设周期÷2)-1)</v>
      </c>
      <c r="E24" s="684" t="s">
        <v>952</v>
      </c>
      <c r="F24" s="717">
        <f ca="1">'数据-取费表'!B40</f>
        <v>4.7500000000000001E-2</v>
      </c>
      <c r="G24" s="2285"/>
      <c r="H24" s="2674" t="s">
        <v>2610</v>
      </c>
      <c r="I24" s="2675" t="s">
        <v>365</v>
      </c>
      <c r="J24" s="2676">
        <f ca="1">ROUND(J5*M24,1)</f>
        <v>0</v>
      </c>
      <c r="K24" s="2677" t="s">
        <v>953</v>
      </c>
      <c r="L24" s="2675" t="s">
        <v>927</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2375</v>
      </c>
      <c r="B25" s="684" t="s">
        <v>370</v>
      </c>
      <c r="C25" s="313"/>
      <c r="D25" s="471" t="s">
        <v>954</v>
      </c>
      <c r="E25" s="3366"/>
      <c r="F25" s="315"/>
      <c r="G25" s="2284"/>
      <c r="H25" s="2662" t="s">
        <v>2351</v>
      </c>
      <c r="I25" s="2679" t="s">
        <v>955</v>
      </c>
      <c r="J25" s="692">
        <f ca="1">J5-J16</f>
        <v>-155</v>
      </c>
      <c r="K25" s="2680" t="s">
        <v>956</v>
      </c>
      <c r="L25" s="2681"/>
      <c r="M25" s="2682"/>
    </row>
    <row r="26" spans="1:37" ht="18" customHeight="1">
      <c r="A26" s="2434" t="s">
        <v>2368</v>
      </c>
      <c r="B26" s="684" t="s">
        <v>2525</v>
      </c>
      <c r="C26" s="313">
        <f ca="1">ROUND((C19+C20)*F26,0)</f>
        <v>1147</v>
      </c>
      <c r="D26" s="709" t="s">
        <v>957</v>
      </c>
      <c r="E26" s="695" t="s">
        <v>958</v>
      </c>
      <c r="F26" s="694">
        <f ca="1">INDIRECT("'数据-取费表'!q"&amp;$G$1)</f>
        <v>0.25</v>
      </c>
      <c r="G26" s="2284"/>
      <c r="H26" s="681" t="s">
        <v>2354</v>
      </c>
      <c r="I26" s="682" t="s">
        <v>959</v>
      </c>
      <c r="J26" s="683">
        <f ca="1">IF(J5&lt;&gt;0,ROUND(J25*(1-((1+M28)/(1+M26))^M27)/(M26-M28),0),0)</f>
        <v>0</v>
      </c>
      <c r="K26" s="710" t="s">
        <v>960</v>
      </c>
      <c r="L26" s="684" t="s">
        <v>966</v>
      </c>
      <c r="M26" s="694">
        <f ca="1">INDIRECT("'数据-取费表'!I"&amp;$G$1)</f>
        <v>5.5E-2</v>
      </c>
    </row>
    <row r="27" spans="1:37" ht="18" customHeight="1">
      <c r="A27" s="2434" t="s">
        <v>2374</v>
      </c>
      <c r="B27" s="684" t="s">
        <v>373</v>
      </c>
      <c r="C27" s="313">
        <f ca="1">ROUND(F21*F26,4)</f>
        <v>3.8E-3</v>
      </c>
      <c r="D27" s="709" t="s">
        <v>961</v>
      </c>
      <c r="E27" s="704"/>
      <c r="F27" s="705"/>
      <c r="G27" s="2284"/>
      <c r="H27" s="686"/>
      <c r="I27" s="687"/>
      <c r="J27" s="688"/>
      <c r="K27" s="718" t="s">
        <v>962</v>
      </c>
      <c r="L27" s="684" t="s">
        <v>967</v>
      </c>
      <c r="M27" s="719">
        <f ca="1">INDIRECT("'数据-取费表'!ag"&amp;$G$1)</f>
        <v>0</v>
      </c>
    </row>
    <row r="28" spans="1:37" s="706" customFormat="1" ht="18" customHeight="1">
      <c r="A28" s="2434" t="s">
        <v>2376</v>
      </c>
      <c r="B28" s="684" t="s">
        <v>374</v>
      </c>
      <c r="C28" s="313">
        <f>ROUND(F28/(1+'数据-取费表'!C42),4)</f>
        <v>5.33E-2</v>
      </c>
      <c r="D28" s="709" t="s">
        <v>968</v>
      </c>
      <c r="E28" s="684" t="s">
        <v>927</v>
      </c>
      <c r="F28" s="707">
        <f>'数据-取费表'!B41</f>
        <v>5.6000000000000001E-2</v>
      </c>
      <c r="G28" s="2285"/>
      <c r="H28" s="690"/>
      <c r="I28" s="691"/>
      <c r="J28" s="692"/>
      <c r="K28" s="713"/>
      <c r="L28" s="684" t="s">
        <v>969</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2377</v>
      </c>
      <c r="B29" s="2675" t="s">
        <v>970</v>
      </c>
      <c r="C29" s="2676">
        <f ca="1">ROUND((C19+C20+C23+C26)/(1-F21-C24-C27-C28),0)</f>
        <v>6543</v>
      </c>
      <c r="D29" s="2677"/>
      <c r="E29" s="2675"/>
      <c r="F29" s="2678"/>
      <c r="G29" s="2285"/>
      <c r="H29" s="720" t="s">
        <v>2361</v>
      </c>
      <c r="I29" s="721" t="s">
        <v>963</v>
      </c>
      <c r="J29" s="722">
        <f ca="1">ROUND(J26/(1+F40)^F41,0)</f>
        <v>0</v>
      </c>
      <c r="K29" s="723" t="s">
        <v>964</v>
      </c>
      <c r="L29" s="724"/>
      <c r="M29" s="725">
        <f ca="1">INDIRECT("'数据-取费表'!k"&amp;$G$1)</f>
        <v>21711.050000000003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2336</v>
      </c>
      <c r="B30" s="2663" t="s">
        <v>928</v>
      </c>
      <c r="C30" s="692">
        <f ca="1">ROUND(C31+C36+C37+C38,0)</f>
        <v>360</v>
      </c>
      <c r="D30" s="2672" t="s">
        <v>929</v>
      </c>
      <c r="E30" s="2673"/>
      <c r="F30" s="2624"/>
      <c r="G30" s="2284"/>
      <c r="H30" s="1277"/>
      <c r="I30" s="1278"/>
      <c r="J30" s="1279"/>
      <c r="K30" s="1280"/>
      <c r="L30" s="1281"/>
      <c r="M30" s="1282"/>
    </row>
    <row r="31" spans="1:37" ht="18" customHeight="1">
      <c r="A31" s="2434" t="s">
        <v>2371</v>
      </c>
      <c r="B31" s="684" t="s">
        <v>361</v>
      </c>
      <c r="C31" s="313">
        <f ca="1">ROUND(IF(项目基本情况!B11="自然人",C5*F31,C32+C33+C34),1)</f>
        <v>218.6</v>
      </c>
      <c r="D31" s="3363" t="s">
        <v>932</v>
      </c>
      <c r="E31" s="3362" t="s">
        <v>971</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2368</v>
      </c>
      <c r="B32" s="684" t="s">
        <v>934</v>
      </c>
      <c r="C32" s="313">
        <f ca="1">IF(项目基本情况!B11="自然人","——",ROUND(C5*F32/(1+'数据-取费表'!C42),2))</f>
        <v>161.87</v>
      </c>
      <c r="D32" s="3362" t="s">
        <v>935</v>
      </c>
      <c r="E32" s="684" t="s">
        <v>927</v>
      </c>
      <c r="F32" s="717">
        <f>'数据-取费表'!B41</f>
        <v>5.6000000000000001E-2</v>
      </c>
      <c r="G32" s="2284"/>
      <c r="H32" s="1283"/>
      <c r="I32" s="1284"/>
      <c r="J32" s="1285"/>
      <c r="K32" s="1286"/>
      <c r="L32" s="1287"/>
      <c r="M32" s="1288"/>
    </row>
    <row r="33" spans="1:18" ht="18" customHeight="1">
      <c r="A33" s="2434" t="s">
        <v>2604</v>
      </c>
      <c r="B33" s="684" t="s">
        <v>937</v>
      </c>
      <c r="C33" s="313">
        <f ca="1">IF(项目基本情况!B11="自然人","——",IF(D33="按租金收入计税",ROUND(C5*F33,2),IF(D33="按房产原值计税",ROUND(C29*F33*0.7,2),INDIRECT("'数据-取费表'!Aj"&amp;$G$1))))</f>
        <v>54.96</v>
      </c>
      <c r="D33" s="1300" t="s">
        <v>2411</v>
      </c>
      <c r="E33" s="684" t="s">
        <v>363</v>
      </c>
      <c r="F33" s="707">
        <f>IF(D33="按票据","——",IF(D33="按租金收入计税",'数据-取费表'!B51,'数据-取费表'!B50))</f>
        <v>1.2E-2</v>
      </c>
      <c r="G33" s="2284"/>
      <c r="H33" s="1289"/>
      <c r="I33" s="2877"/>
      <c r="J33" s="2878"/>
      <c r="K33" s="1290"/>
      <c r="L33" s="1289"/>
      <c r="M33" s="1289"/>
    </row>
    <row r="34" spans="1:18" ht="18" customHeight="1">
      <c r="A34" s="2618" t="s">
        <v>2605</v>
      </c>
      <c r="B34" s="496" t="s">
        <v>939</v>
      </c>
      <c r="C34" s="314">
        <f ca="1">IF(项目基本情况!B11="自然人","——",ROUND(F34*F35/10000,2))</f>
        <v>1.76</v>
      </c>
      <c r="D34" s="710" t="s">
        <v>973</v>
      </c>
      <c r="E34" s="684" t="s">
        <v>974</v>
      </c>
      <c r="F34" s="711">
        <f>'数据-取费表'!B52</f>
        <v>4</v>
      </c>
      <c r="G34" s="2284"/>
      <c r="H34" s="1277"/>
      <c r="I34" s="2877"/>
      <c r="J34" s="2878"/>
      <c r="K34" s="1291"/>
      <c r="L34" s="1292"/>
      <c r="M34" s="1292"/>
    </row>
    <row r="35" spans="1:18" ht="18" customHeight="1">
      <c r="A35" s="2692"/>
      <c r="B35" s="2690"/>
      <c r="C35" s="318"/>
      <c r="D35" s="713"/>
      <c r="E35" s="684" t="s">
        <v>945</v>
      </c>
      <c r="F35" s="685">
        <f ca="1">INDIRECT("'数据-取费表'!r"&amp;$G$1)</f>
        <v>4391.93</v>
      </c>
      <c r="G35" s="2284"/>
      <c r="H35" s="1277"/>
      <c r="I35" s="2877"/>
      <c r="J35" s="2878"/>
      <c r="K35" s="1290"/>
      <c r="L35" s="1289"/>
      <c r="M35" s="1289"/>
    </row>
    <row r="36" spans="1:18" ht="18" customHeight="1">
      <c r="A36" s="2691" t="s">
        <v>2378</v>
      </c>
      <c r="B36" s="684" t="s">
        <v>947</v>
      </c>
      <c r="C36" s="313">
        <f ca="1">ROUND(C29*F36,1)</f>
        <v>98.1</v>
      </c>
      <c r="D36" s="3362" t="s">
        <v>977</v>
      </c>
      <c r="E36" s="684" t="s">
        <v>978</v>
      </c>
      <c r="F36" s="714">
        <f ca="1">INDIRECT("'数据-取费表'!Ak"&amp;$G$1)</f>
        <v>1.4999999999999999E-2</v>
      </c>
      <c r="G36" s="2284"/>
      <c r="H36" s="1289"/>
      <c r="I36" s="2877"/>
      <c r="J36" s="2878"/>
      <c r="K36" s="1293"/>
      <c r="L36" s="1289"/>
      <c r="M36" s="1289"/>
    </row>
    <row r="37" spans="1:18" ht="18" customHeight="1">
      <c r="A37" s="2434" t="s">
        <v>2609</v>
      </c>
      <c r="B37" s="684" t="s">
        <v>366</v>
      </c>
      <c r="C37" s="313">
        <f ca="1">ROUND(C13*F37,1)</f>
        <v>12.7</v>
      </c>
      <c r="D37" s="3362" t="s">
        <v>367</v>
      </c>
      <c r="E37" s="684" t="s">
        <v>368</v>
      </c>
      <c r="F37" s="716">
        <f ca="1">INDIRECT("'数据-取费表'!Al"&amp;$G$1)</f>
        <v>2E-3</v>
      </c>
      <c r="G37" s="2284"/>
      <c r="H37" s="1289"/>
      <c r="I37" s="2877"/>
      <c r="J37" s="2878"/>
      <c r="K37" s="1293"/>
      <c r="L37" s="1289"/>
      <c r="M37" s="1289"/>
    </row>
    <row r="38" spans="1:18" ht="18" customHeight="1" thickBot="1">
      <c r="A38" s="2674" t="s">
        <v>2610</v>
      </c>
      <c r="B38" s="2675" t="s">
        <v>365</v>
      </c>
      <c r="C38" s="2676">
        <f ca="1">ROUND(C5*F38,1)</f>
        <v>30.4</v>
      </c>
      <c r="D38" s="2677" t="s">
        <v>369</v>
      </c>
      <c r="E38" s="2675" t="s">
        <v>368</v>
      </c>
      <c r="F38" s="2671">
        <f ca="1">INDIRECT("'数据-取费表'!Am"&amp;$G$1)</f>
        <v>0.01</v>
      </c>
      <c r="G38" s="2284"/>
      <c r="H38" s="1289"/>
      <c r="I38" s="2877"/>
      <c r="J38" s="2878"/>
      <c r="K38" s="1294"/>
      <c r="L38" s="1289"/>
      <c r="M38" s="1289"/>
    </row>
    <row r="39" spans="1:18" ht="24.6" customHeight="1" thickTop="1">
      <c r="A39" s="2662" t="s">
        <v>2351</v>
      </c>
      <c r="B39" s="2679" t="s">
        <v>375</v>
      </c>
      <c r="C39" s="692">
        <f ca="1">C5-C30</f>
        <v>2675</v>
      </c>
      <c r="D39" s="2680" t="s">
        <v>376</v>
      </c>
      <c r="E39" s="2681"/>
      <c r="F39" s="2682"/>
      <c r="G39" s="2284"/>
      <c r="H39" s="1289"/>
      <c r="I39" s="2877"/>
      <c r="J39" s="2878"/>
      <c r="K39" s="1294"/>
      <c r="L39" s="1289"/>
      <c r="M39" s="1289"/>
    </row>
    <row r="40" spans="1:18" ht="18" customHeight="1">
      <c r="A40" s="681" t="s">
        <v>2354</v>
      </c>
      <c r="B40" s="682" t="s">
        <v>377</v>
      </c>
      <c r="C40" s="683">
        <f ca="1">ROUND(C39*(1-((1+F42)/(1+F40))^F41)/(F40-F42),0)</f>
        <v>48973</v>
      </c>
      <c r="D40" s="710" t="s">
        <v>371</v>
      </c>
      <c r="E40" s="684" t="s">
        <v>372</v>
      </c>
      <c r="F40" s="694">
        <f ca="1">INDIRECT("'数据-取费表'!I"&amp;$G$1)</f>
        <v>5.5E-2</v>
      </c>
      <c r="G40" s="2284"/>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27.62</v>
      </c>
      <c r="G41" s="2284"/>
      <c r="H41" s="1191"/>
      <c r="I41" s="2877"/>
      <c r="J41" s="2878"/>
      <c r="K41" s="1293"/>
      <c r="L41" s="1191"/>
      <c r="M41" s="1191"/>
    </row>
    <row r="42" spans="1:18" ht="18" customHeight="1">
      <c r="A42" s="690"/>
      <c r="B42" s="691"/>
      <c r="C42" s="692"/>
      <c r="D42" s="713"/>
      <c r="E42" s="684" t="s">
        <v>380</v>
      </c>
      <c r="F42" s="694">
        <f ca="1">INDIRECT("'数据-取费表'!v"&amp;$G$1)</f>
        <v>2.5000000000000001E-2</v>
      </c>
      <c r="G42" s="2284"/>
      <c r="H42" s="1191"/>
      <c r="I42" s="2877"/>
      <c r="J42" s="2878"/>
      <c r="K42" s="1293"/>
      <c r="L42" s="1191"/>
      <c r="M42" s="1191"/>
    </row>
    <row r="43" spans="1:18" ht="18" customHeight="1" thickBot="1">
      <c r="A43" s="720" t="s">
        <v>2361</v>
      </c>
      <c r="B43" s="721" t="s">
        <v>381</v>
      </c>
      <c r="C43" s="722">
        <f ca="1">ROUND(C40*10000/F43,0)</f>
        <v>22557</v>
      </c>
      <c r="D43" s="723" t="s">
        <v>382</v>
      </c>
      <c r="E43" s="724" t="s">
        <v>383</v>
      </c>
      <c r="F43" s="725">
        <f ca="1">INDIRECT("'数据-取费表'!k"&amp;$G$1)</f>
        <v>21711.050000000003</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2484</v>
      </c>
      <c r="P45" s="1295"/>
      <c r="Q45" s="1295"/>
      <c r="R45" s="1295"/>
    </row>
    <row r="46" spans="1:18" s="1454" customFormat="1" ht="21" thickBot="1">
      <c r="A46" s="2392" t="s">
        <v>2323</v>
      </c>
      <c r="B46" s="2393"/>
      <c r="C46" s="2721">
        <f ca="1">C68-C40</f>
        <v>-51331</v>
      </c>
      <c r="D46" s="2722" t="str">
        <f>C2</f>
        <v>万元</v>
      </c>
      <c r="E46" s="1432"/>
      <c r="F46" s="1432"/>
      <c r="I46" s="2574" t="s">
        <v>2419</v>
      </c>
      <c r="J46" s="2575"/>
      <c r="K46" s="2576"/>
      <c r="L46" s="2578">
        <f ca="1">IF(M47="住宅",0,IF(L48&gt;J51,L60,J60))</f>
        <v>3533</v>
      </c>
      <c r="O46" s="2590" t="s">
        <v>2462</v>
      </c>
      <c r="P46" s="2591" t="s">
        <v>2463</v>
      </c>
      <c r="Q46" s="2592" t="s">
        <v>2461</v>
      </c>
      <c r="R46" s="2592" t="s">
        <v>2464</v>
      </c>
    </row>
    <row r="47" spans="1:18" s="1454" customFormat="1" ht="15.75" thickBot="1">
      <c r="A47" s="2394" t="s">
        <v>2325</v>
      </c>
      <c r="B47" s="2430" t="s">
        <v>2326</v>
      </c>
      <c r="C47" s="2726" t="s">
        <v>2327</v>
      </c>
      <c r="D47" s="2430" t="s">
        <v>2328</v>
      </c>
      <c r="E47" s="2533" t="s">
        <v>2329</v>
      </c>
      <c r="F47" s="2534"/>
      <c r="G47" s="1456"/>
      <c r="I47" s="2549" t="s">
        <v>2412</v>
      </c>
      <c r="J47" s="2550" t="s">
        <v>3874</v>
      </c>
      <c r="K47" s="2559" t="s">
        <v>2435</v>
      </c>
      <c r="L47" s="2560">
        <f ca="1">INDIRECT("'数据-取费表'!d"&amp;$G$1)</f>
        <v>0</v>
      </c>
      <c r="M47" s="2580" t="str">
        <f>IF(ISNUMBER(FIND("住宅",C1)),"住宅","非住宅")</f>
        <v>非住宅</v>
      </c>
      <c r="O47" s="2583" t="s">
        <v>2447</v>
      </c>
      <c r="P47" s="2593" t="s">
        <v>2465</v>
      </c>
      <c r="Q47" s="2584">
        <f ca="1">C40+J29</f>
        <v>48973</v>
      </c>
      <c r="R47" s="2584" t="s">
        <v>2466</v>
      </c>
    </row>
    <row r="48" spans="1:18" s="1454" customFormat="1" ht="47.25" thickBot="1">
      <c r="A48" s="2707" t="s">
        <v>2615</v>
      </c>
      <c r="B48" s="682" t="s">
        <v>2330</v>
      </c>
      <c r="C48" s="3365">
        <f ca="1">C49+C53+C55</f>
        <v>0</v>
      </c>
      <c r="D48" s="2711"/>
      <c r="E48" s="2712"/>
      <c r="F48" s="2414"/>
      <c r="G48" s="1456"/>
      <c r="H48" s="1457"/>
      <c r="I48" s="2540" t="s">
        <v>2413</v>
      </c>
      <c r="J48" s="2551" t="s">
        <v>2414</v>
      </c>
      <c r="K48" s="2561" t="s">
        <v>2436</v>
      </c>
      <c r="L48" s="2164">
        <f ca="1">INDIRECT("'数据-取费表'!f"&amp;$G$1)</f>
        <v>27.62</v>
      </c>
      <c r="O48" s="2583" t="s">
        <v>2448</v>
      </c>
      <c r="P48" s="2593" t="s">
        <v>2467</v>
      </c>
      <c r="Q48" s="2584">
        <f ca="1">J60</f>
        <v>3533</v>
      </c>
      <c r="R48" s="2584" t="s">
        <v>2475</v>
      </c>
    </row>
    <row r="49" spans="1:18" s="1454" customFormat="1" ht="15.75" thickBot="1">
      <c r="A49" s="2427" t="s">
        <v>2616</v>
      </c>
      <c r="B49" s="2710" t="s">
        <v>2618</v>
      </c>
      <c r="C49" s="2719">
        <f ca="1">ROUND(F49*F51*F50*(1-F52)/10000,0)</f>
        <v>0</v>
      </c>
      <c r="D49" s="2529" t="s">
        <v>2331</v>
      </c>
      <c r="E49" s="2532" t="s">
        <v>2324</v>
      </c>
      <c r="F49" s="2535"/>
      <c r="G49" s="1458"/>
      <c r="H49" s="1457"/>
      <c r="I49" s="2540" t="s">
        <v>2433</v>
      </c>
      <c r="J49" s="2552"/>
      <c r="K49" s="2562" t="s">
        <v>2438</v>
      </c>
      <c r="L49" s="2563"/>
      <c r="O49" s="2585" t="s">
        <v>2449</v>
      </c>
      <c r="P49" s="2593" t="s">
        <v>2468</v>
      </c>
      <c r="Q49" s="2584">
        <f ca="1">C29</f>
        <v>6543</v>
      </c>
      <c r="R49" s="2584" t="s">
        <v>2466</v>
      </c>
    </row>
    <row r="50" spans="1:18" s="1454" customFormat="1" ht="15.75" thickBot="1">
      <c r="A50" s="2428"/>
      <c r="B50" s="2431"/>
      <c r="C50" s="2727"/>
      <c r="D50" s="2401"/>
      <c r="E50" s="2530" t="s">
        <v>2332</v>
      </c>
      <c r="F50" s="2531">
        <f ca="1">F7</f>
        <v>21711.050000000003</v>
      </c>
      <c r="H50" s="1457"/>
      <c r="I50" s="2540" t="s">
        <v>2415</v>
      </c>
      <c r="J50" s="2553">
        <f>SUMPRODUCT((I63:I65=J47)*(J62:L62=J48)*(J63:L65))</f>
        <v>60</v>
      </c>
      <c r="K50" s="2562" t="s">
        <v>2439</v>
      </c>
      <c r="L50" s="2563"/>
      <c r="M50" s="2557"/>
      <c r="O50" s="2585" t="s">
        <v>2450</v>
      </c>
      <c r="P50" s="2593" t="s">
        <v>2476</v>
      </c>
      <c r="Q50" s="2586">
        <f ca="1">J58</f>
        <v>0.54</v>
      </c>
      <c r="R50" s="2584"/>
    </row>
    <row r="51" spans="1:18" s="1454" customFormat="1" ht="15.75" thickBot="1">
      <c r="A51" s="2429"/>
      <c r="B51" s="2431"/>
      <c r="C51" s="2432"/>
      <c r="D51" s="2401"/>
      <c r="E51" s="2433" t="s">
        <v>2333</v>
      </c>
      <c r="F51" s="685">
        <f ca="1">F8</f>
        <v>365</v>
      </c>
      <c r="I51" s="2554" t="s">
        <v>2420</v>
      </c>
      <c r="J51" s="2555">
        <f>IF(J49="",J50,J49+J50-YEAR('数据-取费表'!B2))</f>
        <v>60</v>
      </c>
      <c r="K51" s="2564" t="s">
        <v>2440</v>
      </c>
      <c r="L51" s="2577">
        <f ca="1">ROUND(-PV(INDIRECT("'数据-取费表'!h"&amp;$G$1),L48,(C39-C13*C76),0),0)</f>
        <v>35866</v>
      </c>
      <c r="M51" s="2558"/>
      <c r="O51" s="2585" t="s">
        <v>2451</v>
      </c>
      <c r="P51" s="2593" t="s">
        <v>2477</v>
      </c>
      <c r="Q51" s="2586">
        <f>J52</f>
        <v>0</v>
      </c>
      <c r="R51" s="2584"/>
    </row>
    <row r="52" spans="1:18" s="1454" customFormat="1" ht="15.75" thickBot="1">
      <c r="A52" s="2429"/>
      <c r="B52" s="2431"/>
      <c r="C52" s="2432"/>
      <c r="D52" s="2401"/>
      <c r="E52" s="2433" t="s">
        <v>2334</v>
      </c>
      <c r="F52" s="2528"/>
      <c r="I52" s="2556" t="s">
        <v>2443</v>
      </c>
      <c r="J52" s="2570"/>
      <c r="K52" s="2556" t="s">
        <v>2428</v>
      </c>
      <c r="L52" s="2570"/>
      <c r="M52" s="2393"/>
      <c r="O52" s="2585" t="s">
        <v>2452</v>
      </c>
      <c r="P52" s="2593" t="s">
        <v>2469</v>
      </c>
      <c r="Q52" s="2584">
        <f ca="1">J53</f>
        <v>27.62</v>
      </c>
      <c r="R52" s="2584" t="s">
        <v>2470</v>
      </c>
    </row>
    <row r="53" spans="1:18" s="1454" customFormat="1" ht="43.5" thickBot="1">
      <c r="A53" s="2822" t="s">
        <v>2617</v>
      </c>
      <c r="B53" s="433" t="s">
        <v>2527</v>
      </c>
      <c r="C53" s="698">
        <f ca="1">ROUND(IF(F53="押一",F49*F51*F50/12*F11,IF(F53="押二",F49*F51*F50/12*2*F11,IF(F53="押三",F49*F51*F50/12*3*F11,C54*F11)))/10000,0)</f>
        <v>0</v>
      </c>
      <c r="D53" s="2630" t="s">
        <v>2535</v>
      </c>
      <c r="E53" s="2093" t="s">
        <v>2529</v>
      </c>
      <c r="F53" s="2824"/>
      <c r="I53" s="2566" t="s">
        <v>2445</v>
      </c>
      <c r="J53" s="2567">
        <f ca="1">IF(M47="住宅",J51,MIN(J51,L48))</f>
        <v>27.62</v>
      </c>
      <c r="K53" s="3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9"/>
      <c r="O53" s="2583" t="s">
        <v>2453</v>
      </c>
      <c r="P53" s="2593" t="s">
        <v>2471</v>
      </c>
      <c r="Q53" s="2584">
        <f ca="1">Q47+Q48</f>
        <v>52506</v>
      </c>
      <c r="R53" s="2584" t="s">
        <v>2454</v>
      </c>
    </row>
    <row r="54" spans="1:18" s="1454" customFormat="1" ht="16.5" thickBot="1">
      <c r="A54" s="2823"/>
      <c r="B54" s="2620" t="s">
        <v>2693</v>
      </c>
      <c r="C54" s="2411"/>
      <c r="D54" s="2630"/>
      <c r="E54" s="3364"/>
      <c r="F54" s="2536"/>
      <c r="I54" s="2408"/>
      <c r="J54" s="2565"/>
      <c r="K54" s="2565"/>
      <c r="L54" s="2565"/>
      <c r="M54" s="1458"/>
      <c r="O54" s="2587" t="s">
        <v>2478</v>
      </c>
      <c r="P54" s="1295"/>
      <c r="Q54" s="1295"/>
      <c r="R54" s="1295"/>
    </row>
    <row r="55" spans="1:18" s="1454" customFormat="1" ht="15.75" thickBot="1">
      <c r="A55" s="2666" t="s">
        <v>2540</v>
      </c>
      <c r="B55" s="2667" t="s">
        <v>2528</v>
      </c>
      <c r="C55" s="2668"/>
      <c r="D55" s="2630"/>
      <c r="E55" s="3364"/>
      <c r="F55" s="2536"/>
      <c r="I55" s="3314" t="s">
        <v>2421</v>
      </c>
      <c r="J55" s="3313">
        <f ca="1">ROUND(IF(J47="钢混",J57/J50,1-(1-2%)*(J50-J57)/J50),3)</f>
        <v>0.54</v>
      </c>
      <c r="K55" s="2547" t="s">
        <v>2422</v>
      </c>
      <c r="L55" s="2569"/>
      <c r="O55" s="2590" t="s">
        <v>2462</v>
      </c>
      <c r="P55" s="2591" t="s">
        <v>2463</v>
      </c>
      <c r="Q55" s="2592" t="s">
        <v>2461</v>
      </c>
      <c r="R55" s="2592" t="s">
        <v>2464</v>
      </c>
    </row>
    <row r="56" spans="1:18" s="1454" customFormat="1" ht="44.25" thickTop="1" thickBot="1">
      <c r="A56" s="2405">
        <v>2</v>
      </c>
      <c r="B56" s="2406" t="s">
        <v>2335</v>
      </c>
      <c r="C56" s="608">
        <f ca="1">C13</f>
        <v>6347</v>
      </c>
      <c r="D56" s="2694"/>
      <c r="E56" s="2407"/>
      <c r="F56" s="2536"/>
      <c r="I56" s="2539" t="s">
        <v>2423</v>
      </c>
      <c r="J56" s="2568" t="s">
        <v>41</v>
      </c>
      <c r="K56" s="2540" t="s">
        <v>2427</v>
      </c>
      <c r="L56" s="2164" t="str">
        <f ca="1">IF(L48&lt;J51,"——",L48-J51)</f>
        <v>——</v>
      </c>
      <c r="O56" s="2583" t="s">
        <v>2447</v>
      </c>
      <c r="P56" s="2593" t="s">
        <v>2465</v>
      </c>
      <c r="Q56" s="2584">
        <f ca="1">C40+J29</f>
        <v>48973</v>
      </c>
      <c r="R56" s="2584" t="s">
        <v>2466</v>
      </c>
    </row>
    <row r="57" spans="1:18" s="1454" customFormat="1" ht="29.25" thickBot="1">
      <c r="A57" s="2537"/>
      <c r="B57" s="2398" t="s">
        <v>2365</v>
      </c>
      <c r="C57" s="614">
        <f ca="1">C29</f>
        <v>6543</v>
      </c>
      <c r="D57" s="2409"/>
      <c r="E57" s="2410"/>
      <c r="F57" s="2538"/>
      <c r="I57" s="2541" t="s">
        <v>2444</v>
      </c>
      <c r="J57" s="2545">
        <f ca="1">IF(OR(M47="住宅",J51&lt;L48,J56="是"),"——",J51-L48)</f>
        <v>32.379999999999995</v>
      </c>
      <c r="K57" s="2540" t="s">
        <v>2896</v>
      </c>
      <c r="L57" s="2164" t="str">
        <f ca="1">IF(L48&lt;J51,"——",IF(L55="比较法",L49,IF(L55="基准地价",L50,L51)))</f>
        <v>——</v>
      </c>
      <c r="O57" s="2583" t="s">
        <v>2448</v>
      </c>
      <c r="P57" s="2593" t="s">
        <v>2472</v>
      </c>
      <c r="Q57" s="2584">
        <f ca="1">L60</f>
        <v>0</v>
      </c>
      <c r="R57" s="2584" t="s">
        <v>2487</v>
      </c>
    </row>
    <row r="58" spans="1:18" s="1454" customFormat="1" ht="29.25" thickBot="1">
      <c r="A58" s="697" t="s">
        <v>2336</v>
      </c>
      <c r="B58" s="2406" t="s">
        <v>2366</v>
      </c>
      <c r="C58" s="698">
        <f ca="1">ROUND(C59+C64+C65+C66,0)</f>
        <v>168</v>
      </c>
      <c r="D58" s="2412" t="s">
        <v>2367</v>
      </c>
      <c r="E58" s="2413"/>
      <c r="F58" s="2414"/>
      <c r="I58" s="2541" t="s">
        <v>2424</v>
      </c>
      <c r="J58" s="3315">
        <f ca="1">IF(J55&lt;0.4,0.4,J55)</f>
        <v>0.54</v>
      </c>
      <c r="K58" s="2564" t="s">
        <v>2897</v>
      </c>
      <c r="L58" s="2164">
        <f ca="1">IF(ISERROR(POWER(1+L52,L47-L48)*(POWER(1+L52,L48)-1)/(POWER(1+L52,L47)-1)),0,POWER(1+L52,L47-L48)*(POWER(1+L52,L48)-1)/(POWER(1+L52,L47)-1))</f>
        <v>0</v>
      </c>
      <c r="O58" s="2585" t="s">
        <v>2449</v>
      </c>
      <c r="P58" s="2593" t="s">
        <v>2479</v>
      </c>
      <c r="Q58" s="2584">
        <f>IF(L55="比较法",L49,IF(L55="基准地价",L50,0))</f>
        <v>0</v>
      </c>
      <c r="R58" s="2584" t="s">
        <v>2466</v>
      </c>
    </row>
    <row r="59" spans="1:18" s="1454" customFormat="1" ht="29.25" thickBot="1">
      <c r="A59" s="2434" t="s">
        <v>2371</v>
      </c>
      <c r="B59" s="2398" t="s">
        <v>361</v>
      </c>
      <c r="C59" s="313">
        <f ca="1">ROUND(IF(项目基本情况!B11="自然人",C48*F59,C60+C61+C62),1)</f>
        <v>56.7</v>
      </c>
      <c r="D59" s="2415" t="s">
        <v>2337</v>
      </c>
      <c r="E59" s="2416" t="s">
        <v>2338</v>
      </c>
      <c r="F59" s="708" t="str">
        <f ca="1">IF(项目基本情况!B11="企业","",IF(INDIRECT("'数据-取费表'!c"&amp;$G$1)="住宅",5%,IF(F49*F50*F51/12/(1+'数据-取费表'!C42)&gt;20000,12%,7%)))</f>
        <v/>
      </c>
      <c r="I59" s="2541" t="s">
        <v>2425</v>
      </c>
      <c r="J59" s="2545">
        <f ca="1">IF(OR(M47="住宅",J51&lt;L48,J56="是"),"——",ROUND(C29*J58,0))</f>
        <v>3533</v>
      </c>
      <c r="K59" s="2564" t="s">
        <v>2898</v>
      </c>
      <c r="L59" s="2164">
        <f ca="1">IF(ISERROR(POWER(1+L52,L47-J51)*(POWER(1+L52,J51)-1)/(POWER(1+L52,L47)-1)),0,POWER(1+L52,L47-J51)*(POWER(1+L52,J51)-1)/(POWER(1+L52,L47)-1))</f>
        <v>0</v>
      </c>
      <c r="O59" s="2585" t="s">
        <v>2450</v>
      </c>
      <c r="P59" s="2593" t="s">
        <v>2480</v>
      </c>
      <c r="Q59" s="2586">
        <f>L52</f>
        <v>0</v>
      </c>
      <c r="R59" s="2584"/>
    </row>
    <row r="60" spans="1:18" s="1454" customFormat="1" ht="20.25" thickBot="1">
      <c r="A60" s="2434" t="s">
        <v>2368</v>
      </c>
      <c r="B60" s="2398" t="s">
        <v>2339</v>
      </c>
      <c r="C60" s="313">
        <f ca="1">IF(项目基本情况!B11="自然人","——",ROUND(C48*F60/(1+'数据-取费表'!C42),2))</f>
        <v>0</v>
      </c>
      <c r="D60" s="2416" t="s">
        <v>2340</v>
      </c>
      <c r="E60" s="2398" t="s">
        <v>368</v>
      </c>
      <c r="F60" s="717">
        <f t="shared" ref="F60:F66" si="0">F32</f>
        <v>5.6000000000000001E-2</v>
      </c>
      <c r="I60" s="2542" t="s">
        <v>2426</v>
      </c>
      <c r="J60" s="2546">
        <f ca="1">IF(OR(M47="住宅",J51&lt;L48,J56="是"),"0",ROUND(J59/(1+J52)^J53,0))</f>
        <v>3533</v>
      </c>
      <c r="K60" s="2548" t="s">
        <v>2429</v>
      </c>
      <c r="L60" s="2546">
        <f ca="1">IF(OR(M47="住宅",L48&lt;J51),0,ROUND(L57*(L58/L59-1),0))</f>
        <v>0</v>
      </c>
      <c r="O60" s="2585" t="s">
        <v>2451</v>
      </c>
      <c r="P60" s="2593" t="s">
        <v>2481</v>
      </c>
      <c r="Q60" s="2584">
        <f ca="1">L58</f>
        <v>0</v>
      </c>
      <c r="R60" s="2584" t="s">
        <v>2456</v>
      </c>
    </row>
    <row r="61" spans="1:18" s="1454" customFormat="1" ht="20.25" thickBot="1">
      <c r="A61" s="2434" t="s">
        <v>2369</v>
      </c>
      <c r="B61" s="2398" t="s">
        <v>2342</v>
      </c>
      <c r="C61" s="313">
        <f ca="1">IF(项目基本情况!B11="自然人","——",IF(D61="按租金收入计税",ROUND(C48*F61,2),IF(D61="按房产原值计税",ROUND(C57*F61*0.7,2),INDIRECT("'数据-取费表'!Aj"&amp;$G$1))))</f>
        <v>54.96</v>
      </c>
      <c r="D61" s="1300" t="s">
        <v>2411</v>
      </c>
      <c r="E61" s="2398" t="s">
        <v>368</v>
      </c>
      <c r="F61" s="707">
        <f t="shared" si="0"/>
        <v>1.2E-2</v>
      </c>
      <c r="I61" s="2408"/>
      <c r="J61" s="2408"/>
      <c r="K61" s="2408"/>
      <c r="L61" s="2408"/>
      <c r="O61" s="2585" t="s">
        <v>2452</v>
      </c>
      <c r="P61" s="2593" t="s">
        <v>2482</v>
      </c>
      <c r="Q61" s="2584">
        <f ca="1">L59</f>
        <v>0</v>
      </c>
      <c r="R61" s="2584" t="s">
        <v>2457</v>
      </c>
    </row>
    <row r="62" spans="1:18" s="1454" customFormat="1" ht="15.75" thickBot="1">
      <c r="A62" s="2434" t="s">
        <v>2370</v>
      </c>
      <c r="B62" s="2397" t="s">
        <v>2343</v>
      </c>
      <c r="C62" s="314">
        <f ca="1">IF(项目基本情况!B11="自然人","——",ROUND(F62*F63/10000,2))</f>
        <v>1.76</v>
      </c>
      <c r="D62" s="2417" t="s">
        <v>2344</v>
      </c>
      <c r="E62" s="2398" t="s">
        <v>2345</v>
      </c>
      <c r="F62" s="711">
        <f t="shared" si="0"/>
        <v>4</v>
      </c>
      <c r="I62" s="2543" t="s">
        <v>2416</v>
      </c>
      <c r="J62" s="2544" t="s">
        <v>2417</v>
      </c>
      <c r="K62" s="2544" t="s">
        <v>2418</v>
      </c>
      <c r="L62" s="2544" t="s">
        <v>2414</v>
      </c>
      <c r="M62" s="3316" t="s">
        <v>3031</v>
      </c>
      <c r="O62" s="2583" t="s">
        <v>2453</v>
      </c>
      <c r="P62" s="2593" t="s">
        <v>2471</v>
      </c>
      <c r="Q62" s="2584">
        <f ca="1">Q56+Q57</f>
        <v>48973</v>
      </c>
      <c r="R62" s="2584" t="s">
        <v>2454</v>
      </c>
    </row>
    <row r="63" spans="1:18" s="1454" customFormat="1" ht="16.5" thickBot="1">
      <c r="A63" s="712"/>
      <c r="B63" s="2404"/>
      <c r="C63" s="318"/>
      <c r="D63" s="2418"/>
      <c r="E63" s="2398" t="s">
        <v>2346</v>
      </c>
      <c r="F63" s="685">
        <f t="shared" ca="1" si="0"/>
        <v>4391.93</v>
      </c>
      <c r="I63" s="2543" t="s">
        <v>2430</v>
      </c>
      <c r="J63" s="3319">
        <v>70</v>
      </c>
      <c r="K63" s="3319">
        <v>50</v>
      </c>
      <c r="L63" s="3319">
        <v>80</v>
      </c>
      <c r="M63" s="3317">
        <v>0.02</v>
      </c>
      <c r="O63" s="2587" t="s">
        <v>2485</v>
      </c>
      <c r="P63" s="1295"/>
      <c r="Q63" s="1295"/>
      <c r="R63" s="1295"/>
    </row>
    <row r="64" spans="1:18" s="1454" customFormat="1" ht="15.75" thickBot="1">
      <c r="A64" s="2434" t="s">
        <v>2378</v>
      </c>
      <c r="B64" s="2398" t="s">
        <v>2347</v>
      </c>
      <c r="C64" s="313">
        <f ca="1">ROUND(C57*F64,1)</f>
        <v>98.1</v>
      </c>
      <c r="D64" s="2416" t="s">
        <v>2348</v>
      </c>
      <c r="E64" s="2398" t="s">
        <v>368</v>
      </c>
      <c r="F64" s="714">
        <f t="shared" ca="1" si="0"/>
        <v>1.4999999999999999E-2</v>
      </c>
      <c r="I64" s="2543" t="s">
        <v>105</v>
      </c>
      <c r="J64" s="3319">
        <v>50</v>
      </c>
      <c r="K64" s="3319">
        <v>35</v>
      </c>
      <c r="L64" s="3319">
        <v>60</v>
      </c>
      <c r="M64" s="3318">
        <v>0</v>
      </c>
      <c r="O64" s="2590" t="s">
        <v>2462</v>
      </c>
      <c r="P64" s="2591" t="s">
        <v>2463</v>
      </c>
      <c r="Q64" s="2592" t="s">
        <v>2461</v>
      </c>
      <c r="R64" s="2592" t="s">
        <v>2464</v>
      </c>
    </row>
    <row r="65" spans="1:18" s="1454" customFormat="1" ht="15.75" thickBot="1">
      <c r="A65" s="2434" t="s">
        <v>2372</v>
      </c>
      <c r="B65" s="2398" t="s">
        <v>366</v>
      </c>
      <c r="C65" s="313">
        <f ca="1">ROUND(C56*F65,1)</f>
        <v>12.7</v>
      </c>
      <c r="D65" s="2416" t="s">
        <v>367</v>
      </c>
      <c r="E65" s="2398" t="s">
        <v>368</v>
      </c>
      <c r="F65" s="716">
        <f t="shared" ca="1" si="0"/>
        <v>2E-3</v>
      </c>
      <c r="I65" s="2543" t="s">
        <v>2432</v>
      </c>
      <c r="J65" s="3319">
        <v>40</v>
      </c>
      <c r="K65" s="3319">
        <v>30</v>
      </c>
      <c r="L65" s="3319">
        <v>50</v>
      </c>
      <c r="M65" s="3317">
        <v>0.02</v>
      </c>
      <c r="O65" s="2583" t="s">
        <v>2447</v>
      </c>
      <c r="P65" s="2593" t="s">
        <v>2465</v>
      </c>
      <c r="Q65" s="2584">
        <f ca="1">C40+J29</f>
        <v>48973</v>
      </c>
      <c r="R65" s="2584" t="s">
        <v>2466</v>
      </c>
    </row>
    <row r="66" spans="1:18" s="1454" customFormat="1" ht="20.25" thickBot="1">
      <c r="A66" s="2434" t="s">
        <v>2373</v>
      </c>
      <c r="B66" s="2398" t="s">
        <v>365</v>
      </c>
      <c r="C66" s="313">
        <f ca="1">ROUND(C48*F66,1)</f>
        <v>0</v>
      </c>
      <c r="D66" s="2416" t="s">
        <v>369</v>
      </c>
      <c r="E66" s="2398" t="s">
        <v>368</v>
      </c>
      <c r="F66" s="694">
        <f t="shared" ca="1" si="0"/>
        <v>0.01</v>
      </c>
      <c r="O66" s="2583" t="s">
        <v>2448</v>
      </c>
      <c r="P66" s="2593" t="s">
        <v>2472</v>
      </c>
      <c r="Q66" s="2584">
        <f ca="1">L60</f>
        <v>0</v>
      </c>
      <c r="R66" s="2584" t="s">
        <v>2455</v>
      </c>
    </row>
    <row r="67" spans="1:18" s="1454" customFormat="1" ht="24.75" thickBot="1">
      <c r="A67" s="2405" t="s">
        <v>2351</v>
      </c>
      <c r="B67" s="2419" t="s">
        <v>2352</v>
      </c>
      <c r="C67" s="698">
        <f ca="1">C48-C58</f>
        <v>-168</v>
      </c>
      <c r="D67" s="2415" t="s">
        <v>376</v>
      </c>
      <c r="E67" s="2420"/>
      <c r="F67" s="2421"/>
      <c r="O67" s="2585" t="s">
        <v>2449</v>
      </c>
      <c r="P67" s="2593" t="s">
        <v>2479</v>
      </c>
      <c r="Q67" s="2588">
        <f ca="1">L51</f>
        <v>35866</v>
      </c>
      <c r="R67" s="2589" t="s">
        <v>2489</v>
      </c>
    </row>
    <row r="68" spans="1:18" s="1454" customFormat="1" ht="20.25" thickBot="1">
      <c r="A68" s="2395" t="s">
        <v>2354</v>
      </c>
      <c r="B68" s="2396" t="s">
        <v>2355</v>
      </c>
      <c r="C68" s="683">
        <f ca="1">ROUND(C67*(1-((1+F70)/(1+F68))^F69)/(F68-F70),0)</f>
        <v>-2358</v>
      </c>
      <c r="D68" s="2417" t="s">
        <v>2356</v>
      </c>
      <c r="E68" s="2398" t="s">
        <v>372</v>
      </c>
      <c r="F68" s="694">
        <f ca="1">F40</f>
        <v>5.5E-2</v>
      </c>
      <c r="O68" s="2585" t="s">
        <v>2450</v>
      </c>
      <c r="P68" s="2594" t="s">
        <v>2483</v>
      </c>
      <c r="Q68" s="2584">
        <f ca="1">ROUND(Q69-Q70*Q71,0)</f>
        <v>2294</v>
      </c>
      <c r="R68" s="2584" t="s">
        <v>2488</v>
      </c>
    </row>
    <row r="69" spans="1:18" s="1454" customFormat="1" ht="15.75" thickBot="1">
      <c r="A69" s="2399"/>
      <c r="B69" s="2400"/>
      <c r="C69" s="688"/>
      <c r="D69" s="2422" t="s">
        <v>2358</v>
      </c>
      <c r="E69" s="2398" t="s">
        <v>379</v>
      </c>
      <c r="F69" s="719">
        <f ca="1">F41</f>
        <v>27.62</v>
      </c>
      <c r="O69" s="2585" t="s">
        <v>2458</v>
      </c>
      <c r="P69" s="2594" t="s">
        <v>2473</v>
      </c>
      <c r="Q69" s="2584">
        <f ca="1">C39</f>
        <v>2675</v>
      </c>
      <c r="R69" s="2584" t="s">
        <v>2466</v>
      </c>
    </row>
    <row r="70" spans="1:18" s="1454" customFormat="1" ht="15.75" thickBot="1">
      <c r="A70" s="2402"/>
      <c r="B70" s="2403"/>
      <c r="C70" s="692"/>
      <c r="D70" s="2418"/>
      <c r="E70" s="2398" t="s">
        <v>2360</v>
      </c>
      <c r="F70" s="2528"/>
      <c r="O70" s="2585" t="s">
        <v>2459</v>
      </c>
      <c r="P70" s="2594" t="s">
        <v>2474</v>
      </c>
      <c r="Q70" s="2584">
        <f ca="1">C13</f>
        <v>6347</v>
      </c>
      <c r="R70" s="2584" t="s">
        <v>2466</v>
      </c>
    </row>
    <row r="71" spans="1:18" s="1454" customFormat="1" ht="15.75" thickBot="1">
      <c r="A71" s="2423" t="s">
        <v>2361</v>
      </c>
      <c r="B71" s="2424" t="s">
        <v>2362</v>
      </c>
      <c r="C71" s="722">
        <f ca="1">ROUND(C68*10000/F71,0)</f>
        <v>-1086</v>
      </c>
      <c r="D71" s="2425" t="s">
        <v>382</v>
      </c>
      <c r="E71" s="2426" t="s">
        <v>383</v>
      </c>
      <c r="F71" s="725">
        <f ca="1">F43</f>
        <v>21711.050000000003</v>
      </c>
      <c r="I71" s="2393"/>
      <c r="K71" s="2393"/>
      <c r="O71" s="2585" t="s">
        <v>2460</v>
      </c>
      <c r="P71" s="2594" t="s">
        <v>2486</v>
      </c>
      <c r="Q71" s="2586">
        <f ca="1">C76</f>
        <v>0.06</v>
      </c>
      <c r="R71" s="2584"/>
    </row>
    <row r="72" spans="1:18" s="1454" customFormat="1" ht="15.75" thickBot="1">
      <c r="B72" s="1459"/>
      <c r="C72" s="1459"/>
      <c r="I72" s="2393"/>
      <c r="O72" s="2585" t="s">
        <v>2451</v>
      </c>
      <c r="P72" s="2593" t="s">
        <v>2480</v>
      </c>
      <c r="Q72" s="2586">
        <f>L52</f>
        <v>0</v>
      </c>
      <c r="R72" s="2584"/>
    </row>
    <row r="73" spans="1:18" ht="20.25" thickBot="1">
      <c r="A73" s="1454"/>
      <c r="B73" s="1459"/>
      <c r="C73" s="1459"/>
      <c r="D73" s="1454"/>
      <c r="E73" s="1454"/>
      <c r="F73" s="1454"/>
      <c r="I73" s="2579"/>
      <c r="O73" s="2585" t="s">
        <v>2452</v>
      </c>
      <c r="P73" s="2593" t="s">
        <v>2481</v>
      </c>
      <c r="Q73" s="2584">
        <f ca="1">L58</f>
        <v>0</v>
      </c>
      <c r="R73" s="2584" t="s">
        <v>2456</v>
      </c>
    </row>
    <row r="74" spans="1:18" ht="20.25" thickBot="1">
      <c r="A74" s="1454"/>
      <c r="B74" s="727" t="s">
        <v>384</v>
      </c>
      <c r="C74" s="728"/>
      <c r="D74" s="1454"/>
      <c r="E74" s="1454"/>
      <c r="F74" s="1454"/>
      <c r="O74" s="2585" t="s">
        <v>2490</v>
      </c>
      <c r="P74" s="2593" t="s">
        <v>2482</v>
      </c>
      <c r="Q74" s="2584">
        <f ca="1">L59</f>
        <v>0</v>
      </c>
      <c r="R74" s="2584" t="s">
        <v>2457</v>
      </c>
    </row>
    <row r="75" spans="1:18" ht="15.75" thickBot="1">
      <c r="A75" s="1454"/>
      <c r="B75" s="729" t="s">
        <v>975</v>
      </c>
      <c r="C75" s="730">
        <f ca="1">ROUND(C13*C76,0)</f>
        <v>381</v>
      </c>
      <c r="D75" s="1454"/>
      <c r="E75" s="1454"/>
      <c r="F75" s="1454"/>
      <c r="K75" s="1455"/>
      <c r="L75" s="1454"/>
      <c r="O75" s="2583" t="s">
        <v>2453</v>
      </c>
      <c r="P75" s="2593" t="s">
        <v>2471</v>
      </c>
      <c r="Q75" s="2584">
        <f ca="1">Q65+Q66</f>
        <v>48973</v>
      </c>
      <c r="R75" s="2584" t="s">
        <v>2454</v>
      </c>
    </row>
    <row r="76" spans="1:18">
      <c r="B76" s="731" t="s">
        <v>976</v>
      </c>
      <c r="C76" s="732">
        <f ca="1">INDIRECT("'数据-取费表'!j"&amp;$G$1)</f>
        <v>0.06</v>
      </c>
      <c r="I76" s="1454"/>
      <c r="J76" s="1454"/>
      <c r="K76" s="1455"/>
      <c r="L76" s="1454"/>
    </row>
    <row r="77" spans="1:18">
      <c r="B77" s="733" t="s">
        <v>979</v>
      </c>
      <c r="C77" s="734"/>
      <c r="I77" s="1454"/>
      <c r="J77" s="1454"/>
      <c r="K77" s="1455"/>
      <c r="L77" s="1454"/>
    </row>
    <row r="78" spans="1:18">
      <c r="B78" s="646" t="s">
        <v>2694</v>
      </c>
      <c r="C78" s="735"/>
    </row>
    <row r="79" spans="1:18">
      <c r="B79" s="2869" t="s">
        <v>2698</v>
      </c>
      <c r="C79" s="650">
        <f ca="1">1-C80</f>
        <v>0.85799999999999998</v>
      </c>
    </row>
    <row r="80" spans="1:18">
      <c r="B80" s="2869" t="s">
        <v>2697</v>
      </c>
      <c r="C80" s="650">
        <f ca="1">ROUND(C75/C39,3)</f>
        <v>0.14199999999999999</v>
      </c>
    </row>
    <row r="81" spans="2:3">
      <c r="B81" s="646" t="s">
        <v>385</v>
      </c>
      <c r="C81" s="647"/>
    </row>
    <row r="82" spans="2:3">
      <c r="B82" s="2868" t="s">
        <v>2696</v>
      </c>
      <c r="C82" s="651">
        <f ca="1">1-C83</f>
        <v>0.87</v>
      </c>
    </row>
    <row r="83" spans="2:3">
      <c r="B83" s="2868" t="s">
        <v>2695</v>
      </c>
      <c r="C83" s="650">
        <f ca="1">ROUND(C13/C40,3)</f>
        <v>0.13</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6" priority="5">
      <formula>$L$48&gt;$J$51</formula>
    </cfRule>
  </conditionalFormatting>
  <conditionalFormatting sqref="I55 I60">
    <cfRule type="expression" dxfId="165" priority="4">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63" t="s">
        <v>2544</v>
      </c>
      <c r="B1" s="3764"/>
      <c r="C1" s="3765"/>
      <c r="D1" s="3766">
        <f>SUM(I10,I15,I20,I21,I23)</f>
        <v>0</v>
      </c>
      <c r="E1" s="3766"/>
      <c r="F1" s="3766"/>
      <c r="G1" s="3766"/>
      <c r="H1" s="3766"/>
      <c r="I1" s="3767"/>
    </row>
    <row r="2" spans="1:9">
      <c r="A2" s="3768" t="s">
        <v>2545</v>
      </c>
      <c r="B2" s="3769" t="s">
        <v>2546</v>
      </c>
      <c r="C2" s="3769"/>
      <c r="D2" s="2634" t="s">
        <v>2547</v>
      </c>
      <c r="E2" s="2634" t="s">
        <v>2548</v>
      </c>
      <c r="F2" s="2634" t="s">
        <v>2549</v>
      </c>
      <c r="G2" s="2634" t="s">
        <v>2550</v>
      </c>
      <c r="H2" s="2634" t="s">
        <v>2551</v>
      </c>
      <c r="I2" s="2635" t="s">
        <v>2552</v>
      </c>
    </row>
    <row r="3" spans="1:9">
      <c r="A3" s="3768"/>
      <c r="B3" s="3769" t="s">
        <v>2553</v>
      </c>
      <c r="C3" s="3769"/>
      <c r="D3" s="2636"/>
      <c r="E3" s="2634"/>
      <c r="F3" s="2637"/>
      <c r="G3" s="2637"/>
      <c r="H3" s="2638"/>
      <c r="I3" s="2639">
        <f>ROUND(D3*E3*F3*G3*H3/10000,0)</f>
        <v>0</v>
      </c>
    </row>
    <row r="4" spans="1:9">
      <c r="A4" s="3768"/>
      <c r="B4" s="3769" t="s">
        <v>2554</v>
      </c>
      <c r="C4" s="3769"/>
      <c r="D4" s="2636"/>
      <c r="E4" s="2634"/>
      <c r="F4" s="2637"/>
      <c r="G4" s="2637"/>
      <c r="H4" s="2638"/>
      <c r="I4" s="2639">
        <f t="shared" ref="I4:I9" si="0">ROUND(D4*E4*F4*G4*H4/10000,0)</f>
        <v>0</v>
      </c>
    </row>
    <row r="5" spans="1:9">
      <c r="A5" s="3768"/>
      <c r="B5" s="3769" t="s">
        <v>2555</v>
      </c>
      <c r="C5" s="3769"/>
      <c r="D5" s="2636"/>
      <c r="E5" s="2634"/>
      <c r="F5" s="2637"/>
      <c r="G5" s="2637"/>
      <c r="H5" s="2638"/>
      <c r="I5" s="2639">
        <f t="shared" si="0"/>
        <v>0</v>
      </c>
    </row>
    <row r="6" spans="1:9">
      <c r="A6" s="3768"/>
      <c r="B6" s="3769" t="s">
        <v>2556</v>
      </c>
      <c r="C6" s="3769"/>
      <c r="D6" s="2636"/>
      <c r="E6" s="2634"/>
      <c r="F6" s="2637"/>
      <c r="G6" s="2637"/>
      <c r="H6" s="2638"/>
      <c r="I6" s="2639">
        <f t="shared" si="0"/>
        <v>0</v>
      </c>
    </row>
    <row r="7" spans="1:9">
      <c r="A7" s="3768"/>
      <c r="B7" s="3769" t="s">
        <v>2557</v>
      </c>
      <c r="C7" s="3769"/>
      <c r="D7" s="2636"/>
      <c r="E7" s="2634"/>
      <c r="F7" s="2637"/>
      <c r="G7" s="2637"/>
      <c r="H7" s="2638"/>
      <c r="I7" s="2639">
        <f t="shared" si="0"/>
        <v>0</v>
      </c>
    </row>
    <row r="8" spans="1:9">
      <c r="A8" s="3768"/>
      <c r="B8" s="3769" t="s">
        <v>2558</v>
      </c>
      <c r="C8" s="3769"/>
      <c r="D8" s="2636"/>
      <c r="E8" s="2634"/>
      <c r="F8" s="2637"/>
      <c r="G8" s="2637"/>
      <c r="H8" s="2638"/>
      <c r="I8" s="2639">
        <f t="shared" si="0"/>
        <v>0</v>
      </c>
    </row>
    <row r="9" spans="1:9">
      <c r="A9" s="3768"/>
      <c r="B9" s="3769" t="s">
        <v>2559</v>
      </c>
      <c r="C9" s="3769"/>
      <c r="D9" s="2636"/>
      <c r="E9" s="2634"/>
      <c r="F9" s="2637"/>
      <c r="G9" s="2637"/>
      <c r="H9" s="2638"/>
      <c r="I9" s="2639">
        <f t="shared" si="0"/>
        <v>0</v>
      </c>
    </row>
    <row r="10" spans="1:9">
      <c r="A10" s="3768"/>
      <c r="B10" s="3770" t="s">
        <v>2560</v>
      </c>
      <c r="C10" s="3770"/>
      <c r="D10" s="2640"/>
      <c r="E10" s="2640" t="e">
        <f>ROUND(D1*10000/D10/H9,0)</f>
        <v>#DIV/0!</v>
      </c>
      <c r="F10" s="2641"/>
      <c r="G10" s="2641"/>
      <c r="H10" s="2642"/>
      <c r="I10" s="2643">
        <f>SUM(I3:I9)</f>
        <v>0</v>
      </c>
    </row>
    <row r="11" spans="1:9" ht="14.25">
      <c r="A11" s="3768" t="s">
        <v>2561</v>
      </c>
      <c r="B11" s="3769" t="s">
        <v>2562</v>
      </c>
      <c r="C11" s="3769"/>
      <c r="D11" s="2636" t="s">
        <v>2563</v>
      </c>
      <c r="E11" s="2636" t="s">
        <v>2564</v>
      </c>
      <c r="F11" s="2637" t="s">
        <v>2565</v>
      </c>
      <c r="G11" s="2637" t="s">
        <v>2551</v>
      </c>
      <c r="H11" s="2644" t="s">
        <v>2566</v>
      </c>
      <c r="I11" s="2635" t="s">
        <v>2552</v>
      </c>
    </row>
    <row r="12" spans="1:9">
      <c r="A12" s="3768"/>
      <c r="B12" s="3769" t="s">
        <v>2567</v>
      </c>
      <c r="C12" s="3769"/>
      <c r="D12" s="2636"/>
      <c r="E12" s="2636"/>
      <c r="F12" s="2637"/>
      <c r="G12" s="2638"/>
      <c r="H12" s="2645"/>
      <c r="I12" s="2635">
        <f>ROUND(D12*E12*F12*G12/10000,0)</f>
        <v>0</v>
      </c>
    </row>
    <row r="13" spans="1:9">
      <c r="A13" s="3768"/>
      <c r="B13" s="3769" t="s">
        <v>2568</v>
      </c>
      <c r="C13" s="3769"/>
      <c r="D13" s="2636"/>
      <c r="E13" s="2636"/>
      <c r="F13" s="2637"/>
      <c r="G13" s="2638"/>
      <c r="H13" s="2645"/>
      <c r="I13" s="2635">
        <f>ROUND(D13*E13*F13*G13/10000,0)</f>
        <v>0</v>
      </c>
    </row>
    <row r="14" spans="1:9">
      <c r="A14" s="3768"/>
      <c r="B14" s="3769" t="s">
        <v>2569</v>
      </c>
      <c r="C14" s="3769"/>
      <c r="D14" s="2636"/>
      <c r="E14" s="2636"/>
      <c r="F14" s="2637"/>
      <c r="G14" s="2638"/>
      <c r="H14" s="2645"/>
      <c r="I14" s="2635">
        <f>ROUND(D14*E14*F14*G14/10000,0)</f>
        <v>0</v>
      </c>
    </row>
    <row r="15" spans="1:9">
      <c r="A15" s="3768"/>
      <c r="B15" s="3770" t="s">
        <v>2560</v>
      </c>
      <c r="C15" s="3770"/>
      <c r="D15" s="2640"/>
      <c r="E15" s="2640">
        <f>SUM(E12:E14)</f>
        <v>0</v>
      </c>
      <c r="F15" s="2641"/>
      <c r="G15" s="2638"/>
      <c r="H15" s="2645"/>
      <c r="I15" s="2646">
        <f>SUM(I12:I14)</f>
        <v>0</v>
      </c>
    </row>
    <row r="16" spans="1:9" ht="24">
      <c r="A16" s="3768" t="s">
        <v>2570</v>
      </c>
      <c r="B16" s="3769" t="s">
        <v>2571</v>
      </c>
      <c r="C16" s="3769"/>
      <c r="D16" s="2636" t="s">
        <v>2547</v>
      </c>
      <c r="E16" s="2647" t="s">
        <v>2572</v>
      </c>
      <c r="F16" s="2637" t="s">
        <v>2573</v>
      </c>
      <c r="G16" s="2638" t="s">
        <v>2551</v>
      </c>
      <c r="H16" s="2644" t="s">
        <v>2566</v>
      </c>
      <c r="I16" s="2635" t="s">
        <v>2552</v>
      </c>
    </row>
    <row r="17" spans="1:9" ht="14.25">
      <c r="A17" s="3768"/>
      <c r="B17" s="3769" t="s">
        <v>2574</v>
      </c>
      <c r="C17" s="3769"/>
      <c r="D17" s="2636"/>
      <c r="E17" s="2636"/>
      <c r="F17" s="2637"/>
      <c r="G17" s="2638"/>
      <c r="H17" s="2648"/>
      <c r="I17" s="2649">
        <f>ROUND(D17*E17*F17*G17/10000,0)</f>
        <v>0</v>
      </c>
    </row>
    <row r="18" spans="1:9" ht="14.25">
      <c r="A18" s="3768"/>
      <c r="B18" s="3769" t="s">
        <v>2575</v>
      </c>
      <c r="C18" s="3769"/>
      <c r="D18" s="2636"/>
      <c r="E18" s="2636"/>
      <c r="F18" s="2637"/>
      <c r="G18" s="2638"/>
      <c r="H18" s="2648"/>
      <c r="I18" s="2649">
        <f>ROUND(D18*E18*F18*G18/10000,0)</f>
        <v>0</v>
      </c>
    </row>
    <row r="19" spans="1:9" ht="14.25">
      <c r="A19" s="3768"/>
      <c r="B19" s="3769" t="s">
        <v>2576</v>
      </c>
      <c r="C19" s="3769"/>
      <c r="D19" s="2636"/>
      <c r="E19" s="2636"/>
      <c r="F19" s="2637"/>
      <c r="G19" s="2638"/>
      <c r="H19" s="2648"/>
      <c r="I19" s="2649">
        <f>ROUND(D19*E19*F19*G19/10000,0)</f>
        <v>0</v>
      </c>
    </row>
    <row r="20" spans="1:9">
      <c r="A20" s="3768"/>
      <c r="B20" s="3770" t="s">
        <v>2560</v>
      </c>
      <c r="C20" s="3770"/>
      <c r="D20" s="2640">
        <f>SUM(D17:D19)</f>
        <v>0</v>
      </c>
      <c r="E20" s="2640"/>
      <c r="F20" s="2641"/>
      <c r="G20" s="2638"/>
      <c r="H20" s="2645"/>
      <c r="I20" s="2646">
        <f>SUM(I17:I19)</f>
        <v>0</v>
      </c>
    </row>
    <row r="21" spans="1:9">
      <c r="A21" s="3768" t="s">
        <v>2577</v>
      </c>
      <c r="B21" s="3772"/>
      <c r="C21" s="3772"/>
      <c r="D21" s="3772"/>
      <c r="E21" s="3772"/>
      <c r="F21" s="3772"/>
      <c r="G21" s="3772"/>
      <c r="H21" s="3294">
        <v>0.1</v>
      </c>
      <c r="I21" s="2643">
        <f>ROUND(I10*H21,0)</f>
        <v>0</v>
      </c>
    </row>
    <row r="22" spans="1:9" ht="14.25">
      <c r="A22" s="3773" t="s">
        <v>2578</v>
      </c>
      <c r="B22" s="3774"/>
      <c r="C22" s="3775"/>
      <c r="D22" s="2650" t="s">
        <v>2579</v>
      </c>
      <c r="E22" s="2650" t="s">
        <v>2580</v>
      </c>
      <c r="F22" s="2651" t="s">
        <v>2581</v>
      </c>
      <c r="G22" s="2651" t="s">
        <v>2582</v>
      </c>
      <c r="H22" s="2644" t="s">
        <v>2583</v>
      </c>
      <c r="I22" s="2635" t="s">
        <v>2584</v>
      </c>
    </row>
    <row r="23" spans="1:9" ht="14.25" thickBot="1">
      <c r="A23" s="3776"/>
      <c r="B23" s="3777"/>
      <c r="C23" s="3778"/>
      <c r="D23" s="2652"/>
      <c r="E23" s="2652"/>
      <c r="F23" s="2652"/>
      <c r="G23" s="2653"/>
      <c r="H23" s="2654"/>
      <c r="I23" s="2655">
        <f>ROUND(E23*D23*F23*(1-G23)/10000,0)</f>
        <v>0</v>
      </c>
    </row>
    <row r="26" spans="1:9">
      <c r="A26" s="2656" t="s">
        <v>2585</v>
      </c>
      <c r="B26" s="2656"/>
      <c r="C26" s="2656"/>
      <c r="D26" s="2656"/>
      <c r="E26" s="3779">
        <f>C27-C30-C31-C32</f>
        <v>0</v>
      </c>
      <c r="F26" s="3779"/>
      <c r="G26" s="3779"/>
      <c r="H26" s="3246" t="s">
        <v>2955</v>
      </c>
    </row>
    <row r="27" spans="1:9">
      <c r="A27" s="2657">
        <v>1</v>
      </c>
      <c r="B27" s="2658" t="s">
        <v>2586</v>
      </c>
      <c r="C27" s="2658">
        <f>C28+C29</f>
        <v>0</v>
      </c>
      <c r="D27" s="2658"/>
      <c r="E27" s="3780"/>
      <c r="F27" s="3780"/>
      <c r="G27" s="3780"/>
    </row>
    <row r="28" spans="1:9">
      <c r="A28" s="2659" t="s">
        <v>2587</v>
      </c>
      <c r="B28" s="2658" t="s">
        <v>2588</v>
      </c>
      <c r="C28" s="2658"/>
      <c r="D28" s="2658"/>
      <c r="E28" s="3780"/>
      <c r="F28" s="3780"/>
      <c r="G28" s="3780"/>
    </row>
    <row r="29" spans="1:9">
      <c r="A29" s="2659" t="s">
        <v>2589</v>
      </c>
      <c r="B29" s="2658" t="s">
        <v>2590</v>
      </c>
      <c r="C29" s="2658"/>
      <c r="D29" s="2658"/>
      <c r="E29" s="2658" t="s">
        <v>2591</v>
      </c>
      <c r="F29" s="2658"/>
      <c r="G29" s="2658"/>
    </row>
    <row r="30" spans="1:9">
      <c r="A30" s="2657">
        <v>2</v>
      </c>
      <c r="B30" s="2658" t="s">
        <v>2592</v>
      </c>
      <c r="C30" s="2658">
        <f>C27*D30</f>
        <v>0</v>
      </c>
      <c r="D30" s="2660">
        <v>0.2</v>
      </c>
      <c r="E30" s="2658" t="s">
        <v>2593</v>
      </c>
      <c r="F30" s="2658"/>
      <c r="G30" s="2658"/>
    </row>
    <row r="31" spans="1:9">
      <c r="A31" s="2657">
        <v>3</v>
      </c>
      <c r="B31" s="2658" t="s">
        <v>2594</v>
      </c>
      <c r="C31" s="2658">
        <f>C25*D31</f>
        <v>0</v>
      </c>
      <c r="D31" s="2660">
        <v>0.15</v>
      </c>
      <c r="E31" s="2658" t="s">
        <v>2595</v>
      </c>
      <c r="F31" s="2658"/>
      <c r="G31" s="2658"/>
    </row>
    <row r="32" spans="1:9">
      <c r="A32" s="2657">
        <v>4</v>
      </c>
      <c r="B32" s="2658" t="s">
        <v>2596</v>
      </c>
      <c r="C32" s="2658">
        <f>C27*D32</f>
        <v>0</v>
      </c>
      <c r="D32" s="2660">
        <v>0.05</v>
      </c>
      <c r="E32" s="3771"/>
      <c r="F32" s="3771"/>
      <c r="G32" s="3771"/>
    </row>
    <row r="33" spans="1:7" hidden="1">
      <c r="A33" s="3781" t="s">
        <v>2597</v>
      </c>
      <c r="B33" s="3782"/>
      <c r="C33" s="3782"/>
      <c r="D33" s="3783"/>
      <c r="E33" s="3779"/>
      <c r="F33" s="3779"/>
      <c r="G33" s="3779"/>
    </row>
    <row r="34" spans="1:7" hidden="1">
      <c r="A34" s="2661">
        <v>1</v>
      </c>
      <c r="B34" s="2658" t="s">
        <v>2598</v>
      </c>
      <c r="C34" s="2658"/>
      <c r="D34" s="2658"/>
      <c r="E34" s="3780"/>
      <c r="F34" s="3780"/>
      <c r="G34" s="3780"/>
    </row>
    <row r="35" spans="1:7" hidden="1">
      <c r="A35" s="2661">
        <v>2</v>
      </c>
      <c r="B35" s="2658" t="s">
        <v>2599</v>
      </c>
      <c r="C35" s="2658"/>
      <c r="D35" s="2658"/>
      <c r="E35" s="3780"/>
      <c r="F35" s="3780"/>
      <c r="G35" s="3780"/>
    </row>
    <row r="36" spans="1:7" hidden="1">
      <c r="A36" s="2661">
        <v>3</v>
      </c>
      <c r="B36" s="2658" t="s">
        <v>2600</v>
      </c>
      <c r="C36" s="2658"/>
      <c r="D36" s="2658"/>
      <c r="E36" s="3780"/>
      <c r="F36" s="3780"/>
      <c r="G36" s="3780"/>
    </row>
    <row r="37" spans="1:7" hidden="1">
      <c r="A37" s="2661">
        <v>4</v>
      </c>
      <c r="B37" s="2658" t="s">
        <v>2601</v>
      </c>
      <c r="C37" s="2658"/>
      <c r="D37" s="2658"/>
      <c r="E37" s="3780"/>
      <c r="F37" s="3780"/>
      <c r="G37" s="3780"/>
    </row>
    <row r="38" spans="1:7" hidden="1">
      <c r="A38" s="3781" t="s">
        <v>2602</v>
      </c>
      <c r="B38" s="3782"/>
      <c r="C38" s="3782"/>
      <c r="D38" s="3783"/>
      <c r="E38" s="3779"/>
      <c r="F38" s="3779"/>
      <c r="G38" s="37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24" zoomScale="90" zoomScaleNormal="90" workbookViewId="0">
      <selection activeCell="E134" sqref="E1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2692</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#DIV/0!</v>
      </c>
      <c r="C2" s="3093"/>
      <c r="D2" s="2720" t="e">
        <f ca="1">SUMIF(INDIRECT("'"&amp;F2&amp;"'"&amp;"!A:A"),"承租人权益价值",INDIRECT("'"&amp;F2&amp;"'"&amp;"!c:c"))</f>
        <v>#REF!</v>
      </c>
      <c r="E2" s="3094" t="s">
        <v>869</v>
      </c>
      <c r="F2" s="3095"/>
      <c r="G2" s="2286"/>
      <c r="H2" s="2286"/>
      <c r="I2" s="2286"/>
      <c r="J2" s="2286"/>
      <c r="K2" s="2288"/>
      <c r="L2" s="2289"/>
      <c r="M2" s="2290"/>
      <c r="N2" s="2290"/>
      <c r="O2" s="2290"/>
      <c r="P2" s="1336"/>
      <c r="Q2" s="1335"/>
      <c r="R2" s="1335"/>
      <c r="S2" s="1335"/>
      <c r="T2" s="1335"/>
      <c r="U2" s="1335"/>
      <c r="V2" s="1335"/>
      <c r="W2" s="1335"/>
      <c r="X2" s="1335"/>
      <c r="Y2" s="1335"/>
      <c r="Z2" s="1335"/>
      <c r="AA2" s="1335"/>
      <c r="AB2" s="1335"/>
      <c r="AC2" s="1337"/>
    </row>
    <row r="3" spans="1:29" s="89" customFormat="1" ht="28.5" customHeight="1" thickBot="1">
      <c r="A3" s="87" t="s">
        <v>985</v>
      </c>
      <c r="B3" s="742" t="e">
        <f ca="1">IF(C2="——",C49,ROUND(B2*10000/D3,0))</f>
        <v>#DIV/0!</v>
      </c>
      <c r="C3" s="142" t="s">
        <v>986</v>
      </c>
      <c r="D3" s="742">
        <f>IF(D1="",'数据-汇总表'!E3,SUMIF('数据-汇总表'!$C19:$C33,D1,'数据-汇总表'!$E19:$E33))</f>
        <v>165498.45000000001</v>
      </c>
      <c r="E3" s="2286"/>
      <c r="F3" s="2287"/>
      <c r="G3" s="2286"/>
      <c r="H3" s="2286"/>
      <c r="I3" s="2286"/>
      <c r="J3" s="2286"/>
      <c r="K3" s="2288"/>
      <c r="L3" s="2289"/>
      <c r="M3" s="2290"/>
      <c r="N3" s="2290"/>
      <c r="O3" s="2290"/>
      <c r="P3" s="1336"/>
      <c r="Q3" s="1335"/>
      <c r="R3" s="1335"/>
      <c r="S3" s="1335"/>
      <c r="T3" s="1335"/>
      <c r="U3" s="1335"/>
      <c r="V3" s="1335"/>
      <c r="W3" s="1335"/>
      <c r="X3" s="1335"/>
      <c r="Y3" s="1335"/>
      <c r="Z3" s="1335"/>
      <c r="AA3" s="1335"/>
      <c r="AB3" s="1335"/>
      <c r="AC3" s="1338"/>
    </row>
    <row r="4" spans="1:29">
      <c r="A4" s="143" t="s">
        <v>987</v>
      </c>
      <c r="B4" s="144"/>
      <c r="C4" s="3802" t="s">
        <v>988</v>
      </c>
      <c r="D4" s="3803"/>
      <c r="E4" s="3804" t="s">
        <v>989</v>
      </c>
      <c r="F4" s="3805"/>
      <c r="G4" s="3802" t="s">
        <v>990</v>
      </c>
      <c r="H4" s="3803"/>
      <c r="I4" s="3802" t="s">
        <v>991</v>
      </c>
      <c r="J4" s="3803"/>
      <c r="K4" s="145" t="s">
        <v>992</v>
      </c>
      <c r="L4" s="2291"/>
      <c r="M4" s="2292"/>
      <c r="N4" s="2292"/>
      <c r="O4" s="2292"/>
      <c r="P4" s="3806" t="s">
        <v>987</v>
      </c>
      <c r="Q4" s="3807"/>
      <c r="R4" s="3789" t="s">
        <v>989</v>
      </c>
      <c r="S4" s="3790"/>
      <c r="T4" s="3789" t="s">
        <v>990</v>
      </c>
      <c r="U4" s="3790"/>
      <c r="V4" s="3814" t="s">
        <v>991</v>
      </c>
      <c r="W4" s="3814"/>
      <c r="X4" s="1339"/>
      <c r="Y4" s="3789" t="s">
        <v>987</v>
      </c>
      <c r="Z4" s="3790"/>
      <c r="AA4" s="3784" t="s">
        <v>989</v>
      </c>
      <c r="AB4" s="3784" t="s">
        <v>990</v>
      </c>
      <c r="AC4" s="3784" t="s">
        <v>991</v>
      </c>
    </row>
    <row r="5" spans="1:29">
      <c r="A5" s="146"/>
      <c r="B5" s="147"/>
      <c r="C5" s="3795" t="s">
        <v>993</v>
      </c>
      <c r="D5" s="3796"/>
      <c r="E5" s="3793" t="s">
        <v>994</v>
      </c>
      <c r="F5" s="3794"/>
      <c r="G5" s="3795" t="s">
        <v>995</v>
      </c>
      <c r="H5" s="3796"/>
      <c r="I5" s="3795" t="s">
        <v>996</v>
      </c>
      <c r="J5" s="3796"/>
      <c r="K5" s="152"/>
      <c r="L5" s="2291"/>
      <c r="M5" s="2292"/>
      <c r="N5" s="2292"/>
      <c r="O5" s="2292"/>
      <c r="P5" s="3808"/>
      <c r="Q5" s="3809"/>
      <c r="R5" s="3791"/>
      <c r="S5" s="3792"/>
      <c r="T5" s="3791"/>
      <c r="U5" s="3792"/>
      <c r="V5" s="3814"/>
      <c r="W5" s="3814"/>
      <c r="X5" s="1339"/>
      <c r="Y5" s="3791"/>
      <c r="Z5" s="3792"/>
      <c r="AA5" s="3785"/>
      <c r="AB5" s="3785"/>
      <c r="AC5" s="3785"/>
    </row>
    <row r="6" spans="1:29" ht="14.25" thickBot="1">
      <c r="A6" s="148"/>
      <c r="B6" s="149"/>
      <c r="C6" s="3797" t="s">
        <v>997</v>
      </c>
      <c r="D6" s="3798"/>
      <c r="E6" s="3799" t="s">
        <v>997</v>
      </c>
      <c r="F6" s="3800"/>
      <c r="G6" s="3797" t="s">
        <v>997</v>
      </c>
      <c r="H6" s="3798"/>
      <c r="I6" s="3797" t="s">
        <v>997</v>
      </c>
      <c r="J6" s="3798"/>
      <c r="K6" s="152" t="s">
        <v>998</v>
      </c>
      <c r="L6" s="2291"/>
      <c r="M6" s="2292"/>
      <c r="N6" s="2292"/>
      <c r="O6" s="2292"/>
      <c r="P6" s="3810"/>
      <c r="Q6" s="3811"/>
      <c r="R6" s="3791"/>
      <c r="S6" s="3792"/>
      <c r="T6" s="3812"/>
      <c r="U6" s="3813"/>
      <c r="V6" s="3814"/>
      <c r="W6" s="3814"/>
      <c r="X6" s="1339"/>
      <c r="Y6" s="3812"/>
      <c r="Z6" s="3813"/>
      <c r="AA6" s="3786"/>
      <c r="AB6" s="3786"/>
      <c r="AC6" s="3786"/>
    </row>
    <row r="7" spans="1:29" s="40" customFormat="1" ht="15" thickBot="1">
      <c r="A7" s="1013" t="s">
        <v>999</v>
      </c>
      <c r="B7" s="1014"/>
      <c r="C7" s="1015">
        <f>'数据-取费表'!B2</f>
        <v>42970</v>
      </c>
      <c r="D7" s="754">
        <v>100</v>
      </c>
      <c r="E7" s="1016"/>
      <c r="F7" s="756">
        <f>SUMIF(58:58,YEAR(E7)&amp;"-"&amp;MONTH(E7),59:59)</f>
        <v>0</v>
      </c>
      <c r="G7" s="1016"/>
      <c r="H7" s="754">
        <f>SUMIF(58:58,YEAR(G7)&amp;"-"&amp;MONTH(G7),59:59)</f>
        <v>0</v>
      </c>
      <c r="I7" s="1016"/>
      <c r="J7" s="754">
        <f>SUMIF(58:58,YEAR(I7)&amp;"-"&amp;MONTH(I7),59:59)</f>
        <v>0</v>
      </c>
      <c r="K7" s="1340"/>
      <c r="L7" s="2293"/>
      <c r="M7" s="2255"/>
      <c r="N7" s="2255"/>
      <c r="O7" s="2255"/>
      <c r="P7" s="3787" t="s">
        <v>999</v>
      </c>
      <c r="Q7" s="3815"/>
      <c r="R7" s="1341" t="s">
        <v>113</v>
      </c>
      <c r="S7" s="1342">
        <f t="shared" ref="S7:S15" si="0">F7</f>
        <v>0</v>
      </c>
      <c r="T7" s="1341" t="s">
        <v>113</v>
      </c>
      <c r="U7" s="1342">
        <f t="shared" ref="U7:U15" si="1">H7</f>
        <v>0</v>
      </c>
      <c r="V7" s="1341" t="s">
        <v>113</v>
      </c>
      <c r="W7" s="1342">
        <f t="shared" ref="W7:W15" si="2">J7</f>
        <v>0</v>
      </c>
      <c r="X7" s="287"/>
      <c r="Y7" s="3787" t="s">
        <v>999</v>
      </c>
      <c r="Z7" s="3788"/>
      <c r="AA7" s="1343" t="e">
        <f>D7/F7</f>
        <v>#DIV/0!</v>
      </c>
      <c r="AB7" s="1343" t="e">
        <f>D7/H7</f>
        <v>#DIV/0!</v>
      </c>
      <c r="AC7" s="1343" t="e">
        <f>D7/J7</f>
        <v>#DIV/0!</v>
      </c>
    </row>
    <row r="8" spans="1:29" s="40" customFormat="1" ht="15" thickBot="1">
      <c r="A8" s="1013" t="s">
        <v>1000</v>
      </c>
      <c r="B8" s="1014"/>
      <c r="C8" s="1019" t="s">
        <v>153</v>
      </c>
      <c r="D8" s="754">
        <v>100</v>
      </c>
      <c r="E8" s="1344"/>
      <c r="F8" s="756">
        <f>SUMIF(61:61,E8,62:62)-SUMIF(61:61,C8,62:62)+100</f>
        <v>0</v>
      </c>
      <c r="G8" s="1019"/>
      <c r="H8" s="754">
        <f>SUMIF(61:61,G8,62:62)-SUMIF(61:61,C8,62:62)+100</f>
        <v>0</v>
      </c>
      <c r="I8" s="1344"/>
      <c r="J8" s="754">
        <f>SUMIF(61:61,I8,62:62)-SUMIF(61:61,C8,62:62)+100</f>
        <v>0</v>
      </c>
      <c r="K8" s="1340"/>
      <c r="L8" s="2293"/>
      <c r="M8" s="2255"/>
      <c r="N8" s="2255"/>
      <c r="O8" s="2255"/>
      <c r="P8" s="3787" t="s">
        <v>1000</v>
      </c>
      <c r="Q8" s="3788"/>
      <c r="R8" s="1341" t="s">
        <v>113</v>
      </c>
      <c r="S8" s="1342">
        <f t="shared" si="0"/>
        <v>0</v>
      </c>
      <c r="T8" s="1341" t="s">
        <v>113</v>
      </c>
      <c r="U8" s="1342">
        <f t="shared" si="1"/>
        <v>0</v>
      </c>
      <c r="V8" s="1341" t="s">
        <v>113</v>
      </c>
      <c r="W8" s="1342">
        <f t="shared" si="2"/>
        <v>0</v>
      </c>
      <c r="X8" s="287"/>
      <c r="Y8" s="3787" t="s">
        <v>1000</v>
      </c>
      <c r="Z8" s="3788"/>
      <c r="AA8" s="1343" t="e">
        <f t="shared" ref="AA8:AA19" si="3">D8/F8</f>
        <v>#DIV/0!</v>
      </c>
      <c r="AB8" s="1343" t="e">
        <f t="shared" ref="AB8:AB19" si="4">D8/H8</f>
        <v>#DIV/0!</v>
      </c>
      <c r="AC8" s="1343" t="e">
        <f t="shared" ref="AC8:AC19" si="5">D8/J8</f>
        <v>#DIV/0!</v>
      </c>
    </row>
    <row r="9" spans="1:29" s="40" customFormat="1" ht="14.25">
      <c r="A9" s="1020" t="s">
        <v>1001</v>
      </c>
      <c r="B9" s="62" t="s">
        <v>1002</v>
      </c>
      <c r="C9" s="1345"/>
      <c r="D9" s="425">
        <v>100</v>
      </c>
      <c r="E9" s="1346"/>
      <c r="F9" s="760">
        <f>SUMIF(63:63,E9,64:64)-SUMIF(63:63,C9,64:64)+100</f>
        <v>100</v>
      </c>
      <c r="G9" s="1347"/>
      <c r="H9" s="425">
        <f>SUMIF(63:63,G9,64:64)-SUMIF(63:63,C9,64:64)+100</f>
        <v>100</v>
      </c>
      <c r="I9" s="1347"/>
      <c r="J9" s="425">
        <f>SUMIF(63:63,I9,64:64)-SUMIF(63:63,C9,64:64)+100</f>
        <v>100</v>
      </c>
      <c r="K9" s="1340"/>
      <c r="L9" s="2293"/>
      <c r="M9" s="2255"/>
      <c r="N9" s="2255"/>
      <c r="O9" s="2255"/>
      <c r="P9" s="3801" t="s">
        <v>65</v>
      </c>
      <c r="Q9" s="7" t="str">
        <f t="shared" ref="Q9:Q15" si="6">B9</f>
        <v>用途</v>
      </c>
      <c r="R9" s="1341" t="s">
        <v>63</v>
      </c>
      <c r="S9" s="1342">
        <f t="shared" si="0"/>
        <v>100</v>
      </c>
      <c r="T9" s="1341" t="s">
        <v>63</v>
      </c>
      <c r="U9" s="1342">
        <f t="shared" si="1"/>
        <v>100</v>
      </c>
      <c r="V9" s="1341" t="s">
        <v>63</v>
      </c>
      <c r="W9" s="1342">
        <f t="shared" si="2"/>
        <v>100</v>
      </c>
      <c r="X9" s="287"/>
      <c r="Y9" s="3625" t="s">
        <v>65</v>
      </c>
      <c r="Z9" s="288" t="str">
        <f t="shared" ref="Z9:Z15" si="7">Q9</f>
        <v>用途</v>
      </c>
      <c r="AA9" s="1343">
        <f t="shared" si="3"/>
        <v>1</v>
      </c>
      <c r="AB9" s="1343">
        <f t="shared" si="4"/>
        <v>1</v>
      </c>
      <c r="AC9" s="1343">
        <f t="shared" si="5"/>
        <v>1</v>
      </c>
    </row>
    <row r="10" spans="1:29" s="92" customFormat="1" ht="27">
      <c r="A10" s="150"/>
      <c r="B10" s="12" t="s">
        <v>104</v>
      </c>
      <c r="C10" s="1348"/>
      <c r="D10" s="426">
        <v>100</v>
      </c>
      <c r="E10" s="1349"/>
      <c r="F10" s="767">
        <f>SUMIF(65:65,E10,66:66)-SUMIF(65:65,C10,66:66)+100</f>
        <v>100</v>
      </c>
      <c r="G10" s="1348"/>
      <c r="H10" s="426">
        <f>SUMIF(65:65,G10,66:66)-SUMIF(65:65,C10,66:66)+100</f>
        <v>100</v>
      </c>
      <c r="I10" s="1348"/>
      <c r="J10" s="426">
        <f>SUMIF(65:65,I10,66:66)-SUMIF(65:65,C10,66:66)+100</f>
        <v>100</v>
      </c>
      <c r="K10" s="768"/>
      <c r="L10" s="2294"/>
      <c r="M10" s="2295"/>
      <c r="N10" s="2295"/>
      <c r="O10" s="2295"/>
      <c r="P10" s="3801"/>
      <c r="Q10" s="7" t="str">
        <f t="shared" si="6"/>
        <v>土地使用年限（年）</v>
      </c>
      <c r="R10" s="1341" t="s">
        <v>63</v>
      </c>
      <c r="S10" s="1342">
        <f t="shared" si="0"/>
        <v>100</v>
      </c>
      <c r="T10" s="1341" t="s">
        <v>63</v>
      </c>
      <c r="U10" s="1342">
        <f t="shared" si="1"/>
        <v>100</v>
      </c>
      <c r="V10" s="1341" t="s">
        <v>63</v>
      </c>
      <c r="W10" s="1342">
        <f t="shared" si="2"/>
        <v>100</v>
      </c>
      <c r="X10" s="287"/>
      <c r="Y10" s="3625"/>
      <c r="Z10" s="288" t="str">
        <f t="shared" si="7"/>
        <v>土地使用年限（年）</v>
      </c>
      <c r="AA10" s="1343">
        <f t="shared" si="3"/>
        <v>1</v>
      </c>
      <c r="AB10" s="1343">
        <f t="shared" si="4"/>
        <v>1</v>
      </c>
      <c r="AC10" s="1343">
        <f t="shared" si="5"/>
        <v>1</v>
      </c>
    </row>
    <row r="11" spans="1:29" ht="15">
      <c r="A11" s="151"/>
      <c r="B11" s="12" t="s">
        <v>91</v>
      </c>
      <c r="C11" s="771"/>
      <c r="D11" s="426">
        <v>100</v>
      </c>
      <c r="E11" s="772"/>
      <c r="F11" s="767" t="e">
        <f>LOOKUP(E11,68:68,69:69)-LOOKUP(C11,68:68,69:69)+100</f>
        <v>#N/A</v>
      </c>
      <c r="G11" s="771"/>
      <c r="H11" s="426" t="e">
        <f>LOOKUP(G11,68:68,69:69)-LOOKUP(C11,68:68,69:69)+100</f>
        <v>#N/A</v>
      </c>
      <c r="I11" s="771"/>
      <c r="J11" s="426" t="e">
        <f>LOOKUP(I11,68:68,69:69)-LOOKUP(C11,68:68,69:69)+100</f>
        <v>#N/A</v>
      </c>
      <c r="K11" s="768"/>
      <c r="L11" s="2296"/>
      <c r="M11" s="2292"/>
      <c r="N11" s="2292"/>
      <c r="O11" s="2292"/>
      <c r="P11" s="3801"/>
      <c r="Q11" s="7" t="str">
        <f t="shared" si="6"/>
        <v>容积率</v>
      </c>
      <c r="R11" s="1341" t="s">
        <v>102</v>
      </c>
      <c r="S11" s="1342" t="e">
        <f t="shared" si="0"/>
        <v>#N/A</v>
      </c>
      <c r="T11" s="1341" t="s">
        <v>102</v>
      </c>
      <c r="U11" s="1342" t="e">
        <f t="shared" si="1"/>
        <v>#N/A</v>
      </c>
      <c r="V11" s="1341" t="s">
        <v>102</v>
      </c>
      <c r="W11" s="1342" t="e">
        <f t="shared" si="2"/>
        <v>#N/A</v>
      </c>
      <c r="X11" s="287"/>
      <c r="Y11" s="3625"/>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3"/>
      <c r="M12" s="2255"/>
      <c r="N12" s="2255"/>
      <c r="O12" s="2255"/>
      <c r="P12" s="3801"/>
      <c r="Q12" s="7">
        <f t="shared" si="6"/>
        <v>111</v>
      </c>
      <c r="R12" s="1341" t="s">
        <v>102</v>
      </c>
      <c r="S12" s="1342">
        <f t="shared" si="0"/>
        <v>100</v>
      </c>
      <c r="T12" s="1341" t="s">
        <v>102</v>
      </c>
      <c r="U12" s="1342">
        <f t="shared" si="1"/>
        <v>100</v>
      </c>
      <c r="V12" s="1341" t="s">
        <v>102</v>
      </c>
      <c r="W12" s="1342">
        <f t="shared" si="2"/>
        <v>100</v>
      </c>
      <c r="X12" s="287"/>
      <c r="Y12" s="3625"/>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801"/>
      <c r="Q13" s="7">
        <f t="shared" si="6"/>
        <v>111</v>
      </c>
      <c r="R13" s="1341" t="s">
        <v>102</v>
      </c>
      <c r="S13" s="1342">
        <f t="shared" si="0"/>
        <v>100</v>
      </c>
      <c r="T13" s="1341" t="s">
        <v>102</v>
      </c>
      <c r="U13" s="1342">
        <f t="shared" si="1"/>
        <v>100</v>
      </c>
      <c r="V13" s="1341" t="s">
        <v>102</v>
      </c>
      <c r="W13" s="1342">
        <f t="shared" si="2"/>
        <v>100</v>
      </c>
      <c r="X13" s="287"/>
      <c r="Y13" s="3625"/>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801"/>
      <c r="Q14" s="7">
        <f t="shared" si="6"/>
        <v>111</v>
      </c>
      <c r="R14" s="1341" t="s">
        <v>102</v>
      </c>
      <c r="S14" s="1342">
        <f t="shared" si="0"/>
        <v>100</v>
      </c>
      <c r="T14" s="1341" t="s">
        <v>102</v>
      </c>
      <c r="U14" s="1342">
        <f t="shared" si="1"/>
        <v>100</v>
      </c>
      <c r="V14" s="1341" t="s">
        <v>102</v>
      </c>
      <c r="W14" s="1342">
        <f t="shared" si="2"/>
        <v>100</v>
      </c>
      <c r="X14" s="287"/>
      <c r="Y14" s="3625"/>
      <c r="Z14" s="288">
        <f t="shared" si="7"/>
        <v>111</v>
      </c>
      <c r="AA14" s="1343">
        <f t="shared" si="3"/>
        <v>1</v>
      </c>
      <c r="AB14" s="1343">
        <f t="shared" si="4"/>
        <v>1</v>
      </c>
      <c r="AC14" s="1343">
        <f t="shared" si="5"/>
        <v>1</v>
      </c>
    </row>
    <row r="15" spans="1:29" ht="94.5">
      <c r="A15" s="155" t="s">
        <v>67</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7"/>
      <c r="M15" s="2292"/>
      <c r="N15" s="2292"/>
      <c r="O15" s="2292"/>
      <c r="P15" s="3828" t="s">
        <v>67</v>
      </c>
      <c r="Q15" s="1350" t="str">
        <f t="shared" si="6"/>
        <v>居住社区成熟度</v>
      </c>
      <c r="R15" s="1351" t="s">
        <v>102</v>
      </c>
      <c r="S15" s="1352">
        <f t="shared" si="0"/>
        <v>100</v>
      </c>
      <c r="T15" s="1351" t="s">
        <v>102</v>
      </c>
      <c r="U15" s="1352">
        <f t="shared" si="1"/>
        <v>100</v>
      </c>
      <c r="V15" s="1351" t="s">
        <v>102</v>
      </c>
      <c r="W15" s="1352">
        <f t="shared" si="2"/>
        <v>100</v>
      </c>
      <c r="X15" s="1339"/>
      <c r="Y15" s="3821" t="s">
        <v>67</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7"/>
      <c r="M16" s="2292"/>
      <c r="N16" s="2292"/>
      <c r="O16" s="2292"/>
      <c r="P16" s="3829"/>
      <c r="Q16" s="1350"/>
      <c r="R16" s="1351"/>
      <c r="S16" s="1352"/>
      <c r="T16" s="1351"/>
      <c r="U16" s="1352"/>
      <c r="V16" s="1351"/>
      <c r="W16" s="1352"/>
      <c r="X16" s="1339"/>
      <c r="Y16" s="3822"/>
      <c r="Z16" s="1353"/>
      <c r="AA16" s="1354">
        <v>1</v>
      </c>
      <c r="AB16" s="1354">
        <v>1</v>
      </c>
      <c r="AC16" s="1354">
        <v>1</v>
      </c>
    </row>
    <row r="17" spans="1:29" ht="81">
      <c r="A17" s="151"/>
      <c r="B17" s="1355" t="s">
        <v>70</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7"/>
      <c r="M17" s="2292"/>
      <c r="N17" s="2292"/>
      <c r="O17" s="2292"/>
      <c r="P17" s="3829"/>
      <c r="Q17" s="1350" t="str">
        <f>B17</f>
        <v>交通便捷度</v>
      </c>
      <c r="R17" s="1351" t="s">
        <v>102</v>
      </c>
      <c r="S17" s="1352">
        <f>F17</f>
        <v>100</v>
      </c>
      <c r="T17" s="1351" t="s">
        <v>102</v>
      </c>
      <c r="U17" s="1352">
        <f>H17</f>
        <v>100</v>
      </c>
      <c r="V17" s="1351" t="s">
        <v>102</v>
      </c>
      <c r="W17" s="1352">
        <f>J17</f>
        <v>100</v>
      </c>
      <c r="X17" s="1339"/>
      <c r="Y17" s="3822"/>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7"/>
      <c r="M18" s="2292"/>
      <c r="N18" s="2292"/>
      <c r="O18" s="2292"/>
      <c r="P18" s="3829"/>
      <c r="Q18" s="1350"/>
      <c r="R18" s="1351"/>
      <c r="S18" s="1352"/>
      <c r="T18" s="1351"/>
      <c r="U18" s="1352"/>
      <c r="V18" s="1351"/>
      <c r="W18" s="1352"/>
      <c r="X18" s="1339"/>
      <c r="Y18" s="3822"/>
      <c r="Z18" s="1353"/>
      <c r="AA18" s="1354">
        <v>1</v>
      </c>
      <c r="AB18" s="1354">
        <v>1</v>
      </c>
      <c r="AC18" s="1354">
        <v>1</v>
      </c>
    </row>
    <row r="19" spans="1:29" ht="40.5">
      <c r="A19" s="151"/>
      <c r="B19" s="1355" t="s">
        <v>2628</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7"/>
      <c r="M19" s="2292"/>
      <c r="N19" s="2292"/>
      <c r="O19" s="2292"/>
      <c r="P19" s="3829"/>
      <c r="Q19" s="1350" t="str">
        <f>B19</f>
        <v>公共配套设施</v>
      </c>
      <c r="R19" s="1351" t="s">
        <v>102</v>
      </c>
      <c r="S19" s="1352">
        <f>F19</f>
        <v>100</v>
      </c>
      <c r="T19" s="1351" t="s">
        <v>102</v>
      </c>
      <c r="U19" s="1352">
        <f>H19</f>
        <v>100</v>
      </c>
      <c r="V19" s="1351" t="s">
        <v>102</v>
      </c>
      <c r="W19" s="1352">
        <f>J19</f>
        <v>100</v>
      </c>
      <c r="X19" s="1339"/>
      <c r="Y19" s="3822"/>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7"/>
      <c r="M20" s="2292"/>
      <c r="N20" s="2292"/>
      <c r="O20" s="2292"/>
      <c r="P20" s="3829"/>
      <c r="Q20" s="1350"/>
      <c r="R20" s="1351"/>
      <c r="S20" s="1352"/>
      <c r="T20" s="1351"/>
      <c r="U20" s="1352"/>
      <c r="V20" s="1351"/>
      <c r="W20" s="1352"/>
      <c r="X20" s="1339"/>
      <c r="Y20" s="3822"/>
      <c r="Z20" s="1353"/>
      <c r="AA20" s="1354">
        <v>1</v>
      </c>
      <c r="AB20" s="1354">
        <v>1</v>
      </c>
      <c r="AC20" s="1354">
        <v>1</v>
      </c>
    </row>
    <row r="21" spans="1:29" ht="27">
      <c r="A21" s="151"/>
      <c r="B21" s="1411" t="s">
        <v>2639</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7"/>
      <c r="M21" s="2292"/>
      <c r="N21" s="2292"/>
      <c r="O21" s="2292"/>
      <c r="P21" s="3829"/>
      <c r="Q21" s="2742" t="str">
        <f>B21</f>
        <v>基础设施水平</v>
      </c>
      <c r="R21" s="1351" t="s">
        <v>63</v>
      </c>
      <c r="S21" s="1352">
        <f>F21</f>
        <v>100</v>
      </c>
      <c r="T21" s="1351" t="s">
        <v>63</v>
      </c>
      <c r="U21" s="1352">
        <f>H21</f>
        <v>100</v>
      </c>
      <c r="V21" s="1351" t="s">
        <v>63</v>
      </c>
      <c r="W21" s="1352">
        <f>J21</f>
        <v>100</v>
      </c>
      <c r="X21" s="2744"/>
      <c r="Y21" s="3822"/>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59"/>
      <c r="L22" s="2297"/>
      <c r="M22" s="2292"/>
      <c r="N22" s="2292"/>
      <c r="O22" s="2292"/>
      <c r="P22" s="3829"/>
      <c r="Q22" s="2742"/>
      <c r="R22" s="1351"/>
      <c r="S22" s="1352"/>
      <c r="T22" s="1351"/>
      <c r="U22" s="1352"/>
      <c r="V22" s="1351"/>
      <c r="W22" s="1352"/>
      <c r="X22" s="2744"/>
      <c r="Y22" s="3822"/>
      <c r="Z22" s="2743"/>
      <c r="AA22" s="1354">
        <v>1</v>
      </c>
      <c r="AB22" s="1354">
        <v>1</v>
      </c>
      <c r="AC22" s="1354">
        <v>1</v>
      </c>
    </row>
    <row r="23" spans="1:29" ht="54">
      <c r="A23" s="151"/>
      <c r="B23" s="1355" t="s">
        <v>71</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7"/>
      <c r="M23" s="2292"/>
      <c r="N23" s="2292"/>
      <c r="O23" s="2292"/>
      <c r="P23" s="3829"/>
      <c r="Q23" s="1350" t="str">
        <f>B23</f>
        <v>自然及人文环境</v>
      </c>
      <c r="R23" s="1351" t="s">
        <v>102</v>
      </c>
      <c r="S23" s="1352">
        <f>F23</f>
        <v>100</v>
      </c>
      <c r="T23" s="1351" t="s">
        <v>102</v>
      </c>
      <c r="U23" s="1352">
        <f>H23</f>
        <v>100</v>
      </c>
      <c r="V23" s="1351" t="s">
        <v>102</v>
      </c>
      <c r="W23" s="1352">
        <f>J23</f>
        <v>100</v>
      </c>
      <c r="X23" s="1339"/>
      <c r="Y23" s="3822"/>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7"/>
      <c r="M24" s="2292"/>
      <c r="N24" s="2292"/>
      <c r="O24" s="2292"/>
      <c r="P24" s="3829"/>
      <c r="Q24" s="1350"/>
      <c r="R24" s="1351"/>
      <c r="S24" s="1352"/>
      <c r="T24" s="1351"/>
      <c r="U24" s="1352"/>
      <c r="V24" s="1351"/>
      <c r="W24" s="1352"/>
      <c r="X24" s="1339"/>
      <c r="Y24" s="3822"/>
      <c r="Z24" s="1353"/>
      <c r="AA24" s="1354">
        <v>1</v>
      </c>
      <c r="AB24" s="1354">
        <v>1</v>
      </c>
      <c r="AC24" s="1354">
        <v>1</v>
      </c>
    </row>
    <row r="25" spans="1:29" ht="15">
      <c r="A25" s="151"/>
      <c r="B25" s="12" t="s">
        <v>2290</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829"/>
      <c r="Q25" s="1350" t="str">
        <f t="shared" ref="Q25:Q46" si="11">B25</f>
        <v>楼层-1</v>
      </c>
      <c r="R25" s="1351" t="s">
        <v>102</v>
      </c>
      <c r="S25" s="1352">
        <f t="shared" ref="S25:S46" si="12">F25</f>
        <v>100</v>
      </c>
      <c r="T25" s="1351" t="s">
        <v>102</v>
      </c>
      <c r="U25" s="1352">
        <f t="shared" ref="U25:U46" si="13">H25</f>
        <v>100</v>
      </c>
      <c r="V25" s="1351" t="s">
        <v>102</v>
      </c>
      <c r="W25" s="1352">
        <f t="shared" ref="W25:W46" si="14">J25</f>
        <v>100</v>
      </c>
      <c r="X25" s="1339"/>
      <c r="Y25" s="3822"/>
      <c r="Z25" s="1353" t="str">
        <f>Q25</f>
        <v>楼层-1</v>
      </c>
      <c r="AA25" s="1354">
        <f t="shared" ref="AA25:AA46" si="15">D25/F25</f>
        <v>1</v>
      </c>
      <c r="AB25" s="1354">
        <f t="shared" ref="AB25:AB46" si="16">D25/H25</f>
        <v>1</v>
      </c>
      <c r="AC25" s="1354">
        <f t="shared" ref="AC25:AC46" si="17">D25/J25</f>
        <v>1</v>
      </c>
    </row>
    <row r="26" spans="1:29" ht="15">
      <c r="A26" s="151"/>
      <c r="B26" s="12" t="s">
        <v>72</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829"/>
      <c r="Q26" s="1350" t="str">
        <f t="shared" si="11"/>
        <v>朝向</v>
      </c>
      <c r="R26" s="1351" t="s">
        <v>102</v>
      </c>
      <c r="S26" s="1352">
        <f t="shared" si="12"/>
        <v>100</v>
      </c>
      <c r="T26" s="1351" t="s">
        <v>102</v>
      </c>
      <c r="U26" s="1352">
        <f t="shared" si="13"/>
        <v>100</v>
      </c>
      <c r="V26" s="1351" t="s">
        <v>102</v>
      </c>
      <c r="W26" s="1352">
        <f t="shared" si="14"/>
        <v>100</v>
      </c>
      <c r="X26" s="1339"/>
      <c r="Y26" s="3822"/>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3"/>
      <c r="M27" s="2255"/>
      <c r="N27" s="2255"/>
      <c r="O27" s="2255"/>
      <c r="P27" s="3829"/>
      <c r="Q27" s="7">
        <f t="shared" si="11"/>
        <v>111</v>
      </c>
      <c r="R27" s="1341" t="s">
        <v>102</v>
      </c>
      <c r="S27" s="1342">
        <f t="shared" si="12"/>
        <v>100</v>
      </c>
      <c r="T27" s="1341" t="s">
        <v>102</v>
      </c>
      <c r="U27" s="1342">
        <f t="shared" si="13"/>
        <v>100</v>
      </c>
      <c r="V27" s="1341" t="s">
        <v>102</v>
      </c>
      <c r="W27" s="1342">
        <f t="shared" si="14"/>
        <v>100</v>
      </c>
      <c r="X27" s="287"/>
      <c r="Y27" s="3822"/>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829"/>
      <c r="Q28" s="1350">
        <f t="shared" si="11"/>
        <v>111</v>
      </c>
      <c r="R28" s="1351" t="s">
        <v>102</v>
      </c>
      <c r="S28" s="1352">
        <f t="shared" si="12"/>
        <v>100</v>
      </c>
      <c r="T28" s="1351" t="s">
        <v>102</v>
      </c>
      <c r="U28" s="1352">
        <f t="shared" si="13"/>
        <v>100</v>
      </c>
      <c r="V28" s="1351" t="s">
        <v>102</v>
      </c>
      <c r="W28" s="1352">
        <f t="shared" si="14"/>
        <v>100</v>
      </c>
      <c r="X28" s="1339"/>
      <c r="Y28" s="3822"/>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829"/>
      <c r="Q29" s="1350">
        <f t="shared" si="11"/>
        <v>111</v>
      </c>
      <c r="R29" s="1351" t="s">
        <v>102</v>
      </c>
      <c r="S29" s="1352">
        <f t="shared" si="12"/>
        <v>100</v>
      </c>
      <c r="T29" s="1351" t="s">
        <v>102</v>
      </c>
      <c r="U29" s="1352">
        <f t="shared" si="13"/>
        <v>100</v>
      </c>
      <c r="V29" s="1351" t="s">
        <v>102</v>
      </c>
      <c r="W29" s="1352">
        <f t="shared" si="14"/>
        <v>100</v>
      </c>
      <c r="X29" s="1339"/>
      <c r="Y29" s="3822"/>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829"/>
      <c r="Q30" s="1350">
        <f t="shared" si="11"/>
        <v>111</v>
      </c>
      <c r="R30" s="1351" t="s">
        <v>102</v>
      </c>
      <c r="S30" s="1352">
        <f t="shared" si="12"/>
        <v>100</v>
      </c>
      <c r="T30" s="1351" t="s">
        <v>102</v>
      </c>
      <c r="U30" s="1352">
        <f t="shared" si="13"/>
        <v>100</v>
      </c>
      <c r="V30" s="1351" t="s">
        <v>102</v>
      </c>
      <c r="W30" s="1352">
        <f t="shared" si="14"/>
        <v>100</v>
      </c>
      <c r="X30" s="1339"/>
      <c r="Y30" s="3822"/>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829"/>
      <c r="Q31" s="1350">
        <f t="shared" si="11"/>
        <v>111</v>
      </c>
      <c r="R31" s="1351" t="s">
        <v>102</v>
      </c>
      <c r="S31" s="1352">
        <f t="shared" si="12"/>
        <v>100</v>
      </c>
      <c r="T31" s="1351" t="s">
        <v>102</v>
      </c>
      <c r="U31" s="1352">
        <f t="shared" si="13"/>
        <v>100</v>
      </c>
      <c r="V31" s="1351" t="s">
        <v>102</v>
      </c>
      <c r="W31" s="1352">
        <f t="shared" si="14"/>
        <v>100</v>
      </c>
      <c r="X31" s="1339"/>
      <c r="Y31" s="3822"/>
      <c r="Z31" s="1353">
        <f t="shared" si="18"/>
        <v>111</v>
      </c>
      <c r="AA31" s="1354">
        <f t="shared" si="15"/>
        <v>1</v>
      </c>
      <c r="AB31" s="1354">
        <f t="shared" si="16"/>
        <v>1</v>
      </c>
      <c r="AC31" s="1354">
        <f t="shared" si="17"/>
        <v>1</v>
      </c>
    </row>
    <row r="32" spans="1:29" ht="15">
      <c r="A32" s="155" t="s">
        <v>1003</v>
      </c>
      <c r="B32" s="62" t="s">
        <v>73</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7"/>
      <c r="M32" s="2292"/>
      <c r="N32" s="2292"/>
      <c r="O32" s="2292"/>
      <c r="P32" s="3823" t="s">
        <v>68</v>
      </c>
      <c r="Q32" s="1350" t="str">
        <f t="shared" si="11"/>
        <v>建筑类型</v>
      </c>
      <c r="R32" s="1351" t="s">
        <v>102</v>
      </c>
      <c r="S32" s="1352">
        <f t="shared" si="12"/>
        <v>100</v>
      </c>
      <c r="T32" s="1351" t="s">
        <v>102</v>
      </c>
      <c r="U32" s="1352">
        <f t="shared" si="13"/>
        <v>100</v>
      </c>
      <c r="V32" s="1351" t="s">
        <v>102</v>
      </c>
      <c r="W32" s="1352">
        <f t="shared" si="14"/>
        <v>100</v>
      </c>
      <c r="X32" s="1339"/>
      <c r="Y32" s="3826" t="s">
        <v>68</v>
      </c>
      <c r="Z32" s="1353" t="str">
        <f t="shared" si="18"/>
        <v>建筑类型</v>
      </c>
      <c r="AA32" s="1354">
        <f t="shared" si="15"/>
        <v>1</v>
      </c>
      <c r="AB32" s="1354">
        <f t="shared" si="16"/>
        <v>1</v>
      </c>
      <c r="AC32" s="1354">
        <f t="shared" si="17"/>
        <v>1</v>
      </c>
    </row>
    <row r="33" spans="1:29" s="1038" customFormat="1" ht="14.25">
      <c r="A33" s="1042"/>
      <c r="B33" s="12" t="s">
        <v>74</v>
      </c>
      <c r="C33" s="811"/>
      <c r="D33" s="426">
        <v>100</v>
      </c>
      <c r="E33" s="772"/>
      <c r="F33" s="767" t="e">
        <f>LOOKUP(E33,103:103,104:104)-LOOKUP(C33,103:103,104:104)+100</f>
        <v>#N/A</v>
      </c>
      <c r="G33" s="771"/>
      <c r="H33" s="426" t="e">
        <f>LOOKUP(G33,103:103,104:104)-LOOKUP(C33,103:103,104:104)+100</f>
        <v>#N/A</v>
      </c>
      <c r="I33" s="772"/>
      <c r="J33" s="426" t="e">
        <f>LOOKUP(I33,103:103,104:104)-LOOKUP(C33,103:103,104:104)+100</f>
        <v>#N/A</v>
      </c>
      <c r="K33" s="153"/>
      <c r="L33" s="2296"/>
      <c r="M33" s="2298"/>
      <c r="N33" s="2298"/>
      <c r="O33" s="2298"/>
      <c r="P33" s="3824"/>
      <c r="Q33" s="1358" t="str">
        <f t="shared" si="11"/>
        <v>项目建筑规模</v>
      </c>
      <c r="R33" s="1359" t="s">
        <v>102</v>
      </c>
      <c r="S33" s="1360" t="e">
        <f t="shared" si="12"/>
        <v>#N/A</v>
      </c>
      <c r="T33" s="1359" t="s">
        <v>102</v>
      </c>
      <c r="U33" s="1360" t="e">
        <f t="shared" si="13"/>
        <v>#N/A</v>
      </c>
      <c r="V33" s="1359" t="s">
        <v>102</v>
      </c>
      <c r="W33" s="1360" t="e">
        <f t="shared" si="14"/>
        <v>#N/A</v>
      </c>
      <c r="X33" s="1361"/>
      <c r="Y33" s="3826"/>
      <c r="Z33" s="1362" t="str">
        <f t="shared" si="18"/>
        <v>项目建筑规模</v>
      </c>
      <c r="AA33" s="1354" t="e">
        <f t="shared" si="15"/>
        <v>#N/A</v>
      </c>
      <c r="AB33" s="1354" t="e">
        <f t="shared" si="16"/>
        <v>#N/A</v>
      </c>
      <c r="AC33" s="1354" t="e">
        <f t="shared" si="17"/>
        <v>#N/A</v>
      </c>
    </row>
    <row r="34" spans="1:29" ht="15">
      <c r="A34" s="161"/>
      <c r="B34" s="12" t="s">
        <v>75</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7"/>
      <c r="M34" s="2292"/>
      <c r="N34" s="2292"/>
      <c r="O34" s="2292"/>
      <c r="P34" s="3824"/>
      <c r="Q34" s="1350" t="str">
        <f t="shared" si="11"/>
        <v>建筑结构</v>
      </c>
      <c r="R34" s="1351" t="s">
        <v>102</v>
      </c>
      <c r="S34" s="1352">
        <f t="shared" si="12"/>
        <v>100</v>
      </c>
      <c r="T34" s="1351" t="s">
        <v>102</v>
      </c>
      <c r="U34" s="1352">
        <f t="shared" si="13"/>
        <v>100</v>
      </c>
      <c r="V34" s="1351" t="s">
        <v>102</v>
      </c>
      <c r="W34" s="1352">
        <f t="shared" si="14"/>
        <v>100</v>
      </c>
      <c r="X34" s="1339"/>
      <c r="Y34" s="3826"/>
      <c r="Z34" s="1353" t="str">
        <f t="shared" si="18"/>
        <v>建筑结构</v>
      </c>
      <c r="AA34" s="1354">
        <f t="shared" si="15"/>
        <v>1</v>
      </c>
      <c r="AB34" s="1354">
        <f t="shared" si="16"/>
        <v>1</v>
      </c>
      <c r="AC34" s="1354">
        <f t="shared" si="17"/>
        <v>1</v>
      </c>
    </row>
    <row r="35" spans="1:29" ht="15">
      <c r="A35" s="161"/>
      <c r="B35" s="12" t="s">
        <v>76</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824"/>
      <c r="Q35" s="1350" t="str">
        <f t="shared" si="11"/>
        <v>建筑品质</v>
      </c>
      <c r="R35" s="1351" t="s">
        <v>102</v>
      </c>
      <c r="S35" s="1352">
        <f t="shared" si="12"/>
        <v>100</v>
      </c>
      <c r="T35" s="1351" t="s">
        <v>102</v>
      </c>
      <c r="U35" s="1352">
        <f t="shared" si="13"/>
        <v>100</v>
      </c>
      <c r="V35" s="1351" t="s">
        <v>102</v>
      </c>
      <c r="W35" s="1352">
        <f t="shared" si="14"/>
        <v>100</v>
      </c>
      <c r="X35" s="1339"/>
      <c r="Y35" s="3826"/>
      <c r="Z35" s="1353" t="str">
        <f t="shared" si="18"/>
        <v>建筑品质</v>
      </c>
      <c r="AA35" s="1354">
        <f t="shared" si="15"/>
        <v>1</v>
      </c>
      <c r="AB35" s="1354">
        <f t="shared" si="16"/>
        <v>1</v>
      </c>
      <c r="AC35" s="1354">
        <f t="shared" si="17"/>
        <v>1</v>
      </c>
    </row>
    <row r="36" spans="1:29" ht="15">
      <c r="A36" s="161"/>
      <c r="B36" s="12" t="s">
        <v>77</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7"/>
      <c r="M36" s="2292"/>
      <c r="N36" s="2292"/>
      <c r="O36" s="2292"/>
      <c r="P36" s="3824"/>
      <c r="Q36" s="1350" t="str">
        <f t="shared" si="11"/>
        <v>公共部分装修</v>
      </c>
      <c r="R36" s="1351" t="s">
        <v>102</v>
      </c>
      <c r="S36" s="1352">
        <f t="shared" si="12"/>
        <v>100</v>
      </c>
      <c r="T36" s="1351" t="s">
        <v>102</v>
      </c>
      <c r="U36" s="1352">
        <f t="shared" si="13"/>
        <v>100</v>
      </c>
      <c r="V36" s="1351" t="s">
        <v>102</v>
      </c>
      <c r="W36" s="1352">
        <f t="shared" si="14"/>
        <v>100</v>
      </c>
      <c r="X36" s="1339"/>
      <c r="Y36" s="3826"/>
      <c r="Z36" s="1353" t="str">
        <f t="shared" si="18"/>
        <v>公共部分装修</v>
      </c>
      <c r="AA36" s="1354">
        <f t="shared" si="15"/>
        <v>1</v>
      </c>
      <c r="AB36" s="1354">
        <f t="shared" si="16"/>
        <v>1</v>
      </c>
      <c r="AC36" s="1354">
        <f t="shared" si="17"/>
        <v>1</v>
      </c>
    </row>
    <row r="37" spans="1:29" s="40" customFormat="1" ht="15">
      <c r="A37" s="1040"/>
      <c r="B37" s="12" t="s">
        <v>78</v>
      </c>
      <c r="C37" s="816"/>
      <c r="D37" s="426">
        <v>100</v>
      </c>
      <c r="E37" s="816"/>
      <c r="F37" s="767" t="e">
        <f>LOOKUP(E37,112:112,113:113)-LOOKUP(C37,112:112,113:113)+100</f>
        <v>#N/A</v>
      </c>
      <c r="G37" s="818"/>
      <c r="H37" s="426" t="e">
        <f>LOOKUP(G37,112:112,113:113)-LOOKUP(C37,112:112,113:113)+100</f>
        <v>#N/A</v>
      </c>
      <c r="I37" s="817"/>
      <c r="J37" s="426" t="e">
        <f>LOOKUP(I37,112:112,113:113)-LOOKUP(C37,112:112,113:113)+100</f>
        <v>#N/A</v>
      </c>
      <c r="K37" s="768"/>
      <c r="L37" s="2293"/>
      <c r="M37" s="2255"/>
      <c r="N37" s="2255"/>
      <c r="O37" s="2255"/>
      <c r="P37" s="3824"/>
      <c r="Q37" s="7" t="str">
        <f t="shared" si="11"/>
        <v>成新度</v>
      </c>
      <c r="R37" s="1341" t="s">
        <v>102</v>
      </c>
      <c r="S37" s="1342" t="e">
        <f t="shared" si="12"/>
        <v>#N/A</v>
      </c>
      <c r="T37" s="1341" t="s">
        <v>102</v>
      </c>
      <c r="U37" s="1342" t="e">
        <f t="shared" si="13"/>
        <v>#N/A</v>
      </c>
      <c r="V37" s="1341" t="s">
        <v>102</v>
      </c>
      <c r="W37" s="1342" t="e">
        <f t="shared" si="14"/>
        <v>#N/A</v>
      </c>
      <c r="X37" s="287"/>
      <c r="Y37" s="3826"/>
      <c r="Z37" s="288" t="str">
        <f t="shared" si="18"/>
        <v>成新度</v>
      </c>
      <c r="AA37" s="1343" t="e">
        <f t="shared" si="15"/>
        <v>#N/A</v>
      </c>
      <c r="AB37" s="1343" t="e">
        <f t="shared" si="16"/>
        <v>#N/A</v>
      </c>
      <c r="AC37" s="1343" t="e">
        <f t="shared" si="17"/>
        <v>#N/A</v>
      </c>
    </row>
    <row r="38" spans="1:29" ht="15">
      <c r="A38" s="161"/>
      <c r="B38" s="12" t="s">
        <v>79</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7"/>
      <c r="M38" s="2292"/>
      <c r="N38" s="2292"/>
      <c r="O38" s="2292"/>
      <c r="P38" s="3824" t="s">
        <v>68</v>
      </c>
      <c r="Q38" s="1350" t="str">
        <f t="shared" si="11"/>
        <v>物业管理</v>
      </c>
      <c r="R38" s="1351" t="s">
        <v>102</v>
      </c>
      <c r="S38" s="1352">
        <f t="shared" si="12"/>
        <v>100</v>
      </c>
      <c r="T38" s="1351" t="s">
        <v>102</v>
      </c>
      <c r="U38" s="1352">
        <f t="shared" si="13"/>
        <v>100</v>
      </c>
      <c r="V38" s="1351" t="s">
        <v>102</v>
      </c>
      <c r="W38" s="1352">
        <f t="shared" si="14"/>
        <v>100</v>
      </c>
      <c r="X38" s="1339"/>
      <c r="Y38" s="3826" t="s">
        <v>68</v>
      </c>
      <c r="Z38" s="1353" t="str">
        <f t="shared" si="18"/>
        <v>物业管理</v>
      </c>
      <c r="AA38" s="1354">
        <f t="shared" si="15"/>
        <v>1</v>
      </c>
      <c r="AB38" s="1354">
        <f t="shared" si="16"/>
        <v>1</v>
      </c>
      <c r="AC38" s="1354">
        <f t="shared" si="17"/>
        <v>1</v>
      </c>
    </row>
    <row r="39" spans="1:29" ht="15">
      <c r="A39" s="161"/>
      <c r="B39" s="12" t="s">
        <v>2640</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7"/>
      <c r="M39" s="2292"/>
      <c r="N39" s="2292"/>
      <c r="O39" s="2292"/>
      <c r="P39" s="3824"/>
      <c r="Q39" s="1350" t="str">
        <f t="shared" si="11"/>
        <v>市政基础设施</v>
      </c>
      <c r="R39" s="1351" t="s">
        <v>102</v>
      </c>
      <c r="S39" s="1352">
        <f t="shared" si="12"/>
        <v>100</v>
      </c>
      <c r="T39" s="1351" t="s">
        <v>102</v>
      </c>
      <c r="U39" s="1352">
        <f t="shared" si="13"/>
        <v>100</v>
      </c>
      <c r="V39" s="1351" t="s">
        <v>102</v>
      </c>
      <c r="W39" s="1352">
        <f t="shared" si="14"/>
        <v>100</v>
      </c>
      <c r="X39" s="1339"/>
      <c r="Y39" s="3826"/>
      <c r="Z39" s="1353" t="str">
        <f t="shared" si="18"/>
        <v>市政基础设施</v>
      </c>
      <c r="AA39" s="1354">
        <f t="shared" si="15"/>
        <v>1</v>
      </c>
      <c r="AB39" s="1354">
        <f t="shared" si="16"/>
        <v>1</v>
      </c>
      <c r="AC39" s="1354">
        <f t="shared" si="17"/>
        <v>1</v>
      </c>
    </row>
    <row r="40" spans="1:29" ht="15">
      <c r="A40" s="161"/>
      <c r="B40" s="12" t="s">
        <v>80</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824"/>
      <c r="Q40" s="1350" t="str">
        <f t="shared" si="11"/>
        <v>房型</v>
      </c>
      <c r="R40" s="1351" t="s">
        <v>102</v>
      </c>
      <c r="S40" s="1352">
        <f t="shared" si="12"/>
        <v>100</v>
      </c>
      <c r="T40" s="1351" t="s">
        <v>102</v>
      </c>
      <c r="U40" s="1352">
        <f t="shared" si="13"/>
        <v>100</v>
      </c>
      <c r="V40" s="1351" t="s">
        <v>102</v>
      </c>
      <c r="W40" s="1352">
        <f t="shared" si="14"/>
        <v>100</v>
      </c>
      <c r="X40" s="1339"/>
      <c r="Y40" s="3826"/>
      <c r="Z40" s="1353" t="str">
        <f t="shared" si="18"/>
        <v>房型</v>
      </c>
      <c r="AA40" s="1354">
        <f t="shared" si="15"/>
        <v>1</v>
      </c>
      <c r="AB40" s="1354">
        <f t="shared" si="16"/>
        <v>1</v>
      </c>
      <c r="AC40" s="1354">
        <f t="shared" si="17"/>
        <v>1</v>
      </c>
    </row>
    <row r="41" spans="1:29" s="1038" customFormat="1" ht="27">
      <c r="A41" s="1042"/>
      <c r="B41" s="12" t="s">
        <v>103</v>
      </c>
      <c r="C41" s="1357"/>
      <c r="D41" s="426">
        <v>100</v>
      </c>
      <c r="E41" s="1028"/>
      <c r="F41" s="767">
        <f>SUMIF(120:120,E41,121:121)-SUMIF(120:120,C41,121:121)+100</f>
        <v>100</v>
      </c>
      <c r="G41" s="1027"/>
      <c r="H41" s="426">
        <f>SUMIF(120:120,G41,121:121)-SUMIF(120:120,C41,121:121)+100</f>
        <v>100</v>
      </c>
      <c r="I41" s="114"/>
      <c r="J41" s="777">
        <f>SUMIF(120:120,I41,121:121)-SUMIF(120:120,C41,121:121)+100</f>
        <v>100</v>
      </c>
      <c r="K41" s="153"/>
      <c r="L41" s="2296"/>
      <c r="M41" s="2298"/>
      <c r="N41" s="2298"/>
      <c r="O41" s="2298"/>
      <c r="P41" s="3824"/>
      <c r="Q41" s="1358" t="str">
        <f t="shared" si="11"/>
        <v>单套/主力户型建筑面积</v>
      </c>
      <c r="R41" s="1359" t="s">
        <v>102</v>
      </c>
      <c r="S41" s="1360">
        <f t="shared" si="12"/>
        <v>100</v>
      </c>
      <c r="T41" s="1359" t="s">
        <v>102</v>
      </c>
      <c r="U41" s="1360">
        <f t="shared" si="13"/>
        <v>100</v>
      </c>
      <c r="V41" s="1359" t="s">
        <v>102</v>
      </c>
      <c r="W41" s="1360">
        <f t="shared" si="14"/>
        <v>100</v>
      </c>
      <c r="X41" s="1361"/>
      <c r="Y41" s="3826"/>
      <c r="Z41" s="1362" t="str">
        <f t="shared" si="18"/>
        <v>单套/主力户型建筑面积</v>
      </c>
      <c r="AA41" s="1354">
        <f t="shared" si="15"/>
        <v>1</v>
      </c>
      <c r="AB41" s="1354">
        <f t="shared" si="16"/>
        <v>1</v>
      </c>
      <c r="AC41" s="1354">
        <f t="shared" si="17"/>
        <v>1</v>
      </c>
    </row>
    <row r="42" spans="1:29" ht="15">
      <c r="A42" s="161"/>
      <c r="B42" s="12" t="s">
        <v>81</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7"/>
      <c r="M42" s="2292"/>
      <c r="N42" s="2292"/>
      <c r="O42" s="2292"/>
      <c r="P42" s="3824"/>
      <c r="Q42" s="1350" t="str">
        <f t="shared" si="11"/>
        <v>内部装修</v>
      </c>
      <c r="R42" s="1351" t="s">
        <v>102</v>
      </c>
      <c r="S42" s="1352">
        <f t="shared" si="12"/>
        <v>100</v>
      </c>
      <c r="T42" s="1351" t="s">
        <v>102</v>
      </c>
      <c r="U42" s="1352">
        <f t="shared" si="13"/>
        <v>100</v>
      </c>
      <c r="V42" s="1351" t="s">
        <v>102</v>
      </c>
      <c r="W42" s="1352">
        <f t="shared" si="14"/>
        <v>100</v>
      </c>
      <c r="X42" s="1339"/>
      <c r="Y42" s="3826"/>
      <c r="Z42" s="1353" t="str">
        <f t="shared" si="18"/>
        <v>内部装修</v>
      </c>
      <c r="AA42" s="1354">
        <f t="shared" si="15"/>
        <v>1</v>
      </c>
      <c r="AB42" s="1354">
        <f t="shared" si="16"/>
        <v>1</v>
      </c>
      <c r="AC42" s="1354">
        <f t="shared" si="17"/>
        <v>1</v>
      </c>
    </row>
    <row r="43" spans="1:29" ht="27">
      <c r="A43" s="161"/>
      <c r="B43" s="12" t="s">
        <v>82</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7"/>
      <c r="M43" s="2292"/>
      <c r="N43" s="2292"/>
      <c r="O43" s="2292"/>
      <c r="P43" s="3824"/>
      <c r="Q43" s="1350" t="str">
        <f t="shared" si="11"/>
        <v>内部装修维护情况</v>
      </c>
      <c r="R43" s="1351" t="s">
        <v>102</v>
      </c>
      <c r="S43" s="1352">
        <f t="shared" si="12"/>
        <v>100</v>
      </c>
      <c r="T43" s="1351" t="s">
        <v>102</v>
      </c>
      <c r="U43" s="1352">
        <f t="shared" si="13"/>
        <v>100</v>
      </c>
      <c r="V43" s="1351" t="s">
        <v>102</v>
      </c>
      <c r="W43" s="1352">
        <f t="shared" si="14"/>
        <v>100</v>
      </c>
      <c r="X43" s="1339"/>
      <c r="Y43" s="3826"/>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7">
        <f>SUMIF(126:126,E44,127:127)-SUMIF(126:126,C44,127:127)+100</f>
        <v>100</v>
      </c>
      <c r="G44" s="1357"/>
      <c r="H44" s="426">
        <f>SUMIF(126:126,G44,127:127)-SUMIF(126:126,C44,127:127)+100</f>
        <v>100</v>
      </c>
      <c r="I44" s="1357"/>
      <c r="J44" s="426">
        <f>SUMIF(126:126,I44,127:127)-SUMIF(126:126,C44,127:127)+100</f>
        <v>100</v>
      </c>
      <c r="K44" s="153"/>
      <c r="L44" s="2293"/>
      <c r="M44" s="2255"/>
      <c r="N44" s="2255"/>
      <c r="O44" s="2255"/>
      <c r="P44" s="3824"/>
      <c r="Q44" s="7">
        <f t="shared" si="11"/>
        <v>111</v>
      </c>
      <c r="R44" s="1341" t="s">
        <v>102</v>
      </c>
      <c r="S44" s="1342">
        <f t="shared" si="12"/>
        <v>100</v>
      </c>
      <c r="T44" s="1341" t="s">
        <v>102</v>
      </c>
      <c r="U44" s="1342">
        <f t="shared" si="13"/>
        <v>100</v>
      </c>
      <c r="V44" s="1341" t="s">
        <v>102</v>
      </c>
      <c r="W44" s="1342">
        <f t="shared" si="14"/>
        <v>100</v>
      </c>
      <c r="X44" s="287"/>
      <c r="Y44" s="3826"/>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824"/>
      <c r="Q45" s="1350">
        <f t="shared" si="11"/>
        <v>111</v>
      </c>
      <c r="R45" s="1351" t="s">
        <v>102</v>
      </c>
      <c r="S45" s="1352">
        <f t="shared" si="12"/>
        <v>100</v>
      </c>
      <c r="T45" s="1351" t="s">
        <v>102</v>
      </c>
      <c r="U45" s="1352">
        <f t="shared" si="13"/>
        <v>100</v>
      </c>
      <c r="V45" s="1351" t="s">
        <v>102</v>
      </c>
      <c r="W45" s="1352">
        <f t="shared" si="14"/>
        <v>100</v>
      </c>
      <c r="X45" s="1339"/>
      <c r="Y45" s="3826"/>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825"/>
      <c r="Q46" s="1350">
        <f t="shared" si="11"/>
        <v>111</v>
      </c>
      <c r="R46" s="1351" t="s">
        <v>101</v>
      </c>
      <c r="S46" s="1352">
        <f t="shared" si="12"/>
        <v>100</v>
      </c>
      <c r="T46" s="1351" t="s">
        <v>101</v>
      </c>
      <c r="U46" s="1352">
        <f t="shared" si="13"/>
        <v>100</v>
      </c>
      <c r="V46" s="1351" t="s">
        <v>101</v>
      </c>
      <c r="W46" s="1352">
        <f t="shared" si="14"/>
        <v>100</v>
      </c>
      <c r="X46" s="1339"/>
      <c r="Y46" s="3827"/>
      <c r="Z46" s="1353">
        <f t="shared" si="18"/>
        <v>111</v>
      </c>
      <c r="AA46" s="1354">
        <f t="shared" si="15"/>
        <v>1</v>
      </c>
      <c r="AB46" s="1354">
        <f t="shared" si="16"/>
        <v>1</v>
      </c>
      <c r="AC46" s="1354">
        <f t="shared" si="17"/>
        <v>1</v>
      </c>
    </row>
    <row r="47" spans="1:29" ht="15">
      <c r="A47" s="163" t="s">
        <v>100</v>
      </c>
      <c r="B47" s="164"/>
      <c r="C47" s="2829" t="s">
        <v>99</v>
      </c>
      <c r="D47" s="2830"/>
      <c r="E47" s="2831"/>
      <c r="F47" s="2832"/>
      <c r="G47" s="2833"/>
      <c r="H47" s="2834"/>
      <c r="I47" s="2831"/>
      <c r="J47" s="2834"/>
      <c r="K47" s="1363"/>
      <c r="L47" s="2299"/>
      <c r="M47" s="2300"/>
      <c r="N47" s="2292"/>
      <c r="O47" s="2300"/>
      <c r="P47" s="3819" t="str">
        <f>A47</f>
        <v>成交单价（元/平方米）</v>
      </c>
      <c r="Q47" s="3819"/>
      <c r="R47" s="3820">
        <f>E47</f>
        <v>0</v>
      </c>
      <c r="S47" s="3820"/>
      <c r="T47" s="3820">
        <f>G47</f>
        <v>0</v>
      </c>
      <c r="U47" s="3820"/>
      <c r="V47" s="3820">
        <f>I47</f>
        <v>0</v>
      </c>
      <c r="W47" s="3820"/>
      <c r="X47" s="1364"/>
      <c r="Y47" s="1365"/>
      <c r="Z47" s="1364"/>
      <c r="AA47" s="1364"/>
      <c r="AB47" s="1364"/>
      <c r="AC47" s="1364"/>
    </row>
    <row r="48" spans="1:29" ht="15.75" thickBot="1">
      <c r="A48" s="165" t="s">
        <v>98</v>
      </c>
      <c r="B48" s="166"/>
      <c r="C48" s="2835" t="e">
        <f>R49</f>
        <v>#DIV/0!</v>
      </c>
      <c r="D48" s="2836"/>
      <c r="E48" s="2837" t="e">
        <f>R48</f>
        <v>#DIV/0!</v>
      </c>
      <c r="F48" s="2837"/>
      <c r="G48" s="2835" t="e">
        <f>T48</f>
        <v>#DIV/0!</v>
      </c>
      <c r="H48" s="2836"/>
      <c r="I48" s="2837" t="e">
        <f>V48</f>
        <v>#DIV/0!</v>
      </c>
      <c r="J48" s="2836"/>
      <c r="K48" s="1366"/>
      <c r="L48" s="2299"/>
      <c r="M48" s="2300"/>
      <c r="N48" s="2300"/>
      <c r="O48" s="2300"/>
      <c r="P48" s="3819" t="str">
        <f>A48</f>
        <v>比较价值（元/平方米）</v>
      </c>
      <c r="Q48" s="3819"/>
      <c r="R48" s="3820" t="e">
        <f>IF(F1="售价",ROUND(PRODUCT(R47,AA7:AA46),0),ROUND(PRODUCT(R47,AA7:AA46),1))</f>
        <v>#DIV/0!</v>
      </c>
      <c r="S48" s="3820"/>
      <c r="T48" s="3820" t="e">
        <f>IF(F1="售价",ROUND(PRODUCT(T47,AB7:AB46),0),ROUND(PRODUCT(T47,AB7:AB46),1))</f>
        <v>#DIV/0!</v>
      </c>
      <c r="U48" s="3820"/>
      <c r="V48" s="3820" t="e">
        <f>IF(F1="售价",ROUND(PRODUCT(V47,AC7:AC46),0),ROUND(PRODUCT(V47,AC7:AC46),1))</f>
        <v>#DIV/0!</v>
      </c>
      <c r="W48" s="3820"/>
      <c r="X48" s="1364"/>
      <c r="Y48" s="1364"/>
      <c r="Z48" s="1364"/>
      <c r="AA48" s="1364"/>
      <c r="AB48" s="1364"/>
      <c r="AC48" s="1364"/>
    </row>
    <row r="49" spans="1:29" ht="15.75" thickBot="1">
      <c r="A49" s="115" t="s">
        <v>3012</v>
      </c>
      <c r="B49" s="116"/>
      <c r="C49" s="2838" t="e">
        <f>R49</f>
        <v>#DIV/0!</v>
      </c>
      <c r="D49" s="2839"/>
      <c r="E49" s="2839"/>
      <c r="F49" s="2839"/>
      <c r="G49" s="2839"/>
      <c r="H49" s="2839"/>
      <c r="I49" s="2839"/>
      <c r="J49" s="2839"/>
      <c r="K49" s="1367"/>
      <c r="L49" s="2299"/>
      <c r="M49" s="2300"/>
      <c r="N49" s="2300"/>
      <c r="O49" s="2300"/>
      <c r="P49" s="3816" t="str">
        <f>A49</f>
        <v>估价对象XX用房的比较价值（楼面单价，元/平方米）</v>
      </c>
      <c r="Q49" s="3817"/>
      <c r="R49" s="3818" t="e">
        <f>IF(F1="售价",ROUND(AVERAGE(R48:V48),0),ROUND(AVERAGE(R48:V48),1))</f>
        <v>#DIV/0!</v>
      </c>
      <c r="S49" s="3818"/>
      <c r="T49" s="3818"/>
      <c r="U49" s="3818"/>
      <c r="V49" s="3818"/>
      <c r="W49" s="3818"/>
      <c r="X49" s="1364"/>
      <c r="Y49" s="1364"/>
      <c r="Z49" s="1364"/>
      <c r="AA49" s="1364"/>
      <c r="AB49" s="1364"/>
      <c r="AC49" s="1364"/>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1"/>
      <c r="L52" s="2302"/>
      <c r="M52" s="2300"/>
      <c r="N52" s="2300"/>
      <c r="O52" s="2300"/>
    </row>
    <row r="53" spans="1:29" ht="13.5" customHeight="1">
      <c r="A53" s="2300"/>
      <c r="B53" s="2300"/>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1"/>
      <c r="L53" s="2302"/>
      <c r="M53" s="2300"/>
      <c r="N53" s="2300"/>
      <c r="O53" s="2300"/>
    </row>
    <row r="54" spans="1:29" s="119" customFormat="1" ht="13.5" customHeight="1">
      <c r="A54" s="2305"/>
      <c r="B54" s="2305"/>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3"/>
      <c r="L54" s="2304"/>
      <c r="M54" s="2305"/>
      <c r="N54" s="2305"/>
      <c r="O54" s="2305"/>
      <c r="P54" s="1370"/>
    </row>
    <row r="55" spans="1:29" s="119" customFormat="1">
      <c r="A55" s="2305"/>
      <c r="B55" s="2310"/>
      <c r="C55" s="2311"/>
      <c r="D55" s="2305"/>
      <c r="E55" s="2305"/>
      <c r="F55" s="2305"/>
      <c r="G55" s="2305"/>
      <c r="H55" s="2305"/>
      <c r="I55" s="2305"/>
      <c r="J55" s="2305"/>
      <c r="K55" s="2303"/>
      <c r="L55" s="2304"/>
      <c r="M55" s="2305"/>
      <c r="N55" s="2305"/>
      <c r="O55" s="2305"/>
      <c r="P55" s="1370"/>
    </row>
    <row r="56" spans="1:29">
      <c r="A56" s="2300"/>
      <c r="B56" s="2310"/>
      <c r="C56" s="2311"/>
      <c r="D56" s="2300"/>
      <c r="E56" s="2300"/>
      <c r="F56" s="2300"/>
      <c r="G56" s="2300"/>
      <c r="H56" s="2300"/>
      <c r="I56" s="2300"/>
      <c r="J56" s="2300"/>
      <c r="K56" s="2301"/>
      <c r="L56" s="2302"/>
      <c r="M56" s="2300"/>
      <c r="N56" s="2300"/>
      <c r="O56" s="2300"/>
    </row>
    <row r="57" spans="1:29" ht="21" thickBot="1">
      <c r="A57" s="1371" t="s">
        <v>125</v>
      </c>
      <c r="B57" s="1364"/>
      <c r="C57" s="1372"/>
      <c r="D57" s="1372"/>
      <c r="E57" s="1372"/>
      <c r="F57" s="1373"/>
      <c r="G57" s="1373"/>
      <c r="H57" s="1372"/>
      <c r="I57" s="1372"/>
      <c r="J57" s="1372"/>
      <c r="K57" s="2306"/>
      <c r="L57" s="2307"/>
      <c r="M57" s="2308"/>
      <c r="N57" s="2308"/>
      <c r="O57" s="2308"/>
      <c r="P57" s="1375"/>
      <c r="Q57" s="121"/>
    </row>
    <row r="58" spans="1:29" s="850" customFormat="1" ht="15">
      <c r="A58" s="847" t="s">
        <v>2792</v>
      </c>
      <c r="B58" s="848"/>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4"/>
      <c r="B59" s="3034"/>
      <c r="C59" s="3035">
        <v>100</v>
      </c>
      <c r="D59" s="853"/>
      <c r="E59" s="854"/>
      <c r="F59" s="854"/>
      <c r="G59" s="854"/>
      <c r="H59" s="854"/>
      <c r="I59" s="854"/>
      <c r="J59" s="854"/>
      <c r="K59" s="854"/>
      <c r="L59" s="854"/>
      <c r="M59" s="855"/>
      <c r="N59" s="854"/>
      <c r="O59" s="855"/>
      <c r="P59" s="1376"/>
    </row>
    <row r="60" spans="1:29" s="40" customFormat="1" ht="15" thickBot="1">
      <c r="A60" s="1046" t="s">
        <v>116</v>
      </c>
      <c r="B60" s="1047"/>
      <c r="C60" s="859"/>
      <c r="D60" s="860"/>
      <c r="E60" s="860"/>
      <c r="F60" s="860"/>
      <c r="G60" s="860"/>
      <c r="H60" s="860"/>
      <c r="I60" s="860"/>
      <c r="J60" s="860"/>
      <c r="K60" s="860"/>
      <c r="L60" s="860"/>
      <c r="M60" s="861"/>
      <c r="N60" s="860"/>
      <c r="O60" s="861"/>
      <c r="P60" s="1376"/>
      <c r="Q60" s="121"/>
    </row>
    <row r="61" spans="1:29" s="40" customFormat="1">
      <c r="A61" s="1048" t="s">
        <v>64</v>
      </c>
      <c r="B61" s="1045"/>
      <c r="C61" s="1049" t="s">
        <v>114</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65</v>
      </c>
      <c r="B63" s="286" t="s">
        <v>66</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91</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67</v>
      </c>
      <c r="B76" s="286" t="s">
        <v>108</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90</v>
      </c>
      <c r="C78" s="920" t="s">
        <v>1017</v>
      </c>
      <c r="D78" s="920" t="s">
        <v>1018</v>
      </c>
      <c r="E78" s="920" t="s">
        <v>1019</v>
      </c>
      <c r="F78" s="920" t="s">
        <v>1020</v>
      </c>
      <c r="G78" s="920" t="s">
        <v>1021</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2632</v>
      </c>
      <c r="C80" s="920" t="s">
        <v>1017</v>
      </c>
      <c r="D80" s="920" t="s">
        <v>1018</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2642</v>
      </c>
      <c r="C82" s="177" t="s">
        <v>2643</v>
      </c>
      <c r="D82" s="177" t="s">
        <v>2647</v>
      </c>
      <c r="E82" s="177" t="s">
        <v>2644</v>
      </c>
      <c r="F82" s="177" t="s">
        <v>2645</v>
      </c>
      <c r="G82" s="177" t="s">
        <v>2646</v>
      </c>
      <c r="H82" s="881"/>
      <c r="I82" s="881"/>
      <c r="J82" s="881"/>
      <c r="K82" s="881"/>
      <c r="L82" s="881"/>
      <c r="M82" s="2761"/>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96</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2291</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95</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68</v>
      </c>
      <c r="B100" s="286" t="s">
        <v>121</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94</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93</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109</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122</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110</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111</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103</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92</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7" t="s">
        <v>2292</v>
      </c>
    </row>
    <row r="137" spans="1:17" ht="14.25">
      <c r="B137" s="2138" t="s">
        <v>2293</v>
      </c>
      <c r="C137" s="2139"/>
      <c r="D137" s="2139"/>
      <c r="E137" s="2139"/>
      <c r="F137" s="2139"/>
      <c r="G137" s="2140"/>
      <c r="H137" s="2141"/>
      <c r="I137" s="2142" t="s">
        <v>2294</v>
      </c>
      <c r="J137" s="2139"/>
      <c r="K137" s="2143"/>
    </row>
    <row r="138" spans="1:17" ht="14.25">
      <c r="B138" s="2144"/>
      <c r="C138" s="1774" t="s">
        <v>2295</v>
      </c>
      <c r="D138" s="1774" t="s">
        <v>2296</v>
      </c>
      <c r="E138" s="2145" t="s">
        <v>2297</v>
      </c>
      <c r="F138" s="2146" t="s">
        <v>2298</v>
      </c>
      <c r="G138" s="1774" t="s">
        <v>2296</v>
      </c>
      <c r="H138" s="2147" t="s">
        <v>2297</v>
      </c>
      <c r="I138" s="2148"/>
      <c r="J138" s="1774" t="s">
        <v>2299</v>
      </c>
      <c r="K138" s="2147" t="s">
        <v>2300</v>
      </c>
    </row>
    <row r="139" spans="1:17" ht="15">
      <c r="B139" s="2149">
        <v>6</v>
      </c>
      <c r="C139" s="2150">
        <v>96</v>
      </c>
      <c r="D139" s="2151" t="s">
        <v>2301</v>
      </c>
      <c r="E139" s="2152">
        <v>100</v>
      </c>
      <c r="F139" s="2153">
        <v>102.5</v>
      </c>
      <c r="G139" s="2151" t="s">
        <v>2301</v>
      </c>
      <c r="H139" s="2154">
        <v>105</v>
      </c>
      <c r="I139" s="2155" t="s">
        <v>2302</v>
      </c>
      <c r="J139" s="2150">
        <v>20</v>
      </c>
      <c r="K139" s="2156">
        <f>C145/(J139-2)</f>
        <v>4.0555555555555553E-3</v>
      </c>
    </row>
    <row r="140" spans="1:17" ht="15">
      <c r="B140" s="2157">
        <v>5</v>
      </c>
      <c r="C140" s="2158">
        <v>100</v>
      </c>
      <c r="D140" s="2159"/>
      <c r="E140" s="2160"/>
      <c r="F140" s="2161">
        <v>102</v>
      </c>
      <c r="G140" s="2159"/>
      <c r="H140" s="2162"/>
      <c r="I140" s="2163" t="s">
        <v>2303</v>
      </c>
      <c r="J140" s="647">
        <f>ROUNDUP((J139-1)/2,0)</f>
        <v>10</v>
      </c>
      <c r="K140" s="2164">
        <v>100</v>
      </c>
    </row>
    <row r="141" spans="1:17" ht="15">
      <c r="B141" s="2157">
        <v>4</v>
      </c>
      <c r="C141" s="2158">
        <v>102</v>
      </c>
      <c r="D141" s="2159"/>
      <c r="E141" s="2160"/>
      <c r="F141" s="2161">
        <v>101.5</v>
      </c>
      <c r="G141" s="2159"/>
      <c r="H141" s="2162"/>
      <c r="I141" s="2163" t="s">
        <v>2304</v>
      </c>
      <c r="J141" s="647">
        <v>1</v>
      </c>
      <c r="K141" s="2165">
        <f>ROUND(100+(J141-J140)*K139*100,1)</f>
        <v>96.4</v>
      </c>
    </row>
    <row r="142" spans="1:17" ht="15">
      <c r="B142" s="2157">
        <v>3</v>
      </c>
      <c r="C142" s="2158">
        <v>103</v>
      </c>
      <c r="D142" s="2159"/>
      <c r="E142" s="2160"/>
      <c r="F142" s="2161">
        <v>101</v>
      </c>
      <c r="G142" s="2159"/>
      <c r="H142" s="2162"/>
      <c r="I142" s="2163" t="s">
        <v>2305</v>
      </c>
      <c r="J142" s="647">
        <f>J139</f>
        <v>20</v>
      </c>
      <c r="K142" s="2166">
        <v>95</v>
      </c>
    </row>
    <row r="143" spans="1:17" ht="15">
      <c r="B143" s="2157">
        <v>2</v>
      </c>
      <c r="C143" s="2158">
        <v>100</v>
      </c>
      <c r="D143" s="2159"/>
      <c r="E143" s="2160"/>
      <c r="F143" s="2161">
        <v>100.5</v>
      </c>
      <c r="G143" s="2159"/>
      <c r="H143" s="2162"/>
      <c r="I143" s="2163" t="s">
        <v>2306</v>
      </c>
      <c r="J143" s="2158">
        <v>15</v>
      </c>
      <c r="K143" s="2165">
        <f>ROUND(100+(J143-J140)*K139*100,1)</f>
        <v>102</v>
      </c>
    </row>
    <row r="144" spans="1:17" ht="15">
      <c r="B144" s="2157">
        <v>1</v>
      </c>
      <c r="C144" s="2158">
        <v>98</v>
      </c>
      <c r="D144" s="1159" t="s">
        <v>2307</v>
      </c>
      <c r="E144" s="2160">
        <v>102</v>
      </c>
      <c r="F144" s="2167">
        <v>100</v>
      </c>
      <c r="G144" s="1159" t="s">
        <v>2307</v>
      </c>
      <c r="H144" s="2162">
        <v>105</v>
      </c>
      <c r="I144" s="2163" t="s">
        <v>2306</v>
      </c>
      <c r="J144" s="2158">
        <v>18</v>
      </c>
      <c r="K144" s="2165">
        <f>ROUND(100+(J144-J140)*K139*100,1)</f>
        <v>103.2</v>
      </c>
    </row>
    <row r="145" spans="2:11" ht="15.75" thickBot="1">
      <c r="B145" s="2168" t="s">
        <v>2308</v>
      </c>
      <c r="C145" s="2169">
        <f>ROUND(MAX(C139:C144)/MIN(C139:C144)-1,3)</f>
        <v>7.2999999999999995E-2</v>
      </c>
      <c r="D145" s="2170"/>
      <c r="E145" s="2171"/>
      <c r="F145" s="2172" t="s">
        <v>2309</v>
      </c>
      <c r="G145" s="2173"/>
      <c r="H145" s="2174"/>
      <c r="I145" s="2175" t="s">
        <v>2310</v>
      </c>
      <c r="J145" s="2176">
        <v>8</v>
      </c>
      <c r="K145" s="2177">
        <f>ROUND(100+(J145-J140)*K139*100,1)</f>
        <v>99.2</v>
      </c>
    </row>
    <row r="147" spans="2:11">
      <c r="B147" s="2137" t="s">
        <v>2318</v>
      </c>
    </row>
    <row r="148" spans="2:11">
      <c r="B148" s="2137" t="s">
        <v>2319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61" priority="15" stopIfTrue="1" operator="containsText" text="超过">
      <formula>NOT(ISERROR(SEARCH("超过",F52)))</formula>
    </cfRule>
  </conditionalFormatting>
  <conditionalFormatting sqref="J54">
    <cfRule type="containsText" dxfId="160" priority="14" stopIfTrue="1" operator="containsText" text="超过">
      <formula>NOT(ISERROR(SEARCH("超过",J54)))</formula>
    </cfRule>
  </conditionalFormatting>
  <conditionalFormatting sqref="H54">
    <cfRule type="containsText" dxfId="159" priority="13" stopIfTrue="1" operator="containsText" text="超过">
      <formula>NOT(ISERROR(SEARCH("超过",H54)))</formula>
    </cfRule>
  </conditionalFormatting>
  <conditionalFormatting sqref="F54">
    <cfRule type="containsText" dxfId="158" priority="12" stopIfTrue="1" operator="containsText" text="超过">
      <formula>NOT(ISERROR(SEARCH("超过",F54)))</formula>
    </cfRule>
  </conditionalFormatting>
  <conditionalFormatting sqref="F53 H53 J53">
    <cfRule type="containsText" dxfId="157" priority="11" stopIfTrue="1" operator="containsText" text="超过">
      <formula>NOT(ISERROR(SEARCH("超过",F53)))</formula>
    </cfRule>
  </conditionalFormatting>
  <conditionalFormatting sqref="E52">
    <cfRule type="expression" dxfId="156" priority="10" stopIfTrue="1">
      <formula>$F$52="超过30%"</formula>
    </cfRule>
  </conditionalFormatting>
  <conditionalFormatting sqref="G54">
    <cfRule type="expression" dxfId="155" priority="8" stopIfTrue="1">
      <formula>$H$54="超过30%"</formula>
    </cfRule>
  </conditionalFormatting>
  <conditionalFormatting sqref="E53">
    <cfRule type="expression" dxfId="154" priority="7" stopIfTrue="1">
      <formula>$F$53="超过20%"</formula>
    </cfRule>
  </conditionalFormatting>
  <conditionalFormatting sqref="E54">
    <cfRule type="expression" dxfId="153" priority="6" stopIfTrue="1">
      <formula>$F$54="超过30%"</formula>
    </cfRule>
  </conditionalFormatting>
  <conditionalFormatting sqref="G52">
    <cfRule type="expression" dxfId="152" priority="5" stopIfTrue="1">
      <formula>$H$52="超过30%"</formula>
    </cfRule>
  </conditionalFormatting>
  <conditionalFormatting sqref="G53">
    <cfRule type="expression" dxfId="151" priority="4" stopIfTrue="1">
      <formula>$H$53="超过20%"</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49"/>
  <sheetViews>
    <sheetView topLeftCell="A7" zoomScale="90" zoomScaleNormal="90" workbookViewId="0">
      <selection activeCell="I5" sqref="I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v>
      </c>
      <c r="B1" s="3097" t="s">
        <v>1</v>
      </c>
      <c r="C1" s="3098" t="s">
        <v>126</v>
      </c>
      <c r="D1" s="3099" t="s">
        <v>3037</v>
      </c>
      <c r="E1" s="3102"/>
      <c r="F1" s="3101" t="s">
        <v>2692</v>
      </c>
      <c r="G1" s="3103" t="s">
        <v>127</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171</v>
      </c>
      <c r="B2" s="2840">
        <f>IF(C2="——",ROUND(C49*D3/10000,0),ROUND(C49*D3/10000,0)-D2)</f>
        <v>61840</v>
      </c>
      <c r="C2" s="3093" t="s">
        <v>529</v>
      </c>
      <c r="D2" s="2720" t="e">
        <f ca="1">SUMIF(INDIRECT("'"&amp;F2&amp;"'"&amp;"!A:A"),"承租人权益价值",INDIRECT("'"&amp;F2&amp;"'"&amp;"!c:c"))</f>
        <v>#REF!</v>
      </c>
      <c r="E2" s="3094" t="s">
        <v>869</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172</v>
      </c>
      <c r="B3" s="951">
        <f>IF(C2="——",C49,ROUND(B2*10000/D3,0))</f>
        <v>28483</v>
      </c>
      <c r="C3" s="142" t="s">
        <v>166</v>
      </c>
      <c r="D3" s="742">
        <f>IF(D1="",'数据-汇总表'!E3,SUMIF('数据-汇总表'!$C19:$C33,D1,'数据-汇总表'!$E19:$E33))</f>
        <v>21711.050000000003</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802" t="s">
        <v>54</v>
      </c>
      <c r="D4" s="3803"/>
      <c r="E4" s="3804" t="s">
        <v>55</v>
      </c>
      <c r="F4" s="3805"/>
      <c r="G4" s="3802" t="s">
        <v>56</v>
      </c>
      <c r="H4" s="3803"/>
      <c r="I4" s="3802" t="s">
        <v>57</v>
      </c>
      <c r="J4" s="3803"/>
      <c r="K4" s="187" t="s">
        <v>58</v>
      </c>
      <c r="L4" s="2291"/>
      <c r="M4" s="2292"/>
      <c r="N4" s="2292"/>
      <c r="O4" s="2292"/>
      <c r="P4" s="3806" t="s">
        <v>53</v>
      </c>
      <c r="Q4" s="3807"/>
      <c r="R4" s="3789" t="s">
        <v>55</v>
      </c>
      <c r="S4" s="3790"/>
      <c r="T4" s="3789" t="s">
        <v>56</v>
      </c>
      <c r="U4" s="3790"/>
      <c r="V4" s="3814" t="s">
        <v>57</v>
      </c>
      <c r="W4" s="3814"/>
      <c r="X4" s="1339"/>
      <c r="Y4" s="3789" t="s">
        <v>53</v>
      </c>
      <c r="Z4" s="3790"/>
      <c r="AA4" s="3784" t="s">
        <v>55</v>
      </c>
      <c r="AB4" s="3814" t="s">
        <v>56</v>
      </c>
      <c r="AC4" s="3784" t="s">
        <v>57</v>
      </c>
    </row>
    <row r="5" spans="1:29">
      <c r="A5" s="146"/>
      <c r="B5" s="147"/>
      <c r="C5" s="3795" t="s">
        <v>59</v>
      </c>
      <c r="D5" s="3796"/>
      <c r="E5" s="3793" t="s">
        <v>3895</v>
      </c>
      <c r="F5" s="3794"/>
      <c r="G5" s="3795" t="s">
        <v>3899</v>
      </c>
      <c r="H5" s="3796"/>
      <c r="I5" s="3795" t="s">
        <v>3897</v>
      </c>
      <c r="J5" s="3796"/>
      <c r="K5" s="187"/>
      <c r="L5" s="2291"/>
      <c r="M5" s="2292"/>
      <c r="N5" s="2292"/>
      <c r="O5" s="2292"/>
      <c r="P5" s="3808"/>
      <c r="Q5" s="3809"/>
      <c r="R5" s="3791"/>
      <c r="S5" s="3792"/>
      <c r="T5" s="3791"/>
      <c r="U5" s="3792"/>
      <c r="V5" s="3814"/>
      <c r="W5" s="3814"/>
      <c r="X5" s="1339"/>
      <c r="Y5" s="3791"/>
      <c r="Z5" s="3792"/>
      <c r="AA5" s="3785"/>
      <c r="AB5" s="3814"/>
      <c r="AC5" s="3785"/>
    </row>
    <row r="6" spans="1:29" ht="14.25" thickBot="1">
      <c r="A6" s="148"/>
      <c r="B6" s="149"/>
      <c r="C6" s="3797" t="s">
        <v>61</v>
      </c>
      <c r="D6" s="3798"/>
      <c r="E6" s="3799" t="s">
        <v>3896</v>
      </c>
      <c r="F6" s="3800"/>
      <c r="G6" s="3797" t="s">
        <v>3900</v>
      </c>
      <c r="H6" s="3798"/>
      <c r="I6" s="3797" t="s">
        <v>3898</v>
      </c>
      <c r="J6" s="3798"/>
      <c r="K6" s="187" t="s">
        <v>115</v>
      </c>
      <c r="L6" s="2291"/>
      <c r="M6" s="2292"/>
      <c r="N6" s="2292"/>
      <c r="O6" s="2292"/>
      <c r="P6" s="3810"/>
      <c r="Q6" s="3811"/>
      <c r="R6" s="3791"/>
      <c r="S6" s="3792"/>
      <c r="T6" s="3812"/>
      <c r="U6" s="3813"/>
      <c r="V6" s="3814"/>
      <c r="W6" s="3814"/>
      <c r="X6" s="1339"/>
      <c r="Y6" s="3812"/>
      <c r="Z6" s="3813"/>
      <c r="AA6" s="3786"/>
      <c r="AB6" s="3814"/>
      <c r="AC6" s="3786"/>
    </row>
    <row r="7" spans="1:29" s="40" customFormat="1" ht="15" thickBot="1">
      <c r="A7" s="1013" t="s">
        <v>62</v>
      </c>
      <c r="B7" s="1014"/>
      <c r="C7" s="1015">
        <f>'数据-取费表'!B2</f>
        <v>42970</v>
      </c>
      <c r="D7" s="754">
        <v>100</v>
      </c>
      <c r="E7" s="1016">
        <v>42970</v>
      </c>
      <c r="F7" s="756">
        <f>SUMIF(58:58,YEAR(E7)&amp;"-"&amp;MONTH(E7),59:59)</f>
        <v>100</v>
      </c>
      <c r="G7" s="1016">
        <v>42970</v>
      </c>
      <c r="H7" s="754">
        <f>SUMIF(58:58,YEAR(G7)&amp;"-"&amp;MONTH(G7),59:59)</f>
        <v>100</v>
      </c>
      <c r="I7" s="1016">
        <v>42970</v>
      </c>
      <c r="J7" s="754">
        <f>SUMIF(58:58,YEAR(I7)&amp;"-"&amp;MONTH(I7),59:59)</f>
        <v>100</v>
      </c>
      <c r="K7" s="1018"/>
      <c r="L7" s="2293"/>
      <c r="M7" s="2255"/>
      <c r="N7" s="2255"/>
      <c r="O7" s="2255"/>
      <c r="P7" s="3787" t="s">
        <v>62</v>
      </c>
      <c r="Q7" s="3815"/>
      <c r="R7" s="1341" t="s">
        <v>63</v>
      </c>
      <c r="S7" s="1342">
        <f t="shared" ref="S7:S15" si="0">F7</f>
        <v>100</v>
      </c>
      <c r="T7" s="1341" t="s">
        <v>63</v>
      </c>
      <c r="U7" s="1342">
        <f t="shared" ref="U7:U15" si="1">H7</f>
        <v>100</v>
      </c>
      <c r="V7" s="1341" t="s">
        <v>63</v>
      </c>
      <c r="W7" s="1342">
        <f t="shared" ref="W7:W15" si="2">J7</f>
        <v>100</v>
      </c>
      <c r="X7" s="287"/>
      <c r="Y7" s="3787" t="s">
        <v>62</v>
      </c>
      <c r="Z7" s="3788"/>
      <c r="AA7" s="1343">
        <f>D7/F7</f>
        <v>1</v>
      </c>
      <c r="AB7" s="1343">
        <f>D7/H7</f>
        <v>1</v>
      </c>
      <c r="AC7" s="1343">
        <f>D7/J7</f>
        <v>1</v>
      </c>
    </row>
    <row r="8" spans="1:29" s="40" customFormat="1" ht="15" thickBot="1">
      <c r="A8" s="1013" t="s">
        <v>64</v>
      </c>
      <c r="B8" s="1014"/>
      <c r="C8" s="1019" t="s">
        <v>114</v>
      </c>
      <c r="D8" s="754">
        <v>100</v>
      </c>
      <c r="E8" s="1019" t="s">
        <v>153</v>
      </c>
      <c r="F8" s="756">
        <f>SUMIF(61:61,E8,62:62)-SUMIF(61:61,C8,62:62)+100</f>
        <v>100</v>
      </c>
      <c r="G8" s="1019" t="s">
        <v>153</v>
      </c>
      <c r="H8" s="754">
        <f>SUMIF(61:61,G8,62:62)-SUMIF(61:61,C8,62:62)+100</f>
        <v>100</v>
      </c>
      <c r="I8" s="1019" t="s">
        <v>153</v>
      </c>
      <c r="J8" s="754">
        <f>SUMIF(61:61,I8,62:62)-SUMIF(61:61,C8,62:62)+100</f>
        <v>100</v>
      </c>
      <c r="K8" s="1018"/>
      <c r="L8" s="2293"/>
      <c r="M8" s="2255"/>
      <c r="N8" s="2255"/>
      <c r="O8" s="2255"/>
      <c r="P8" s="3787" t="s">
        <v>1022</v>
      </c>
      <c r="Q8" s="3788"/>
      <c r="R8" s="1341" t="s">
        <v>63</v>
      </c>
      <c r="S8" s="1342">
        <f t="shared" si="0"/>
        <v>100</v>
      </c>
      <c r="T8" s="1341" t="s">
        <v>63</v>
      </c>
      <c r="U8" s="1342">
        <f t="shared" si="1"/>
        <v>100</v>
      </c>
      <c r="V8" s="1341" t="s">
        <v>63</v>
      </c>
      <c r="W8" s="1342">
        <f t="shared" si="2"/>
        <v>100</v>
      </c>
      <c r="X8" s="287"/>
      <c r="Y8" s="3787" t="s">
        <v>1022</v>
      </c>
      <c r="Z8" s="3788"/>
      <c r="AA8" s="1343">
        <f t="shared" ref="AA8:AA46" si="3">D8/F8</f>
        <v>1</v>
      </c>
      <c r="AB8" s="1343">
        <f t="shared" ref="AB8:AB46" si="4">D8/H8</f>
        <v>1</v>
      </c>
      <c r="AC8" s="1343">
        <f t="shared" ref="AC8:AC46" si="5">D8/J8</f>
        <v>1</v>
      </c>
    </row>
    <row r="9" spans="1:29" s="40" customFormat="1" ht="14.25">
      <c r="A9" s="1020" t="s">
        <v>1023</v>
      </c>
      <c r="B9" s="62" t="s">
        <v>1024</v>
      </c>
      <c r="C9" s="1345" t="s">
        <v>3893</v>
      </c>
      <c r="D9" s="425">
        <v>100</v>
      </c>
      <c r="E9" s="1346" t="s">
        <v>3037</v>
      </c>
      <c r="F9" s="760">
        <f>SUMIF(63:63,E9,64:64)-SUMIF(63:63,C9,64:64)+100</f>
        <v>100</v>
      </c>
      <c r="G9" s="1346" t="s">
        <v>3037</v>
      </c>
      <c r="H9" s="425">
        <f>SUMIF(63:63,G9,64:64)-SUMIF(63:63,C9,64:64)+100</f>
        <v>100</v>
      </c>
      <c r="I9" s="1346" t="s">
        <v>3037</v>
      </c>
      <c r="J9" s="425">
        <f>SUMIF(63:63,I9,64:64)-SUMIF(63:63,C9,64:64)+100</f>
        <v>100</v>
      </c>
      <c r="K9" s="1018"/>
      <c r="L9" s="2293"/>
      <c r="M9" s="2255"/>
      <c r="N9" s="2255"/>
      <c r="O9" s="2255"/>
      <c r="P9" s="3801" t="s">
        <v>65</v>
      </c>
      <c r="Q9" s="7" t="str">
        <f t="shared" ref="Q9:Q15" si="6">B9</f>
        <v>用途</v>
      </c>
      <c r="R9" s="1341" t="s">
        <v>63</v>
      </c>
      <c r="S9" s="1342">
        <f t="shared" si="0"/>
        <v>100</v>
      </c>
      <c r="T9" s="1341" t="s">
        <v>63</v>
      </c>
      <c r="U9" s="1342">
        <f t="shared" si="1"/>
        <v>100</v>
      </c>
      <c r="V9" s="1341" t="s">
        <v>63</v>
      </c>
      <c r="W9" s="1342">
        <f t="shared" si="2"/>
        <v>100</v>
      </c>
      <c r="X9" s="287"/>
      <c r="Y9" s="3625" t="s">
        <v>65</v>
      </c>
      <c r="Z9" s="288" t="str">
        <f t="shared" ref="Z9:Z15" si="7">Q9</f>
        <v>用途</v>
      </c>
      <c r="AA9" s="1343">
        <f t="shared" si="3"/>
        <v>1</v>
      </c>
      <c r="AB9" s="1343">
        <f t="shared" si="4"/>
        <v>1</v>
      </c>
      <c r="AC9" s="1343">
        <f t="shared" si="5"/>
        <v>1</v>
      </c>
    </row>
    <row r="10" spans="1:29" s="92" customFormat="1" ht="27">
      <c r="A10" s="150"/>
      <c r="B10" s="12" t="s">
        <v>104</v>
      </c>
      <c r="C10" s="1348" t="s">
        <v>3894</v>
      </c>
      <c r="D10" s="426">
        <v>100</v>
      </c>
      <c r="E10" s="1349" t="s">
        <v>3894</v>
      </c>
      <c r="F10" s="767">
        <f>SUMIF(65:65,E10,66:66)-SUMIF(65:65,C10,66:66)+100</f>
        <v>100</v>
      </c>
      <c r="G10" s="1348" t="s">
        <v>3894</v>
      </c>
      <c r="H10" s="426">
        <f>SUMIF(65:65,G10,66:66)-SUMIF(65:65,C10,66:66)+100</f>
        <v>100</v>
      </c>
      <c r="I10" s="1348" t="s">
        <v>3894</v>
      </c>
      <c r="J10" s="426">
        <f>SUMIF(65:65,I10,66:66)-SUMIF(65:65,C10,66:66)+100</f>
        <v>100</v>
      </c>
      <c r="K10" s="954"/>
      <c r="L10" s="2294"/>
      <c r="M10" s="2295"/>
      <c r="N10" s="2295"/>
      <c r="O10" s="2295"/>
      <c r="P10" s="3801"/>
      <c r="Q10" s="7" t="str">
        <f t="shared" si="6"/>
        <v>土地使用年限（年）</v>
      </c>
      <c r="R10" s="1341" t="s">
        <v>63</v>
      </c>
      <c r="S10" s="1342">
        <f t="shared" si="0"/>
        <v>100</v>
      </c>
      <c r="T10" s="1341" t="s">
        <v>63</v>
      </c>
      <c r="U10" s="1342">
        <f t="shared" si="1"/>
        <v>100</v>
      </c>
      <c r="V10" s="1341" t="s">
        <v>63</v>
      </c>
      <c r="W10" s="1342">
        <f t="shared" si="2"/>
        <v>100</v>
      </c>
      <c r="X10" s="287"/>
      <c r="Y10" s="3625"/>
      <c r="Z10" s="288" t="str">
        <f t="shared" si="7"/>
        <v>土地使用年限（年）</v>
      </c>
      <c r="AA10" s="1343">
        <f t="shared" si="3"/>
        <v>1</v>
      </c>
      <c r="AB10" s="1343">
        <f t="shared" si="4"/>
        <v>1</v>
      </c>
      <c r="AC10" s="1343">
        <f t="shared" si="5"/>
        <v>1</v>
      </c>
    </row>
    <row r="11" spans="1:29" ht="15.75" thickBot="1">
      <c r="A11" s="151"/>
      <c r="B11" s="12" t="s">
        <v>91</v>
      </c>
      <c r="C11" s="771">
        <f>'数据-汇总表'!I4</f>
        <v>2.35</v>
      </c>
      <c r="D11" s="426">
        <v>100</v>
      </c>
      <c r="E11" s="772">
        <v>2.4900000000000002</v>
      </c>
      <c r="F11" s="767">
        <f>LOOKUP(E11,68:68,69:69)-LOOKUP(C11,68:68,69:69)+100</f>
        <v>100</v>
      </c>
      <c r="G11" s="771">
        <v>2.5</v>
      </c>
      <c r="H11" s="426">
        <f>LOOKUP(G11,68:68,69:69)-LOOKUP(C11,68:68,69:69)+100</f>
        <v>100</v>
      </c>
      <c r="I11" s="771">
        <v>3.3</v>
      </c>
      <c r="J11" s="426">
        <f>LOOKUP(I11,68:68,69:69)-LOOKUP(C11,68:68,69:69)+100</f>
        <v>100</v>
      </c>
      <c r="K11" s="954">
        <v>1</v>
      </c>
      <c r="L11" s="2296"/>
      <c r="M11" s="2292"/>
      <c r="N11" s="2292"/>
      <c r="O11" s="2292"/>
      <c r="P11" s="3801"/>
      <c r="Q11" s="7" t="str">
        <f t="shared" si="6"/>
        <v>容积率</v>
      </c>
      <c r="R11" s="1341" t="s">
        <v>63</v>
      </c>
      <c r="S11" s="1342">
        <f t="shared" si="0"/>
        <v>100</v>
      </c>
      <c r="T11" s="1341" t="s">
        <v>63</v>
      </c>
      <c r="U11" s="1342">
        <f t="shared" si="1"/>
        <v>100</v>
      </c>
      <c r="V11" s="1341" t="s">
        <v>63</v>
      </c>
      <c r="W11" s="1342">
        <f t="shared" si="2"/>
        <v>100</v>
      </c>
      <c r="X11" s="287"/>
      <c r="Y11" s="3625"/>
      <c r="Z11" s="288" t="str">
        <f t="shared" si="7"/>
        <v>容积率</v>
      </c>
      <c r="AA11" s="1343">
        <f t="shared" si="3"/>
        <v>1</v>
      </c>
      <c r="AB11" s="1343">
        <f t="shared" si="4"/>
        <v>1</v>
      </c>
      <c r="AC11" s="1343">
        <f t="shared" si="5"/>
        <v>1</v>
      </c>
    </row>
    <row r="12" spans="1:29" s="40" customFormat="1" ht="14.25" hidden="1">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801"/>
      <c r="Q12" s="7">
        <f t="shared" si="6"/>
        <v>111</v>
      </c>
      <c r="R12" s="1341" t="s">
        <v>63</v>
      </c>
      <c r="S12" s="1342">
        <f t="shared" si="0"/>
        <v>100</v>
      </c>
      <c r="T12" s="1341" t="s">
        <v>63</v>
      </c>
      <c r="U12" s="1342">
        <f t="shared" si="1"/>
        <v>100</v>
      </c>
      <c r="V12" s="1341" t="s">
        <v>63</v>
      </c>
      <c r="W12" s="1342">
        <f t="shared" si="2"/>
        <v>100</v>
      </c>
      <c r="X12" s="287"/>
      <c r="Y12" s="3625"/>
      <c r="Z12" s="288">
        <f t="shared" si="7"/>
        <v>111</v>
      </c>
      <c r="AA12" s="1343">
        <f>D12/F12</f>
        <v>1</v>
      </c>
      <c r="AB12" s="1343">
        <f>D12/H12</f>
        <v>1</v>
      </c>
      <c r="AC12" s="1343">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801"/>
      <c r="Q13" s="7">
        <f t="shared" si="6"/>
        <v>111</v>
      </c>
      <c r="R13" s="1341" t="s">
        <v>63</v>
      </c>
      <c r="S13" s="1342">
        <f t="shared" si="0"/>
        <v>100</v>
      </c>
      <c r="T13" s="1341" t="s">
        <v>63</v>
      </c>
      <c r="U13" s="1342">
        <f t="shared" si="1"/>
        <v>100</v>
      </c>
      <c r="V13" s="1341" t="s">
        <v>63</v>
      </c>
      <c r="W13" s="1342">
        <f t="shared" si="2"/>
        <v>100</v>
      </c>
      <c r="X13" s="287"/>
      <c r="Y13" s="3625"/>
      <c r="Z13" s="288">
        <f t="shared" si="7"/>
        <v>111</v>
      </c>
      <c r="AA13" s="1343">
        <f t="shared" si="3"/>
        <v>1</v>
      </c>
      <c r="AB13" s="1343">
        <f t="shared" si="4"/>
        <v>1</v>
      </c>
      <c r="AC13" s="1343">
        <f t="shared" si="5"/>
        <v>1</v>
      </c>
    </row>
    <row r="14" spans="1:29" ht="15" hidden="1"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801"/>
      <c r="Q14" s="7">
        <f t="shared" si="6"/>
        <v>111</v>
      </c>
      <c r="R14" s="1341" t="s">
        <v>63</v>
      </c>
      <c r="S14" s="1342">
        <f t="shared" si="0"/>
        <v>100</v>
      </c>
      <c r="T14" s="1341" t="s">
        <v>63</v>
      </c>
      <c r="U14" s="1342">
        <f t="shared" si="1"/>
        <v>100</v>
      </c>
      <c r="V14" s="1341" t="s">
        <v>63</v>
      </c>
      <c r="W14" s="1342">
        <f t="shared" si="2"/>
        <v>100</v>
      </c>
      <c r="X14" s="287"/>
      <c r="Y14" s="3625"/>
      <c r="Z14" s="288">
        <f t="shared" si="7"/>
        <v>111</v>
      </c>
      <c r="AA14" s="1343">
        <f t="shared" si="3"/>
        <v>1</v>
      </c>
      <c r="AB14" s="1343">
        <f t="shared" si="4"/>
        <v>1</v>
      </c>
      <c r="AC14" s="1343">
        <f t="shared" si="5"/>
        <v>1</v>
      </c>
    </row>
    <row r="15" spans="1:29" ht="67.5">
      <c r="A15" s="155" t="s">
        <v>67</v>
      </c>
      <c r="B15" s="58" t="s">
        <v>128</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v>2</v>
      </c>
      <c r="L15" s="2297"/>
      <c r="M15" s="2292"/>
      <c r="N15" s="2292"/>
      <c r="O15" s="2292"/>
      <c r="P15" s="3828" t="s">
        <v>67</v>
      </c>
      <c r="Q15" s="1350" t="str">
        <f t="shared" si="6"/>
        <v>商业繁华度</v>
      </c>
      <c r="R15" s="1351" t="s">
        <v>63</v>
      </c>
      <c r="S15" s="1352">
        <f t="shared" si="0"/>
        <v>100</v>
      </c>
      <c r="T15" s="1351" t="s">
        <v>63</v>
      </c>
      <c r="U15" s="1352">
        <f t="shared" si="1"/>
        <v>100</v>
      </c>
      <c r="V15" s="1351" t="s">
        <v>63</v>
      </c>
      <c r="W15" s="1352">
        <f t="shared" si="2"/>
        <v>100</v>
      </c>
      <c r="X15" s="1339"/>
      <c r="Y15" s="3821" t="s">
        <v>67</v>
      </c>
      <c r="Z15" s="1353" t="str">
        <f t="shared" si="7"/>
        <v>商业繁华度</v>
      </c>
      <c r="AA15" s="1354">
        <f t="shared" si="3"/>
        <v>1</v>
      </c>
      <c r="AB15" s="1354">
        <f t="shared" si="4"/>
        <v>1</v>
      </c>
      <c r="AC15" s="1354">
        <f t="shared" si="5"/>
        <v>1</v>
      </c>
    </row>
    <row r="16" spans="1:29" ht="14.25">
      <c r="A16" s="151"/>
      <c r="B16" s="156"/>
      <c r="C16" s="97" t="s">
        <v>3852</v>
      </c>
      <c r="D16" s="790"/>
      <c r="E16" s="97" t="s">
        <v>3852</v>
      </c>
      <c r="F16" s="791"/>
      <c r="G16" s="97" t="s">
        <v>3852</v>
      </c>
      <c r="H16" s="792"/>
      <c r="I16" s="97" t="s">
        <v>3852</v>
      </c>
      <c r="J16" s="790"/>
      <c r="K16" s="189"/>
      <c r="L16" s="2297"/>
      <c r="M16" s="2292"/>
      <c r="N16" s="2292"/>
      <c r="O16" s="2292"/>
      <c r="P16" s="3829"/>
      <c r="Q16" s="1350"/>
      <c r="R16" s="1351"/>
      <c r="S16" s="1352"/>
      <c r="T16" s="1351"/>
      <c r="U16" s="1352"/>
      <c r="V16" s="1351"/>
      <c r="W16" s="1352"/>
      <c r="X16" s="1339"/>
      <c r="Y16" s="3822"/>
      <c r="Z16" s="1353"/>
      <c r="AA16" s="1354">
        <v>1</v>
      </c>
      <c r="AB16" s="1354">
        <v>1</v>
      </c>
      <c r="AC16" s="1354">
        <v>1</v>
      </c>
    </row>
    <row r="17" spans="1:29" ht="81">
      <c r="A17" s="151"/>
      <c r="B17" s="1355" t="s">
        <v>70</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2</v>
      </c>
      <c r="L17" s="2297"/>
      <c r="M17" s="2292"/>
      <c r="N17" s="2292"/>
      <c r="O17" s="2292"/>
      <c r="P17" s="3829"/>
      <c r="Q17" s="1350" t="str">
        <f>B17</f>
        <v>交通便捷度</v>
      </c>
      <c r="R17" s="1351" t="s">
        <v>63</v>
      </c>
      <c r="S17" s="1352">
        <f>F17</f>
        <v>100</v>
      </c>
      <c r="T17" s="1351" t="s">
        <v>63</v>
      </c>
      <c r="U17" s="1352">
        <f>H17</f>
        <v>100</v>
      </c>
      <c r="V17" s="1351" t="s">
        <v>63</v>
      </c>
      <c r="W17" s="1352">
        <f>J17</f>
        <v>100</v>
      </c>
      <c r="X17" s="1339"/>
      <c r="Y17" s="3822"/>
      <c r="Z17" s="1353" t="str">
        <f>Q17</f>
        <v>交通便捷度</v>
      </c>
      <c r="AA17" s="1354">
        <f t="shared" si="3"/>
        <v>1</v>
      </c>
      <c r="AB17" s="1354">
        <f t="shared" si="4"/>
        <v>1</v>
      </c>
      <c r="AC17" s="1354">
        <f t="shared" si="5"/>
        <v>1</v>
      </c>
    </row>
    <row r="18" spans="1:29" ht="14.25">
      <c r="A18" s="151"/>
      <c r="B18" s="1039"/>
      <c r="C18" s="102" t="s">
        <v>3852</v>
      </c>
      <c r="D18" s="792"/>
      <c r="E18" s="103" t="s">
        <v>3852</v>
      </c>
      <c r="F18" s="795"/>
      <c r="G18" s="104" t="s">
        <v>3852</v>
      </c>
      <c r="H18" s="790"/>
      <c r="I18" s="103" t="s">
        <v>3852</v>
      </c>
      <c r="J18" s="790"/>
      <c r="K18" s="189"/>
      <c r="L18" s="2297"/>
      <c r="M18" s="2292"/>
      <c r="N18" s="2292"/>
      <c r="O18" s="2292"/>
      <c r="P18" s="3829"/>
      <c r="Q18" s="1350"/>
      <c r="R18" s="1351"/>
      <c r="S18" s="1352"/>
      <c r="T18" s="1351"/>
      <c r="U18" s="1352"/>
      <c r="V18" s="1351"/>
      <c r="W18" s="1352"/>
      <c r="X18" s="1339"/>
      <c r="Y18" s="3822"/>
      <c r="Z18" s="1353"/>
      <c r="AA18" s="1354">
        <v>1</v>
      </c>
      <c r="AB18" s="1354">
        <v>1</v>
      </c>
      <c r="AC18" s="1354">
        <v>1</v>
      </c>
    </row>
    <row r="19" spans="1:29" ht="40.5">
      <c r="A19" s="151"/>
      <c r="B19" s="1355" t="s">
        <v>2648</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98</v>
      </c>
      <c r="K19" s="956">
        <v>2</v>
      </c>
      <c r="L19" s="2297"/>
      <c r="M19" s="2292"/>
      <c r="N19" s="2292"/>
      <c r="O19" s="2292"/>
      <c r="P19" s="3829"/>
      <c r="Q19" s="1350" t="str">
        <f>B19</f>
        <v>公共配套设施</v>
      </c>
      <c r="R19" s="1351" t="s">
        <v>63</v>
      </c>
      <c r="S19" s="1352">
        <f>F19</f>
        <v>100</v>
      </c>
      <c r="T19" s="1351" t="s">
        <v>63</v>
      </c>
      <c r="U19" s="1352">
        <f>H19</f>
        <v>100</v>
      </c>
      <c r="V19" s="1351" t="s">
        <v>63</v>
      </c>
      <c r="W19" s="1352">
        <f>J19</f>
        <v>98</v>
      </c>
      <c r="X19" s="1339"/>
      <c r="Y19" s="3822"/>
      <c r="Z19" s="1353" t="str">
        <f>Q19</f>
        <v>公共配套设施</v>
      </c>
      <c r="AA19" s="1354">
        <f t="shared" si="3"/>
        <v>1</v>
      </c>
      <c r="AB19" s="1354">
        <f t="shared" si="4"/>
        <v>1</v>
      </c>
      <c r="AC19" s="1354">
        <f t="shared" si="5"/>
        <v>1.0204081632653061</v>
      </c>
    </row>
    <row r="20" spans="1:29" ht="14.25">
      <c r="A20" s="151"/>
      <c r="B20" s="1039"/>
      <c r="C20" s="97" t="s">
        <v>3852</v>
      </c>
      <c r="D20" s="790"/>
      <c r="E20" s="98" t="s">
        <v>3852</v>
      </c>
      <c r="F20" s="791"/>
      <c r="G20" s="99" t="s">
        <v>3852</v>
      </c>
      <c r="H20" s="790"/>
      <c r="I20" s="98" t="s">
        <v>3861</v>
      </c>
      <c r="J20" s="790"/>
      <c r="K20" s="189"/>
      <c r="L20" s="2297"/>
      <c r="M20" s="2292"/>
      <c r="N20" s="2292"/>
      <c r="O20" s="2292"/>
      <c r="P20" s="3829"/>
      <c r="Q20" s="1350"/>
      <c r="R20" s="1351"/>
      <c r="S20" s="1352"/>
      <c r="T20" s="1351"/>
      <c r="U20" s="1352"/>
      <c r="V20" s="1351"/>
      <c r="W20" s="1352"/>
      <c r="X20" s="1339"/>
      <c r="Y20" s="3822"/>
      <c r="Z20" s="1353"/>
      <c r="AA20" s="1354">
        <v>1</v>
      </c>
      <c r="AB20" s="1354">
        <v>1</v>
      </c>
      <c r="AC20" s="1354">
        <v>1</v>
      </c>
    </row>
    <row r="21" spans="1:29" ht="27">
      <c r="A21" s="151"/>
      <c r="B21" s="1411" t="s">
        <v>2649</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1</v>
      </c>
      <c r="L21" s="2297"/>
      <c r="M21" s="2292"/>
      <c r="N21" s="2292"/>
      <c r="O21" s="2292"/>
      <c r="P21" s="3829"/>
      <c r="Q21" s="2742" t="str">
        <f>B21</f>
        <v>基础设施水平</v>
      </c>
      <c r="R21" s="1351" t="s">
        <v>63</v>
      </c>
      <c r="S21" s="1352">
        <f>F21</f>
        <v>100</v>
      </c>
      <c r="T21" s="1351" t="s">
        <v>63</v>
      </c>
      <c r="U21" s="1352">
        <f>H21</f>
        <v>100</v>
      </c>
      <c r="V21" s="1351" t="s">
        <v>63</v>
      </c>
      <c r="W21" s="1352">
        <f>J21</f>
        <v>100</v>
      </c>
      <c r="X21" s="2744"/>
      <c r="Y21" s="3822"/>
      <c r="Z21" s="2743" t="str">
        <f>Q21</f>
        <v>基础设施水平</v>
      </c>
      <c r="AA21" s="1354">
        <f t="shared" ref="AA21" si="8">D21/F21</f>
        <v>1</v>
      </c>
      <c r="AB21" s="1354">
        <f t="shared" ref="AB21" si="9">D21/H21</f>
        <v>1</v>
      </c>
      <c r="AC21" s="1354">
        <f t="shared" ref="AC21" si="10">D21/J21</f>
        <v>1</v>
      </c>
    </row>
    <row r="22" spans="1:29" ht="14.25">
      <c r="A22" s="151"/>
      <c r="B22" s="1411"/>
      <c r="C22" s="102" t="s">
        <v>3853</v>
      </c>
      <c r="D22" s="790"/>
      <c r="E22" s="97" t="s">
        <v>3853</v>
      </c>
      <c r="F22" s="791"/>
      <c r="G22" s="97" t="s">
        <v>3853</v>
      </c>
      <c r="H22" s="790"/>
      <c r="I22" s="97" t="s">
        <v>3853</v>
      </c>
      <c r="J22" s="790"/>
      <c r="K22" s="2762"/>
      <c r="L22" s="2297"/>
      <c r="M22" s="2292"/>
      <c r="N22" s="2292"/>
      <c r="O22" s="2292"/>
      <c r="P22" s="3829"/>
      <c r="Q22" s="2742"/>
      <c r="R22" s="1351"/>
      <c r="S22" s="1352"/>
      <c r="T22" s="1351"/>
      <c r="U22" s="1352"/>
      <c r="V22" s="1351"/>
      <c r="W22" s="1352"/>
      <c r="X22" s="2744"/>
      <c r="Y22" s="3822"/>
      <c r="Z22" s="2743"/>
      <c r="AA22" s="1354">
        <v>1</v>
      </c>
      <c r="AB22" s="1354">
        <v>1</v>
      </c>
      <c r="AC22" s="1354">
        <v>1</v>
      </c>
    </row>
    <row r="23" spans="1:29" ht="54">
      <c r="A23" s="151"/>
      <c r="B23" s="1355" t="s">
        <v>71</v>
      </c>
      <c r="C23" s="190" t="str">
        <f>估价对象房地状况!C9</f>
        <v>区域自然环境：；人文环境；综合评价环境状况一般</v>
      </c>
      <c r="D23" s="792">
        <v>100</v>
      </c>
      <c r="E23" s="100"/>
      <c r="F23" s="795">
        <f>SUMIF(84:84,E24,85:85)-SUMIF(84:84,C24,85:85)+100</f>
        <v>98</v>
      </c>
      <c r="G23" s="101"/>
      <c r="H23" s="792">
        <f>SUMIF(84:84,G24,85:85)-SUMIF(84:84,C24,85:85)+100</f>
        <v>98</v>
      </c>
      <c r="I23" s="100"/>
      <c r="J23" s="792">
        <f>SUMIF(84:84,I24,85:85)-SUMIF(84:84,C24,85:85)+100</f>
        <v>98</v>
      </c>
      <c r="K23" s="956">
        <v>2</v>
      </c>
      <c r="L23" s="2297"/>
      <c r="M23" s="2292"/>
      <c r="N23" s="2292"/>
      <c r="O23" s="2292"/>
      <c r="P23" s="3829"/>
      <c r="Q23" s="1350" t="str">
        <f>B23</f>
        <v>自然及人文环境</v>
      </c>
      <c r="R23" s="1351" t="s">
        <v>63</v>
      </c>
      <c r="S23" s="1352">
        <f>F23</f>
        <v>98</v>
      </c>
      <c r="T23" s="1351" t="s">
        <v>63</v>
      </c>
      <c r="U23" s="1352">
        <f>H23</f>
        <v>98</v>
      </c>
      <c r="V23" s="1351" t="s">
        <v>63</v>
      </c>
      <c r="W23" s="1352">
        <f>J23</f>
        <v>98</v>
      </c>
      <c r="X23" s="1339"/>
      <c r="Y23" s="3822"/>
      <c r="Z23" s="1353" t="str">
        <f>Q23</f>
        <v>自然及人文环境</v>
      </c>
      <c r="AA23" s="1354">
        <f t="shared" si="3"/>
        <v>1.0204081632653061</v>
      </c>
      <c r="AB23" s="1354">
        <f t="shared" si="4"/>
        <v>1.0204081632653061</v>
      </c>
      <c r="AC23" s="1354">
        <f t="shared" si="5"/>
        <v>1.0204081632653061</v>
      </c>
    </row>
    <row r="24" spans="1:29" ht="14.25">
      <c r="A24" s="151"/>
      <c r="B24" s="1039"/>
      <c r="C24" s="97" t="s">
        <v>3852</v>
      </c>
      <c r="D24" s="790"/>
      <c r="E24" s="98" t="s">
        <v>3861</v>
      </c>
      <c r="F24" s="791"/>
      <c r="G24" s="99" t="s">
        <v>3861</v>
      </c>
      <c r="H24" s="790"/>
      <c r="I24" s="98" t="s">
        <v>3861</v>
      </c>
      <c r="J24" s="790"/>
      <c r="K24" s="189"/>
      <c r="L24" s="2297"/>
      <c r="M24" s="2292"/>
      <c r="N24" s="2292"/>
      <c r="O24" s="2292"/>
      <c r="P24" s="3829"/>
      <c r="Q24" s="1350"/>
      <c r="R24" s="1351"/>
      <c r="S24" s="1352"/>
      <c r="T24" s="1351"/>
      <c r="U24" s="1352"/>
      <c r="V24" s="1351"/>
      <c r="W24" s="1352"/>
      <c r="X24" s="1339"/>
      <c r="Y24" s="3822"/>
      <c r="Z24" s="1353"/>
      <c r="AA24" s="1354">
        <v>1</v>
      </c>
      <c r="AB24" s="1354">
        <v>1</v>
      </c>
      <c r="AC24" s="1354">
        <v>1</v>
      </c>
    </row>
    <row r="25" spans="1:29" ht="15">
      <c r="A25" s="151"/>
      <c r="B25" s="12" t="s">
        <v>129</v>
      </c>
      <c r="C25" s="182" t="s">
        <v>3855</v>
      </c>
      <c r="D25" s="777">
        <v>100</v>
      </c>
      <c r="E25" s="182" t="s">
        <v>3857</v>
      </c>
      <c r="F25" s="803">
        <f>SUMIF(86:86,E25,87:87)-SUMIF(86:86,C25,87:87)+100</f>
        <v>98</v>
      </c>
      <c r="G25" s="182" t="s">
        <v>3857</v>
      </c>
      <c r="H25" s="777">
        <f>SUMIF(86:86,G25,87:87)-SUMIF(86:86,C25,87:87)+100</f>
        <v>98</v>
      </c>
      <c r="I25" s="182" t="s">
        <v>3857</v>
      </c>
      <c r="J25" s="777">
        <f>SUMIF(86:86,I25,87:87)-SUMIF(86:86,C25,87:87)+100</f>
        <v>98</v>
      </c>
      <c r="K25" s="954">
        <v>2</v>
      </c>
      <c r="L25" s="2297"/>
      <c r="M25" s="2292"/>
      <c r="N25" s="2292"/>
      <c r="O25" s="2292"/>
      <c r="P25" s="3829"/>
      <c r="Q25" s="1350" t="str">
        <f t="shared" ref="Q25:Q46" si="11">B25</f>
        <v>临街状况</v>
      </c>
      <c r="R25" s="1351" t="s">
        <v>63</v>
      </c>
      <c r="S25" s="1352">
        <f>F25</f>
        <v>98</v>
      </c>
      <c r="T25" s="1351" t="s">
        <v>63</v>
      </c>
      <c r="U25" s="1352">
        <f>H25</f>
        <v>98</v>
      </c>
      <c r="V25" s="1351" t="s">
        <v>63</v>
      </c>
      <c r="W25" s="1352">
        <f>J25</f>
        <v>98</v>
      </c>
      <c r="X25" s="1339"/>
      <c r="Y25" s="3822"/>
      <c r="Z25" s="1353" t="str">
        <f>Q25</f>
        <v>临街状况</v>
      </c>
      <c r="AA25" s="1354">
        <f t="shared" si="3"/>
        <v>1.0204081632653061</v>
      </c>
      <c r="AB25" s="1354">
        <f t="shared" si="4"/>
        <v>1.0204081632653061</v>
      </c>
      <c r="AC25" s="1354">
        <f t="shared" si="5"/>
        <v>1.0204081632653061</v>
      </c>
    </row>
    <row r="26" spans="1:29" ht="14.25">
      <c r="A26" s="151"/>
      <c r="B26" s="1356" t="s">
        <v>3851</v>
      </c>
      <c r="C26" s="93" t="s">
        <v>3860</v>
      </c>
      <c r="D26" s="777">
        <v>100</v>
      </c>
      <c r="E26" s="93" t="s">
        <v>3860</v>
      </c>
      <c r="F26" s="803">
        <f>SUMIF(88:88,E26,89:89)-SUMIF(88:88,C26,89:89)+100</f>
        <v>100</v>
      </c>
      <c r="G26" s="93" t="s">
        <v>3860</v>
      </c>
      <c r="H26" s="777">
        <f>SUMIF(88:88,G26,89:89)-SUMIF(88:88,C26,89:89)+100</f>
        <v>100</v>
      </c>
      <c r="I26" s="93" t="s">
        <v>3860</v>
      </c>
      <c r="J26" s="777">
        <f>SUMIF(88:88,I26,89:89)-SUMIF(88:88,C26,89:89)+100</f>
        <v>100</v>
      </c>
      <c r="K26" s="188"/>
      <c r="L26" s="2297"/>
      <c r="M26" s="2292"/>
      <c r="N26" s="2292"/>
      <c r="O26" s="2292"/>
      <c r="P26" s="3829"/>
      <c r="Q26" s="1350" t="str">
        <f t="shared" si="11"/>
        <v>可视性</v>
      </c>
      <c r="R26" s="1351" t="s">
        <v>63</v>
      </c>
      <c r="S26" s="1352">
        <f>F26</f>
        <v>100</v>
      </c>
      <c r="T26" s="1351" t="s">
        <v>63</v>
      </c>
      <c r="U26" s="1352">
        <f>H26</f>
        <v>100</v>
      </c>
      <c r="V26" s="1351" t="s">
        <v>63</v>
      </c>
      <c r="W26" s="1352">
        <f>J26</f>
        <v>100</v>
      </c>
      <c r="X26" s="1339"/>
      <c r="Y26" s="3822"/>
      <c r="Z26" s="1353" t="str">
        <f>Q26</f>
        <v>可视性</v>
      </c>
      <c r="AA26" s="1354">
        <f t="shared" si="3"/>
        <v>1</v>
      </c>
      <c r="AB26" s="1354">
        <f t="shared" si="4"/>
        <v>1</v>
      </c>
      <c r="AC26" s="1354">
        <f t="shared" si="5"/>
        <v>1</v>
      </c>
    </row>
    <row r="27" spans="1:29" s="40" customFormat="1" ht="15">
      <c r="A27" s="1029"/>
      <c r="B27" s="1355" t="s">
        <v>1025</v>
      </c>
      <c r="C27" s="1386" t="s">
        <v>3852</v>
      </c>
      <c r="D27" s="804">
        <v>100</v>
      </c>
      <c r="E27" s="1386" t="s">
        <v>3861</v>
      </c>
      <c r="F27" s="806">
        <f>SUMIF(90:90,E27,91:91)-SUMIF(90:90,C27,91:91)+100</f>
        <v>100</v>
      </c>
      <c r="G27" s="1386" t="s">
        <v>3861</v>
      </c>
      <c r="H27" s="804">
        <f>SUMIF(90:90,G27,91:91)-SUMIF(90:90,C27,91:91)+100</f>
        <v>100</v>
      </c>
      <c r="I27" s="1386" t="s">
        <v>3861</v>
      </c>
      <c r="J27" s="804">
        <f>SUMIF(90:90,I27,91:91)-SUMIF(90:90,C27,91:91)+100</f>
        <v>100</v>
      </c>
      <c r="K27" s="954"/>
      <c r="L27" s="2293"/>
      <c r="M27" s="2255"/>
      <c r="N27" s="2255"/>
      <c r="O27" s="2255"/>
      <c r="P27" s="3829"/>
      <c r="Q27" s="7" t="str">
        <f t="shared" si="11"/>
        <v>人流量</v>
      </c>
      <c r="R27" s="1341" t="s">
        <v>63</v>
      </c>
      <c r="S27" s="1342">
        <f>F27</f>
        <v>100</v>
      </c>
      <c r="T27" s="1341" t="s">
        <v>63</v>
      </c>
      <c r="U27" s="1342">
        <f>H27</f>
        <v>100</v>
      </c>
      <c r="V27" s="1341" t="s">
        <v>63</v>
      </c>
      <c r="W27" s="1342">
        <f>J27</f>
        <v>100</v>
      </c>
      <c r="X27" s="287"/>
      <c r="Y27" s="3822"/>
      <c r="Z27" s="288" t="str">
        <f>Q27</f>
        <v>人流量</v>
      </c>
      <c r="AA27" s="1354">
        <f>D27/F27</f>
        <v>1</v>
      </c>
      <c r="AB27" s="1354">
        <f>D27/H27</f>
        <v>1</v>
      </c>
      <c r="AC27" s="1354">
        <f>D27/J27</f>
        <v>1</v>
      </c>
    </row>
    <row r="28" spans="1:29" ht="15" thickBot="1">
      <c r="A28" s="151"/>
      <c r="B28" s="12" t="s">
        <v>130</v>
      </c>
      <c r="C28" s="182" t="s">
        <v>3865</v>
      </c>
      <c r="D28" s="777">
        <v>100</v>
      </c>
      <c r="E28" s="182" t="s">
        <v>3865</v>
      </c>
      <c r="F28" s="803">
        <f>SUMIF(92:92,E28,93:93)-SUMIF(92:92,C28,93:93)+100</f>
        <v>100</v>
      </c>
      <c r="G28" s="182" t="s">
        <v>3867</v>
      </c>
      <c r="H28" s="777">
        <f>SUMIF(92:92,G28,93:93)-SUMIF(92:92,C28,93:93)+100</f>
        <v>90</v>
      </c>
      <c r="I28" s="182" t="s">
        <v>3865</v>
      </c>
      <c r="J28" s="777">
        <f>SUMIF(92:92,I28,93:93)-SUMIF(92:92,C28,93:93)+100</f>
        <v>100</v>
      </c>
      <c r="K28" s="188"/>
      <c r="L28" s="2297"/>
      <c r="M28" s="2292"/>
      <c r="N28" s="2292"/>
      <c r="O28" s="2292"/>
      <c r="P28" s="3829"/>
      <c r="Q28" s="1350" t="str">
        <f t="shared" si="11"/>
        <v>楼层</v>
      </c>
      <c r="R28" s="1351" t="s">
        <v>63</v>
      </c>
      <c r="S28" s="1352">
        <f t="shared" ref="S28:S46" si="12">F28</f>
        <v>100</v>
      </c>
      <c r="T28" s="1351" t="s">
        <v>63</v>
      </c>
      <c r="U28" s="1352">
        <f t="shared" ref="U28:U46" si="13">H28</f>
        <v>90</v>
      </c>
      <c r="V28" s="1351" t="s">
        <v>63</v>
      </c>
      <c r="W28" s="1352">
        <f t="shared" ref="W28:W46" si="14">J28</f>
        <v>100</v>
      </c>
      <c r="X28" s="1339"/>
      <c r="Y28" s="3822"/>
      <c r="Z28" s="1353" t="str">
        <f t="shared" ref="Z28:Z46" si="15">Q28</f>
        <v>楼层</v>
      </c>
      <c r="AA28" s="1354">
        <f t="shared" si="3"/>
        <v>1</v>
      </c>
      <c r="AB28" s="1354">
        <f t="shared" si="4"/>
        <v>1.1111111111111112</v>
      </c>
      <c r="AC28" s="1354">
        <f t="shared" si="5"/>
        <v>1</v>
      </c>
    </row>
    <row r="29" spans="1:29" ht="14.25" hidden="1">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829"/>
      <c r="Q29" s="1350">
        <f t="shared" si="11"/>
        <v>111</v>
      </c>
      <c r="R29" s="1351" t="s">
        <v>63</v>
      </c>
      <c r="S29" s="1352">
        <f t="shared" si="12"/>
        <v>100</v>
      </c>
      <c r="T29" s="1351" t="s">
        <v>63</v>
      </c>
      <c r="U29" s="1352">
        <f t="shared" si="13"/>
        <v>100</v>
      </c>
      <c r="V29" s="1351" t="s">
        <v>63</v>
      </c>
      <c r="W29" s="1352">
        <f t="shared" si="14"/>
        <v>100</v>
      </c>
      <c r="X29" s="1339"/>
      <c r="Y29" s="3822"/>
      <c r="Z29" s="1353">
        <f t="shared" si="15"/>
        <v>111</v>
      </c>
      <c r="AA29" s="1354">
        <f t="shared" si="3"/>
        <v>1</v>
      </c>
      <c r="AB29" s="1354">
        <f t="shared" si="4"/>
        <v>1</v>
      </c>
      <c r="AC29" s="1354">
        <f t="shared" si="5"/>
        <v>1</v>
      </c>
    </row>
    <row r="30" spans="1:29" ht="14.25" hidden="1">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829"/>
      <c r="Q30" s="1350">
        <f t="shared" si="11"/>
        <v>111</v>
      </c>
      <c r="R30" s="1351" t="s">
        <v>63</v>
      </c>
      <c r="S30" s="1352">
        <f t="shared" si="12"/>
        <v>100</v>
      </c>
      <c r="T30" s="1351" t="s">
        <v>63</v>
      </c>
      <c r="U30" s="1352">
        <f t="shared" si="13"/>
        <v>100</v>
      </c>
      <c r="V30" s="1351" t="s">
        <v>63</v>
      </c>
      <c r="W30" s="1352">
        <f t="shared" si="14"/>
        <v>100</v>
      </c>
      <c r="X30" s="1339"/>
      <c r="Y30" s="3822"/>
      <c r="Z30" s="1353">
        <f t="shared" si="15"/>
        <v>111</v>
      </c>
      <c r="AA30" s="1354">
        <f t="shared" si="3"/>
        <v>1</v>
      </c>
      <c r="AB30" s="1354">
        <f t="shared" si="4"/>
        <v>1</v>
      </c>
      <c r="AC30" s="1354">
        <f t="shared" si="5"/>
        <v>1</v>
      </c>
    </row>
    <row r="31" spans="1:29" ht="15" hidden="1"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829"/>
      <c r="Q31" s="1350">
        <f t="shared" si="11"/>
        <v>111</v>
      </c>
      <c r="R31" s="1351" t="s">
        <v>63</v>
      </c>
      <c r="S31" s="1352">
        <f t="shared" si="12"/>
        <v>100</v>
      </c>
      <c r="T31" s="1351" t="s">
        <v>63</v>
      </c>
      <c r="U31" s="1352">
        <f t="shared" si="13"/>
        <v>100</v>
      </c>
      <c r="V31" s="1351" t="s">
        <v>63</v>
      </c>
      <c r="W31" s="1352">
        <f t="shared" si="14"/>
        <v>100</v>
      </c>
      <c r="X31" s="1339"/>
      <c r="Y31" s="3822"/>
      <c r="Z31" s="1353">
        <f t="shared" si="15"/>
        <v>111</v>
      </c>
      <c r="AA31" s="1354">
        <f t="shared" si="3"/>
        <v>1</v>
      </c>
      <c r="AB31" s="1354">
        <f t="shared" si="4"/>
        <v>1</v>
      </c>
      <c r="AC31" s="1354">
        <f t="shared" si="5"/>
        <v>1</v>
      </c>
    </row>
    <row r="32" spans="1:29" ht="15">
      <c r="A32" s="155" t="s">
        <v>1026</v>
      </c>
      <c r="B32" s="62" t="s">
        <v>1027</v>
      </c>
      <c r="C32" s="110" t="s">
        <v>3871</v>
      </c>
      <c r="D32" s="809">
        <v>100</v>
      </c>
      <c r="E32" s="110" t="s">
        <v>3871</v>
      </c>
      <c r="F32" s="803">
        <f>SUMIF(100:100,E32,101:101)-SUMIF(100:100,C32,101:101)+100</f>
        <v>100</v>
      </c>
      <c r="G32" s="110" t="s">
        <v>3871</v>
      </c>
      <c r="H32" s="777">
        <f>SUMIF(100:100,G32,101:101)-SUMIF(100:100,C32,101:101)+100</f>
        <v>100</v>
      </c>
      <c r="I32" s="110" t="s">
        <v>3871</v>
      </c>
      <c r="J32" s="809">
        <f>SUMIF(100:100,I32,101:101)-SUMIF(100:100,C32,101:101)+100</f>
        <v>100</v>
      </c>
      <c r="K32" s="954"/>
      <c r="L32" s="2297"/>
      <c r="M32" s="2292"/>
      <c r="N32" s="2292"/>
      <c r="O32" s="2292"/>
      <c r="P32" s="3823" t="s">
        <v>1028</v>
      </c>
      <c r="Q32" s="1350" t="str">
        <f t="shared" si="11"/>
        <v>商业类型</v>
      </c>
      <c r="R32" s="1351" t="s">
        <v>63</v>
      </c>
      <c r="S32" s="1352">
        <f t="shared" si="12"/>
        <v>100</v>
      </c>
      <c r="T32" s="1351" t="s">
        <v>63</v>
      </c>
      <c r="U32" s="1352">
        <f t="shared" si="13"/>
        <v>100</v>
      </c>
      <c r="V32" s="1351" t="s">
        <v>63</v>
      </c>
      <c r="W32" s="1352">
        <f t="shared" si="14"/>
        <v>100</v>
      </c>
      <c r="X32" s="1339"/>
      <c r="Y32" s="3826" t="s">
        <v>1028</v>
      </c>
      <c r="Z32" s="1353" t="str">
        <f t="shared" si="15"/>
        <v>商业类型</v>
      </c>
      <c r="AA32" s="1354">
        <f t="shared" si="3"/>
        <v>1</v>
      </c>
      <c r="AB32" s="1354">
        <f t="shared" si="4"/>
        <v>1</v>
      </c>
      <c r="AC32" s="1354">
        <f t="shared" si="5"/>
        <v>1</v>
      </c>
    </row>
    <row r="33" spans="1:29" s="1038" customFormat="1" ht="14.25">
      <c r="A33" s="1042"/>
      <c r="B33" s="12" t="s">
        <v>74</v>
      </c>
      <c r="C33" s="811">
        <f>'数据-基础表'!B3</f>
        <v>165498.45000000001</v>
      </c>
      <c r="D33" s="426">
        <v>100</v>
      </c>
      <c r="E33" s="772">
        <v>80126</v>
      </c>
      <c r="F33" s="767">
        <f>LOOKUP(E33,103:103,104:104)-LOOKUP(C33,103:103,104:104)+100</f>
        <v>99</v>
      </c>
      <c r="G33" s="771">
        <v>544289</v>
      </c>
      <c r="H33" s="426">
        <f>LOOKUP(G33,103:103,104:104)-LOOKUP(C33,103:103,104:104)+100</f>
        <v>104</v>
      </c>
      <c r="I33" s="771">
        <v>189474</v>
      </c>
      <c r="J33" s="426">
        <f>LOOKUP(I33,103:103,104:104)-LOOKUP(C33,103:103,104:104)+100</f>
        <v>100</v>
      </c>
      <c r="K33" s="188"/>
      <c r="L33" s="2296"/>
      <c r="M33" s="2298"/>
      <c r="N33" s="2298"/>
      <c r="O33" s="2298"/>
      <c r="P33" s="3824"/>
      <c r="Q33" s="1358" t="str">
        <f t="shared" si="11"/>
        <v>项目建筑规模</v>
      </c>
      <c r="R33" s="1359" t="s">
        <v>63</v>
      </c>
      <c r="S33" s="1360">
        <f t="shared" si="12"/>
        <v>99</v>
      </c>
      <c r="T33" s="1359" t="s">
        <v>63</v>
      </c>
      <c r="U33" s="1360">
        <f t="shared" si="13"/>
        <v>104</v>
      </c>
      <c r="V33" s="1359" t="s">
        <v>63</v>
      </c>
      <c r="W33" s="1360">
        <f t="shared" si="14"/>
        <v>100</v>
      </c>
      <c r="X33" s="1361"/>
      <c r="Y33" s="3826"/>
      <c r="Z33" s="1362" t="str">
        <f t="shared" si="15"/>
        <v>项目建筑规模</v>
      </c>
      <c r="AA33" s="1354">
        <f t="shared" si="3"/>
        <v>1.0101010101010102</v>
      </c>
      <c r="AB33" s="1354">
        <f t="shared" si="4"/>
        <v>0.96153846153846156</v>
      </c>
      <c r="AC33" s="1354">
        <f t="shared" si="5"/>
        <v>1</v>
      </c>
    </row>
    <row r="34" spans="1:29" ht="15">
      <c r="A34" s="161"/>
      <c r="B34" s="12" t="s">
        <v>75</v>
      </c>
      <c r="C34" s="112" t="s">
        <v>3874</v>
      </c>
      <c r="D34" s="777">
        <v>100</v>
      </c>
      <c r="E34" s="112" t="s">
        <v>3874</v>
      </c>
      <c r="F34" s="803">
        <f>SUMIF(105:105,E34,106:106)-SUMIF(105:105,C34,106:106)+100</f>
        <v>100</v>
      </c>
      <c r="G34" s="112" t="s">
        <v>3874</v>
      </c>
      <c r="H34" s="777">
        <f>SUMIF(105:105,G34,106:106)-SUMIF(105:105,C34,106:106)+100</f>
        <v>100</v>
      </c>
      <c r="I34" s="112" t="s">
        <v>3874</v>
      </c>
      <c r="J34" s="777">
        <f>SUMIF(105:105,I34,106:106)-SUMIF(105:105,C34,106:106)+100</f>
        <v>100</v>
      </c>
      <c r="K34" s="954"/>
      <c r="L34" s="2297"/>
      <c r="M34" s="2292"/>
      <c r="N34" s="2292"/>
      <c r="O34" s="2292"/>
      <c r="P34" s="3824"/>
      <c r="Q34" s="1350" t="str">
        <f t="shared" si="11"/>
        <v>建筑结构</v>
      </c>
      <c r="R34" s="1351" t="s">
        <v>63</v>
      </c>
      <c r="S34" s="1352">
        <f t="shared" si="12"/>
        <v>100</v>
      </c>
      <c r="T34" s="1351" t="s">
        <v>63</v>
      </c>
      <c r="U34" s="1352">
        <f t="shared" si="13"/>
        <v>100</v>
      </c>
      <c r="V34" s="1351" t="s">
        <v>63</v>
      </c>
      <c r="W34" s="1352">
        <f t="shared" si="14"/>
        <v>100</v>
      </c>
      <c r="X34" s="1339"/>
      <c r="Y34" s="3826"/>
      <c r="Z34" s="1353" t="str">
        <f t="shared" si="15"/>
        <v>建筑结构</v>
      </c>
      <c r="AA34" s="1354">
        <f t="shared" si="3"/>
        <v>1</v>
      </c>
      <c r="AB34" s="1354">
        <f t="shared" si="4"/>
        <v>1</v>
      </c>
      <c r="AC34" s="1354">
        <f t="shared" si="5"/>
        <v>1</v>
      </c>
    </row>
    <row r="35" spans="1:29" ht="15">
      <c r="A35" s="161"/>
      <c r="B35" s="12" t="s">
        <v>1029</v>
      </c>
      <c r="C35" s="109" t="s">
        <v>3883</v>
      </c>
      <c r="D35" s="777">
        <v>100</v>
      </c>
      <c r="E35" s="109" t="s">
        <v>3883</v>
      </c>
      <c r="F35" s="803">
        <f>SUMIF(107:107,E35,108:108)-SUMIF(107:107,C35,108:108)+100</f>
        <v>100</v>
      </c>
      <c r="G35" s="109" t="s">
        <v>3883</v>
      </c>
      <c r="H35" s="777">
        <f>SUMIF(107:107,G35,108:108)-SUMIF(107:107,C35,108:108)+100</f>
        <v>100</v>
      </c>
      <c r="I35" s="109" t="s">
        <v>3883</v>
      </c>
      <c r="J35" s="777">
        <f>SUMIF(107:107,I35,108:108)-SUMIF(107:107,C35,108:108)+100</f>
        <v>100</v>
      </c>
      <c r="K35" s="954"/>
      <c r="L35" s="2297"/>
      <c r="M35" s="2292"/>
      <c r="N35" s="2292"/>
      <c r="O35" s="2292"/>
      <c r="P35" s="3824"/>
      <c r="Q35" s="1350" t="str">
        <f t="shared" si="11"/>
        <v>公共部分装修</v>
      </c>
      <c r="R35" s="1351" t="s">
        <v>63</v>
      </c>
      <c r="S35" s="1352">
        <f t="shared" si="12"/>
        <v>100</v>
      </c>
      <c r="T35" s="1351" t="s">
        <v>63</v>
      </c>
      <c r="U35" s="1352">
        <f t="shared" si="13"/>
        <v>100</v>
      </c>
      <c r="V35" s="1351" t="s">
        <v>63</v>
      </c>
      <c r="W35" s="1352">
        <f t="shared" si="14"/>
        <v>100</v>
      </c>
      <c r="X35" s="1339"/>
      <c r="Y35" s="3826"/>
      <c r="Z35" s="1353" t="str">
        <f t="shared" si="15"/>
        <v>公共部分装修</v>
      </c>
      <c r="AA35" s="1354">
        <f t="shared" si="3"/>
        <v>1</v>
      </c>
      <c r="AB35" s="1354">
        <f t="shared" si="4"/>
        <v>1</v>
      </c>
      <c r="AC35" s="1354">
        <f t="shared" si="5"/>
        <v>1</v>
      </c>
    </row>
    <row r="36" spans="1:29" ht="15">
      <c r="A36" s="161"/>
      <c r="B36" s="12" t="s">
        <v>1030</v>
      </c>
      <c r="C36" s="816">
        <v>0.97</v>
      </c>
      <c r="D36" s="777">
        <v>100</v>
      </c>
      <c r="E36" s="816">
        <v>0.98</v>
      </c>
      <c r="F36" s="803">
        <f>LOOKUP(E36,110:110,111:111)-LOOKUP(C36,110:110,111:111)+100</f>
        <v>100</v>
      </c>
      <c r="G36" s="816">
        <v>0.98</v>
      </c>
      <c r="H36" s="803">
        <f>LOOKUP(G36,110:110,111:111)-LOOKUP(C36,110:110,111:111)+100</f>
        <v>100</v>
      </c>
      <c r="I36" s="816">
        <v>0.98</v>
      </c>
      <c r="J36" s="777">
        <f>LOOKUP(I36,110:110,111:111)-LOOKUP(C36,110:110,111:111)+100</f>
        <v>100</v>
      </c>
      <c r="K36" s="954"/>
      <c r="L36" s="2297"/>
      <c r="M36" s="2292"/>
      <c r="N36" s="2292"/>
      <c r="O36" s="2292"/>
      <c r="P36" s="3824"/>
      <c r="Q36" s="1350" t="str">
        <f t="shared" si="11"/>
        <v>成新度</v>
      </c>
      <c r="R36" s="1351" t="s">
        <v>63</v>
      </c>
      <c r="S36" s="1352">
        <f t="shared" si="12"/>
        <v>100</v>
      </c>
      <c r="T36" s="1351" t="s">
        <v>63</v>
      </c>
      <c r="U36" s="1352">
        <f t="shared" si="13"/>
        <v>100</v>
      </c>
      <c r="V36" s="1351" t="s">
        <v>63</v>
      </c>
      <c r="W36" s="1352">
        <f t="shared" si="14"/>
        <v>100</v>
      </c>
      <c r="X36" s="1339"/>
      <c r="Y36" s="3826"/>
      <c r="Z36" s="1353" t="str">
        <f t="shared" si="15"/>
        <v>成新度</v>
      </c>
      <c r="AA36" s="1354">
        <f t="shared" si="3"/>
        <v>1</v>
      </c>
      <c r="AB36" s="1354">
        <f t="shared" si="4"/>
        <v>1</v>
      </c>
      <c r="AC36" s="1354">
        <f t="shared" si="5"/>
        <v>1</v>
      </c>
    </row>
    <row r="37" spans="1:29" s="40" customFormat="1" ht="15">
      <c r="A37" s="1040"/>
      <c r="B37" s="12" t="s">
        <v>2650</v>
      </c>
      <c r="C37" s="109" t="s">
        <v>3853</v>
      </c>
      <c r="D37" s="426">
        <v>100</v>
      </c>
      <c r="E37" s="109" t="s">
        <v>3853</v>
      </c>
      <c r="F37" s="803">
        <f>SUMIF(112:112,E37,113:113)-SUMIF(112:112,C37,113:113)+100</f>
        <v>100</v>
      </c>
      <c r="G37" s="109" t="s">
        <v>3853</v>
      </c>
      <c r="H37" s="777">
        <f>SUMIF(112:112,G37,113:113)-SUMIF(112:112,C37,113:113)+100</f>
        <v>100</v>
      </c>
      <c r="I37" s="109" t="s">
        <v>3853</v>
      </c>
      <c r="J37" s="777">
        <f>SUMIF(112:112,I37,113:113)-SUMIF(112:112,C37,113:113)+100</f>
        <v>100</v>
      </c>
      <c r="K37" s="954"/>
      <c r="L37" s="2293"/>
      <c r="M37" s="2255"/>
      <c r="N37" s="2255"/>
      <c r="O37" s="2255"/>
      <c r="P37" s="3824"/>
      <c r="Q37" s="7" t="str">
        <f t="shared" si="11"/>
        <v>市政基础设施</v>
      </c>
      <c r="R37" s="1341" t="s">
        <v>63</v>
      </c>
      <c r="S37" s="1342">
        <f t="shared" si="12"/>
        <v>100</v>
      </c>
      <c r="T37" s="1341" t="s">
        <v>63</v>
      </c>
      <c r="U37" s="1342">
        <f t="shared" si="13"/>
        <v>100</v>
      </c>
      <c r="V37" s="1341" t="s">
        <v>63</v>
      </c>
      <c r="W37" s="1342">
        <f t="shared" si="14"/>
        <v>100</v>
      </c>
      <c r="X37" s="287"/>
      <c r="Y37" s="3826"/>
      <c r="Z37" s="288" t="str">
        <f t="shared" si="15"/>
        <v>市政基础设施</v>
      </c>
      <c r="AA37" s="1343">
        <f t="shared" si="3"/>
        <v>1</v>
      </c>
      <c r="AB37" s="1343">
        <f t="shared" si="4"/>
        <v>1</v>
      </c>
      <c r="AC37" s="1343">
        <f t="shared" si="5"/>
        <v>1</v>
      </c>
    </row>
    <row r="38" spans="1:29" ht="15" hidden="1">
      <c r="A38" s="161"/>
      <c r="B38" s="12" t="s">
        <v>133</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7"/>
      <c r="M38" s="2292"/>
      <c r="N38" s="2292"/>
      <c r="O38" s="2292"/>
      <c r="P38" s="3824" t="s">
        <v>1031</v>
      </c>
      <c r="Q38" s="1350" t="str">
        <f t="shared" si="11"/>
        <v>业态</v>
      </c>
      <c r="R38" s="1351" t="s">
        <v>63</v>
      </c>
      <c r="S38" s="1352">
        <f t="shared" si="12"/>
        <v>100</v>
      </c>
      <c r="T38" s="1351" t="s">
        <v>63</v>
      </c>
      <c r="U38" s="1352">
        <f t="shared" si="13"/>
        <v>100</v>
      </c>
      <c r="V38" s="1351" t="s">
        <v>63</v>
      </c>
      <c r="W38" s="1352">
        <f t="shared" si="14"/>
        <v>100</v>
      </c>
      <c r="X38" s="1339"/>
      <c r="Y38" s="3826" t="s">
        <v>1031</v>
      </c>
      <c r="Z38" s="1353" t="str">
        <f t="shared" si="15"/>
        <v>业态</v>
      </c>
      <c r="AA38" s="1354">
        <f t="shared" si="3"/>
        <v>1</v>
      </c>
      <c r="AB38" s="1354">
        <f t="shared" si="4"/>
        <v>1</v>
      </c>
      <c r="AC38" s="1354">
        <f t="shared" si="5"/>
        <v>1</v>
      </c>
    </row>
    <row r="39" spans="1:29" ht="15">
      <c r="A39" s="161"/>
      <c r="B39" s="12" t="s">
        <v>1032</v>
      </c>
      <c r="C39" s="109" t="s">
        <v>3889</v>
      </c>
      <c r="D39" s="777">
        <v>100</v>
      </c>
      <c r="E39" s="109" t="s">
        <v>3889</v>
      </c>
      <c r="F39" s="803">
        <f>SUMIF(116:116,E39,117:117)-SUMIF(116:116,C39,117:117)+100</f>
        <v>100</v>
      </c>
      <c r="G39" s="109" t="s">
        <v>3889</v>
      </c>
      <c r="H39" s="777">
        <f>SUMIF(116:116,G39,117:117)-SUMIF(116:116,C39,117:117)+100</f>
        <v>100</v>
      </c>
      <c r="I39" s="109" t="s">
        <v>3889</v>
      </c>
      <c r="J39" s="777">
        <f>SUMIF(116:116,I39,117:117)-SUMIF(116:116,C39,117:117)+100</f>
        <v>100</v>
      </c>
      <c r="K39" s="954">
        <v>5</v>
      </c>
      <c r="L39" s="2297"/>
      <c r="M39" s="2292"/>
      <c r="N39" s="2292"/>
      <c r="O39" s="2292"/>
      <c r="P39" s="3824"/>
      <c r="Q39" s="1350" t="str">
        <f t="shared" si="11"/>
        <v>层高</v>
      </c>
      <c r="R39" s="1351" t="s">
        <v>63</v>
      </c>
      <c r="S39" s="1352">
        <f t="shared" si="12"/>
        <v>100</v>
      </c>
      <c r="T39" s="1351" t="s">
        <v>63</v>
      </c>
      <c r="U39" s="1352">
        <f t="shared" si="13"/>
        <v>100</v>
      </c>
      <c r="V39" s="1351" t="s">
        <v>63</v>
      </c>
      <c r="W39" s="1352">
        <f t="shared" si="14"/>
        <v>100</v>
      </c>
      <c r="X39" s="1339"/>
      <c r="Y39" s="3826"/>
      <c r="Z39" s="1353" t="str">
        <f t="shared" si="15"/>
        <v>层高</v>
      </c>
      <c r="AA39" s="1354">
        <f t="shared" si="3"/>
        <v>1</v>
      </c>
      <c r="AB39" s="1354">
        <f t="shared" si="4"/>
        <v>1</v>
      </c>
      <c r="AC39" s="1354">
        <f t="shared" si="5"/>
        <v>1</v>
      </c>
    </row>
    <row r="40" spans="1:29" ht="14.25">
      <c r="A40" s="161"/>
      <c r="B40" s="12" t="s">
        <v>1033</v>
      </c>
      <c r="C40" s="959" t="s">
        <v>3892</v>
      </c>
      <c r="D40" s="777">
        <v>100</v>
      </c>
      <c r="E40" s="960" t="s">
        <v>3892</v>
      </c>
      <c r="F40" s="803">
        <f>SUMIF(118:118,E40,119:119)-SUMIF(118:118,C40,119:119)+100</f>
        <v>100</v>
      </c>
      <c r="G40" s="960" t="s">
        <v>3892</v>
      </c>
      <c r="H40" s="777">
        <f>SUMIF(118:118,G40,119:119)-SUMIF(118:118,C40,119:119)+100</f>
        <v>100</v>
      </c>
      <c r="I40" s="960" t="s">
        <v>3892</v>
      </c>
      <c r="J40" s="777">
        <f>SUMIF(118:118,I40,119:119)-SUMIF(118:118,C40,119:119)+100</f>
        <v>100</v>
      </c>
      <c r="K40" s="188"/>
      <c r="L40" s="2297"/>
      <c r="M40" s="2292"/>
      <c r="N40" s="2292"/>
      <c r="O40" s="2292"/>
      <c r="P40" s="3824"/>
      <c r="Q40" s="1350" t="str">
        <f t="shared" si="11"/>
        <v>单套建筑面积</v>
      </c>
      <c r="R40" s="1351" t="s">
        <v>63</v>
      </c>
      <c r="S40" s="1352">
        <f t="shared" si="12"/>
        <v>100</v>
      </c>
      <c r="T40" s="1351" t="s">
        <v>63</v>
      </c>
      <c r="U40" s="1352">
        <f t="shared" si="13"/>
        <v>100</v>
      </c>
      <c r="V40" s="1351" t="s">
        <v>63</v>
      </c>
      <c r="W40" s="1352">
        <f t="shared" si="14"/>
        <v>100</v>
      </c>
      <c r="X40" s="1339"/>
      <c r="Y40" s="3826"/>
      <c r="Z40" s="1353" t="str">
        <f t="shared" si="15"/>
        <v>单套建筑面积</v>
      </c>
      <c r="AA40" s="1354">
        <f t="shared" si="3"/>
        <v>1</v>
      </c>
      <c r="AB40" s="1354">
        <f t="shared" si="4"/>
        <v>1</v>
      </c>
      <c r="AC40" s="1354">
        <f t="shared" si="5"/>
        <v>1</v>
      </c>
    </row>
    <row r="41" spans="1:29" s="1038" customFormat="1" ht="15">
      <c r="A41" s="1042"/>
      <c r="B41" s="191" t="s">
        <v>1034</v>
      </c>
      <c r="C41" s="182" t="s">
        <v>3852</v>
      </c>
      <c r="D41" s="777">
        <v>100</v>
      </c>
      <c r="E41" s="182" t="s">
        <v>3852</v>
      </c>
      <c r="F41" s="803">
        <f>SUMIF(120:120,E41,121:121)-SUMIF(120:120,C41,121:121)+100</f>
        <v>100</v>
      </c>
      <c r="G41" s="182" t="s">
        <v>3852</v>
      </c>
      <c r="H41" s="777">
        <f>SUMIF(120:120,G41,121:121)-SUMIF(120:120,C41,121:121)+100</f>
        <v>100</v>
      </c>
      <c r="I41" s="182" t="s">
        <v>3852</v>
      </c>
      <c r="J41" s="777">
        <f>SUMIF(120:120,I41,121:121)-SUMIF(120:120,C41,121:121)+100</f>
        <v>100</v>
      </c>
      <c r="K41" s="954"/>
      <c r="L41" s="2296"/>
      <c r="M41" s="2298"/>
      <c r="N41" s="2298"/>
      <c r="O41" s="2298"/>
      <c r="P41" s="3824"/>
      <c r="Q41" s="1358" t="str">
        <f t="shared" si="11"/>
        <v>进深比</v>
      </c>
      <c r="R41" s="1359" t="s">
        <v>63</v>
      </c>
      <c r="S41" s="1360">
        <f t="shared" si="12"/>
        <v>100</v>
      </c>
      <c r="T41" s="1359" t="s">
        <v>63</v>
      </c>
      <c r="U41" s="1360">
        <f t="shared" si="13"/>
        <v>100</v>
      </c>
      <c r="V41" s="1359" t="s">
        <v>63</v>
      </c>
      <c r="W41" s="1360">
        <f t="shared" si="14"/>
        <v>100</v>
      </c>
      <c r="X41" s="1361"/>
      <c r="Y41" s="3826"/>
      <c r="Z41" s="1362" t="str">
        <f t="shared" si="15"/>
        <v>进深比</v>
      </c>
      <c r="AA41" s="1354">
        <f t="shared" si="3"/>
        <v>1</v>
      </c>
      <c r="AB41" s="1354">
        <f t="shared" si="4"/>
        <v>1</v>
      </c>
      <c r="AC41" s="1354">
        <f t="shared" si="5"/>
        <v>1</v>
      </c>
    </row>
    <row r="42" spans="1:29" ht="15">
      <c r="A42" s="161"/>
      <c r="B42" s="12" t="s">
        <v>1035</v>
      </c>
      <c r="C42" s="109" t="s">
        <v>3881</v>
      </c>
      <c r="D42" s="777">
        <v>100</v>
      </c>
      <c r="E42" s="109" t="s">
        <v>3881</v>
      </c>
      <c r="F42" s="803">
        <f>SUMIF(122:122,E42,123:123)-SUMIF(122:122,C42,123:123)+100</f>
        <v>100</v>
      </c>
      <c r="G42" s="109" t="s">
        <v>3881</v>
      </c>
      <c r="H42" s="777">
        <f>SUMIF(122:122,G42,123:123)-SUMIF(122:122,C42,123:123)+100</f>
        <v>100</v>
      </c>
      <c r="I42" s="109" t="s">
        <v>3879</v>
      </c>
      <c r="J42" s="777">
        <f>SUMIF(122:122,I42,123:123)-SUMIF(122:122,C42,123:123)+100</f>
        <v>103</v>
      </c>
      <c r="K42" s="954">
        <v>3</v>
      </c>
      <c r="L42" s="2297"/>
      <c r="M42" s="2292"/>
      <c r="N42" s="2292"/>
      <c r="O42" s="2292"/>
      <c r="P42" s="3824"/>
      <c r="Q42" s="1350" t="str">
        <f t="shared" si="11"/>
        <v>内部装修</v>
      </c>
      <c r="R42" s="1351" t="s">
        <v>63</v>
      </c>
      <c r="S42" s="1352">
        <f t="shared" si="12"/>
        <v>100</v>
      </c>
      <c r="T42" s="1351" t="s">
        <v>63</v>
      </c>
      <c r="U42" s="1352">
        <f t="shared" si="13"/>
        <v>100</v>
      </c>
      <c r="V42" s="1351" t="s">
        <v>63</v>
      </c>
      <c r="W42" s="1352">
        <f t="shared" si="14"/>
        <v>103</v>
      </c>
      <c r="X42" s="1339"/>
      <c r="Y42" s="3826"/>
      <c r="Z42" s="1353" t="str">
        <f t="shared" si="15"/>
        <v>内部装修</v>
      </c>
      <c r="AA42" s="1354">
        <f t="shared" si="3"/>
        <v>1</v>
      </c>
      <c r="AB42" s="1354">
        <f t="shared" si="4"/>
        <v>1</v>
      </c>
      <c r="AC42" s="1354">
        <f t="shared" si="5"/>
        <v>0.970873786407767</v>
      </c>
    </row>
    <row r="43" spans="1:29" ht="27.75" thickBot="1">
      <c r="A43" s="161"/>
      <c r="B43" s="12" t="s">
        <v>82</v>
      </c>
      <c r="C43" s="109" t="s">
        <v>3852</v>
      </c>
      <c r="D43" s="777">
        <v>100</v>
      </c>
      <c r="E43" s="109" t="s">
        <v>3852</v>
      </c>
      <c r="F43" s="803">
        <f>SUMIF(124:124,E43,125:125)-SUMIF(124:124,C43,125:125)+100</f>
        <v>100</v>
      </c>
      <c r="G43" s="109" t="s">
        <v>3852</v>
      </c>
      <c r="H43" s="777">
        <f>SUMIF(124:124,G43,125:125)-SUMIF(124:124,C43,125:125)+100</f>
        <v>100</v>
      </c>
      <c r="I43" s="109" t="s">
        <v>3852</v>
      </c>
      <c r="J43" s="777">
        <f>SUMIF(124:124,I43,125:125)-SUMIF(124:124,C43,125:125)+100</f>
        <v>100</v>
      </c>
      <c r="K43" s="954"/>
      <c r="L43" s="2297"/>
      <c r="M43" s="2292"/>
      <c r="N43" s="2292"/>
      <c r="O43" s="2292"/>
      <c r="P43" s="3824"/>
      <c r="Q43" s="1350" t="str">
        <f t="shared" si="11"/>
        <v>内部装修维护情况</v>
      </c>
      <c r="R43" s="1351" t="s">
        <v>63</v>
      </c>
      <c r="S43" s="1352">
        <f t="shared" si="12"/>
        <v>100</v>
      </c>
      <c r="T43" s="1351" t="s">
        <v>63</v>
      </c>
      <c r="U43" s="1352">
        <f t="shared" si="13"/>
        <v>100</v>
      </c>
      <c r="V43" s="1351" t="s">
        <v>63</v>
      </c>
      <c r="W43" s="1352">
        <f t="shared" si="14"/>
        <v>100</v>
      </c>
      <c r="X43" s="1339"/>
      <c r="Y43" s="3826"/>
      <c r="Z43" s="1353" t="str">
        <f t="shared" si="15"/>
        <v>内部装修维护情况</v>
      </c>
      <c r="AA43" s="1354">
        <f t="shared" si="3"/>
        <v>1</v>
      </c>
      <c r="AB43" s="1354">
        <f t="shared" si="4"/>
        <v>1</v>
      </c>
      <c r="AC43" s="1354">
        <f t="shared" si="5"/>
        <v>1</v>
      </c>
    </row>
    <row r="44" spans="1:29" s="40" customFormat="1" ht="14.25" hidden="1">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824"/>
      <c r="Q44" s="7">
        <f t="shared" si="11"/>
        <v>111</v>
      </c>
      <c r="R44" s="1341" t="s">
        <v>63</v>
      </c>
      <c r="S44" s="1342">
        <f t="shared" si="12"/>
        <v>100</v>
      </c>
      <c r="T44" s="1341" t="s">
        <v>63</v>
      </c>
      <c r="U44" s="1342">
        <f t="shared" si="13"/>
        <v>100</v>
      </c>
      <c r="V44" s="1341" t="s">
        <v>63</v>
      </c>
      <c r="W44" s="1342">
        <f t="shared" si="14"/>
        <v>100</v>
      </c>
      <c r="X44" s="287"/>
      <c r="Y44" s="3826"/>
      <c r="Z44" s="288">
        <f t="shared" si="15"/>
        <v>111</v>
      </c>
      <c r="AA44" s="1343">
        <f t="shared" si="3"/>
        <v>1</v>
      </c>
      <c r="AB44" s="1343">
        <f t="shared" si="4"/>
        <v>1</v>
      </c>
      <c r="AC44" s="1343">
        <f t="shared" si="5"/>
        <v>1</v>
      </c>
    </row>
    <row r="45" spans="1:29" ht="14.25" hidden="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824"/>
      <c r="Q45" s="1350">
        <f t="shared" si="11"/>
        <v>111</v>
      </c>
      <c r="R45" s="1351" t="s">
        <v>63</v>
      </c>
      <c r="S45" s="1352">
        <f t="shared" si="12"/>
        <v>100</v>
      </c>
      <c r="T45" s="1351" t="s">
        <v>63</v>
      </c>
      <c r="U45" s="1352">
        <f t="shared" si="13"/>
        <v>100</v>
      </c>
      <c r="V45" s="1351" t="s">
        <v>63</v>
      </c>
      <c r="W45" s="1352">
        <f t="shared" si="14"/>
        <v>100</v>
      </c>
      <c r="X45" s="1339"/>
      <c r="Y45" s="3826"/>
      <c r="Z45" s="1353">
        <f t="shared" si="15"/>
        <v>111</v>
      </c>
      <c r="AA45" s="1354">
        <f t="shared" si="3"/>
        <v>1</v>
      </c>
      <c r="AB45" s="1354">
        <f t="shared" si="4"/>
        <v>1</v>
      </c>
      <c r="AC45" s="1354">
        <f t="shared" si="5"/>
        <v>1</v>
      </c>
    </row>
    <row r="46" spans="1:29" ht="15" hidden="1"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825"/>
      <c r="Q46" s="1350">
        <f t="shared" si="11"/>
        <v>111</v>
      </c>
      <c r="R46" s="1351" t="s">
        <v>63</v>
      </c>
      <c r="S46" s="1352">
        <f t="shared" si="12"/>
        <v>100</v>
      </c>
      <c r="T46" s="1351" t="s">
        <v>63</v>
      </c>
      <c r="U46" s="1352">
        <f t="shared" si="13"/>
        <v>100</v>
      </c>
      <c r="V46" s="1351" t="s">
        <v>63</v>
      </c>
      <c r="W46" s="1352">
        <f t="shared" si="14"/>
        <v>100</v>
      </c>
      <c r="X46" s="1339"/>
      <c r="Y46" s="3827"/>
      <c r="Z46" s="1353">
        <f t="shared" si="15"/>
        <v>111</v>
      </c>
      <c r="AA46" s="1354">
        <f t="shared" si="3"/>
        <v>1</v>
      </c>
      <c r="AB46" s="1354">
        <f t="shared" si="4"/>
        <v>1</v>
      </c>
      <c r="AC46" s="1354">
        <f t="shared" si="5"/>
        <v>1</v>
      </c>
    </row>
    <row r="47" spans="1:29" ht="15">
      <c r="A47" s="163" t="s">
        <v>1036</v>
      </c>
      <c r="B47" s="164"/>
      <c r="C47" s="2829" t="s">
        <v>23</v>
      </c>
      <c r="D47" s="2830"/>
      <c r="E47" s="2831">
        <f>ROUND(29000*0.98,0)</f>
        <v>28420</v>
      </c>
      <c r="F47" s="2832"/>
      <c r="G47" s="2833">
        <f>ROUND(25000*0.98,0)</f>
        <v>24500</v>
      </c>
      <c r="H47" s="2834"/>
      <c r="I47" s="2831">
        <f>ROUND(28000*0.98,0)</f>
        <v>27440</v>
      </c>
      <c r="J47" s="2834"/>
      <c r="K47" s="1392"/>
      <c r="L47" s="2299"/>
      <c r="M47" s="2300"/>
      <c r="N47" s="2292"/>
      <c r="O47" s="2300"/>
      <c r="P47" s="3819" t="str">
        <f>A47</f>
        <v>成交单价（元/平方米）</v>
      </c>
      <c r="Q47" s="3819"/>
      <c r="R47" s="3814">
        <f>E47</f>
        <v>28420</v>
      </c>
      <c r="S47" s="3814"/>
      <c r="T47" s="3814">
        <f>G47</f>
        <v>24500</v>
      </c>
      <c r="U47" s="3814"/>
      <c r="V47" s="3814">
        <f>I47</f>
        <v>27440</v>
      </c>
      <c r="W47" s="3814"/>
      <c r="X47" s="1364"/>
      <c r="Y47" s="1365"/>
      <c r="Z47" s="1364"/>
      <c r="AA47" s="1364"/>
      <c r="AB47" s="1364"/>
      <c r="AC47" s="1364"/>
    </row>
    <row r="48" spans="1:29" ht="15.75" thickBot="1">
      <c r="A48" s="165" t="s">
        <v>1037</v>
      </c>
      <c r="B48" s="166"/>
      <c r="C48" s="2835">
        <f>R49</f>
        <v>28483</v>
      </c>
      <c r="D48" s="2836"/>
      <c r="E48" s="2837">
        <f>R48</f>
        <v>29891</v>
      </c>
      <c r="F48" s="2837"/>
      <c r="G48" s="2835">
        <f>T48</f>
        <v>27254</v>
      </c>
      <c r="H48" s="2836"/>
      <c r="I48" s="2837">
        <f>V48</f>
        <v>28305</v>
      </c>
      <c r="J48" s="2836"/>
      <c r="K48" s="1393"/>
      <c r="L48" s="2299"/>
      <c r="M48" s="2300"/>
      <c r="N48" s="2292"/>
      <c r="O48" s="2300"/>
      <c r="P48" s="3819" t="str">
        <f>A48</f>
        <v>比较价值（元/平方米）</v>
      </c>
      <c r="Q48" s="3819"/>
      <c r="R48" s="3820">
        <f>IF(F1="售价",ROUND(PRODUCT(R47,AA7:AA46),0),ROUND(PRODUCT(R47,AA7:AA46),1))</f>
        <v>29891</v>
      </c>
      <c r="S48" s="3820"/>
      <c r="T48" s="3820">
        <f>IF(F1="售价",ROUND(PRODUCT(T47,AB7:AB46),0),ROUND(PRODUCT(T47,AB7:AB46),1))</f>
        <v>27254</v>
      </c>
      <c r="U48" s="3820"/>
      <c r="V48" s="3820">
        <f>IF(F1="售价",ROUND(PRODUCT(V47,AC7:AC46),0),ROUND(PRODUCT(V47,AC7:AC46),1))</f>
        <v>28305</v>
      </c>
      <c r="W48" s="3820"/>
      <c r="X48" s="1364"/>
      <c r="Y48" s="1364"/>
      <c r="Z48" s="1364"/>
      <c r="AA48" s="1364"/>
      <c r="AB48" s="1364"/>
      <c r="AC48" s="1364"/>
    </row>
    <row r="49" spans="1:29" ht="15.75" thickBot="1">
      <c r="A49" s="115" t="s">
        <v>3012</v>
      </c>
      <c r="B49" s="116"/>
      <c r="C49" s="2839">
        <f>R49</f>
        <v>28483</v>
      </c>
      <c r="D49" s="2839"/>
      <c r="E49" s="2839"/>
      <c r="F49" s="2839"/>
      <c r="G49" s="2839"/>
      <c r="H49" s="2839"/>
      <c r="I49" s="2839"/>
      <c r="J49" s="2839"/>
      <c r="K49" s="1394"/>
      <c r="L49" s="2299"/>
      <c r="M49" s="2300"/>
      <c r="N49" s="2292"/>
      <c r="O49" s="2300"/>
      <c r="P49" s="3816" t="str">
        <f>A49</f>
        <v>估价对象XX用房的比较价值（楼面单价，元/平方米）</v>
      </c>
      <c r="Q49" s="3817"/>
      <c r="R49" s="3818">
        <f>IF(F1="售价",ROUND(AVERAGE(R48:V48),0),ROUND(AVERAGE(R48:V48),1))</f>
        <v>28483</v>
      </c>
      <c r="S49" s="3818"/>
      <c r="T49" s="3818"/>
      <c r="U49" s="3818"/>
      <c r="V49" s="3818"/>
      <c r="W49" s="3818"/>
      <c r="X49" s="1364"/>
      <c r="Y49" s="1364"/>
      <c r="Z49" s="1364"/>
      <c r="AA49" s="1364"/>
      <c r="AB49" s="1364"/>
      <c r="AC49" s="1364"/>
    </row>
    <row r="50" spans="1:29">
      <c r="A50" s="2300"/>
      <c r="B50" s="2300"/>
      <c r="C50" s="2300"/>
      <c r="D50" s="2300"/>
      <c r="E50" s="2300"/>
      <c r="F50" s="2300"/>
      <c r="G50" s="2309"/>
      <c r="H50" s="2300"/>
      <c r="I50" s="2300"/>
      <c r="J50" s="2300"/>
      <c r="K50" s="2301"/>
      <c r="L50" s="2302"/>
      <c r="M50" s="2300"/>
      <c r="N50" s="2300"/>
      <c r="O50" s="2300"/>
      <c r="P50" s="214"/>
      <c r="Q50" s="1364"/>
      <c r="R50" s="1364"/>
      <c r="S50" s="1364"/>
      <c r="T50" s="1364"/>
      <c r="U50" s="1364"/>
      <c r="V50" s="1364"/>
      <c r="W50" s="1364"/>
      <c r="X50" s="1364"/>
      <c r="Y50" s="1364"/>
      <c r="Z50" s="1364"/>
      <c r="AA50" s="1364"/>
      <c r="AB50" s="1364"/>
      <c r="AC50" s="1364"/>
    </row>
    <row r="51" spans="1:29">
      <c r="A51" s="2300"/>
      <c r="B51" s="2300"/>
      <c r="C51" s="2300"/>
      <c r="D51" s="2300"/>
      <c r="E51" s="2300"/>
      <c r="F51" s="2300"/>
      <c r="G51" s="2300"/>
      <c r="H51" s="2300"/>
      <c r="I51" s="2300"/>
      <c r="J51" s="2300"/>
      <c r="K51" s="2301"/>
      <c r="L51" s="2292"/>
      <c r="M51" s="2292"/>
      <c r="N51" s="2300"/>
      <c r="O51" s="2300"/>
      <c r="P51" s="214"/>
      <c r="Q51" s="1364"/>
      <c r="R51" s="1364"/>
      <c r="S51" s="1364"/>
      <c r="T51" s="1364"/>
      <c r="U51" s="1364"/>
      <c r="V51" s="1364"/>
      <c r="W51" s="1364"/>
      <c r="X51" s="1364"/>
      <c r="Y51" s="1364"/>
      <c r="Z51" s="1364"/>
      <c r="AA51" s="1364"/>
      <c r="AB51" s="1364"/>
      <c r="AC51" s="1364"/>
    </row>
    <row r="52" spans="1:29" ht="13.5" customHeight="1">
      <c r="A52" s="2300"/>
      <c r="B52" s="2300"/>
      <c r="C52" s="839" t="s">
        <v>1007</v>
      </c>
      <c r="D52" s="840"/>
      <c r="E52" s="841">
        <f>IF(E47&lt;E48,E48/E47-1,E47/E48-1)</f>
        <v>5.1759324419422992E-2</v>
      </c>
      <c r="F52" s="842" t="str">
        <f>IF(OR(E52&gt;=0.3,E52&lt;=-0.3),"超过30%","")</f>
        <v/>
      </c>
      <c r="G52" s="841">
        <f>IF(G47&lt;G48,G48/G47-1,G47/G48-1)</f>
        <v>0.11240816326530623</v>
      </c>
      <c r="H52" s="842" t="str">
        <f>IF(OR(G52&gt;=0.3,G52&lt;=-0.3),"超过30%","")</f>
        <v/>
      </c>
      <c r="I52" s="841">
        <f>IF(I47&lt;I48,I48/I47-1,I47/I48-1)</f>
        <v>3.1523323615160415E-2</v>
      </c>
      <c r="J52" s="842" t="str">
        <f>IF(OR(I52&gt;=0.3,I52&lt;=-0.3),"超过30%","")</f>
        <v/>
      </c>
      <c r="K52" s="2301"/>
      <c r="L52" s="2292"/>
      <c r="M52" s="2292"/>
      <c r="N52" s="3546"/>
      <c r="O52" s="2300"/>
      <c r="P52" s="214"/>
      <c r="Q52" s="1364"/>
      <c r="R52" s="1364"/>
      <c r="S52" s="1364"/>
      <c r="T52" s="1364"/>
      <c r="U52" s="1364"/>
      <c r="V52" s="1364"/>
      <c r="W52" s="1364"/>
      <c r="X52" s="1364"/>
      <c r="Y52" s="1364"/>
      <c r="Z52" s="1364"/>
      <c r="AA52" s="1364"/>
      <c r="AB52" s="1364"/>
      <c r="AC52" s="1364"/>
    </row>
    <row r="53" spans="1:29" ht="13.5" customHeight="1">
      <c r="A53" s="2300"/>
      <c r="B53" s="2300"/>
      <c r="C53" s="839" t="s">
        <v>1008</v>
      </c>
      <c r="D53" s="843"/>
      <c r="E53" s="841">
        <f>IF(E48&lt;G48,G48/E48-1,E48/G48-1)</f>
        <v>9.6756439421736173E-2</v>
      </c>
      <c r="F53" s="842" t="str">
        <f>IF(OR(E53&gt;=0.2,E53&lt;=-0.2),"超过20%","")</f>
        <v/>
      </c>
      <c r="G53" s="841">
        <f>IF(G48&lt;I48,I48/G48-1,G48/I48-1)</f>
        <v>3.8563146694063244E-2</v>
      </c>
      <c r="H53" s="842" t="str">
        <f>IF(OR(G53&gt;=0.2,G53&lt;=-0.2),"超过20%","")</f>
        <v/>
      </c>
      <c r="I53" s="841">
        <f>IF(I48&lt;E48,E48/I48-1,I48/E48-1)</f>
        <v>5.603250309132668E-2</v>
      </c>
      <c r="J53" s="842" t="str">
        <f>IF(OR(I53&gt;=0.2,I53&lt;=-0.2),"超过20%","")</f>
        <v/>
      </c>
      <c r="K53" s="2301"/>
      <c r="L53" s="2298"/>
      <c r="M53" s="2298"/>
      <c r="N53" s="3546"/>
      <c r="O53" s="2300"/>
      <c r="P53" s="214"/>
      <c r="Q53" s="1364"/>
      <c r="R53" s="1364"/>
      <c r="S53" s="1364"/>
      <c r="T53" s="1364"/>
      <c r="U53" s="1364"/>
      <c r="V53" s="1364"/>
      <c r="W53" s="1364"/>
      <c r="X53" s="1364"/>
      <c r="Y53" s="1364"/>
      <c r="Z53" s="1364"/>
      <c r="AA53" s="1364"/>
      <c r="AB53" s="1364"/>
      <c r="AC53" s="1364"/>
    </row>
    <row r="54" spans="1:29" s="119" customFormat="1" ht="13.5" customHeight="1">
      <c r="A54" s="2305"/>
      <c r="B54" s="2305"/>
      <c r="C54" s="839" t="s">
        <v>1009</v>
      </c>
      <c r="D54" s="843"/>
      <c r="E54" s="841">
        <f>IF(E47&lt;G47,G47/E47-1,E47/G47-1)</f>
        <v>0.15999999999999992</v>
      </c>
      <c r="F54" s="842" t="str">
        <f>IF(OR(E54&gt;=0.3,E54&lt;=-0.3),"超过30%","")</f>
        <v/>
      </c>
      <c r="G54" s="841">
        <f>IF(G47&lt;I47,I47/G47-1,G47/I47-1)</f>
        <v>0.12000000000000011</v>
      </c>
      <c r="H54" s="842" t="str">
        <f>IF(OR(G54&gt;=0.3,G54&lt;=-0.3),"超过30%","")</f>
        <v/>
      </c>
      <c r="I54" s="841">
        <f>IF(I47&lt;E47,E47/I47-1,I47/E47-1)</f>
        <v>3.5714285714285809E-2</v>
      </c>
      <c r="J54" s="842" t="str">
        <f>IF(OR(I54&gt;=0.3,I54&lt;=-0.3),"超过30%","")</f>
        <v/>
      </c>
      <c r="K54" s="2303"/>
      <c r="L54" s="2292"/>
      <c r="M54" s="2292"/>
      <c r="N54" s="3547"/>
      <c r="O54" s="2305"/>
      <c r="P54" s="1395"/>
      <c r="Q54" s="1369"/>
      <c r="R54" s="1369"/>
      <c r="S54" s="1369"/>
      <c r="T54" s="1369"/>
      <c r="U54" s="1369"/>
      <c r="V54" s="1369"/>
      <c r="W54" s="1369"/>
      <c r="X54" s="1369"/>
      <c r="Y54" s="1369"/>
      <c r="Z54" s="1369"/>
      <c r="AA54" s="1369"/>
      <c r="AB54" s="1369"/>
      <c r="AC54" s="1369"/>
    </row>
    <row r="55" spans="1:29" s="119" customFormat="1">
      <c r="A55" s="2305"/>
      <c r="B55" s="2310"/>
      <c r="C55" s="2311"/>
      <c r="D55" s="2305"/>
      <c r="E55" s="2305"/>
      <c r="F55" s="2305"/>
      <c r="G55" s="2305"/>
      <c r="H55" s="2305"/>
      <c r="I55" s="2305"/>
      <c r="J55" s="2305"/>
      <c r="K55" s="2303"/>
      <c r="L55" s="2292"/>
      <c r="M55" s="2292"/>
      <c r="N55" s="3547"/>
      <c r="O55" s="2305"/>
      <c r="P55" s="1395"/>
      <c r="Q55" s="1369"/>
      <c r="R55" s="1369"/>
      <c r="S55" s="1369"/>
      <c r="T55" s="1369"/>
      <c r="U55" s="1369"/>
      <c r="V55" s="1369"/>
      <c r="W55" s="1369"/>
      <c r="X55" s="1369"/>
      <c r="Y55" s="1369"/>
      <c r="Z55" s="1369"/>
      <c r="AA55" s="1369"/>
      <c r="AB55" s="1369"/>
      <c r="AC55" s="1369"/>
    </row>
    <row r="56" spans="1:29">
      <c r="A56" s="2300"/>
      <c r="B56" s="2310"/>
      <c r="C56" s="2311"/>
      <c r="D56" s="2300"/>
      <c r="E56" s="2300"/>
      <c r="F56" s="2300"/>
      <c r="G56" s="2300"/>
      <c r="H56" s="2300"/>
      <c r="I56" s="2300"/>
      <c r="J56" s="2300"/>
      <c r="K56" s="2301"/>
      <c r="L56" s="2302"/>
      <c r="M56" s="2300"/>
      <c r="N56" s="2300"/>
      <c r="O56" s="2300"/>
      <c r="P56" s="214"/>
      <c r="Q56" s="1364"/>
      <c r="R56" s="1364"/>
      <c r="S56" s="1364"/>
      <c r="T56" s="1364"/>
      <c r="U56" s="1364"/>
      <c r="V56" s="1364"/>
      <c r="W56" s="1364"/>
      <c r="X56" s="1364"/>
      <c r="Y56" s="1364"/>
      <c r="Z56" s="1364"/>
      <c r="AA56" s="1364"/>
      <c r="AB56" s="1364"/>
      <c r="AC56" s="1364"/>
    </row>
    <row r="57" spans="1:29" ht="21" thickBot="1">
      <c r="A57" s="1371" t="s">
        <v>1038</v>
      </c>
      <c r="B57" s="1364"/>
      <c r="C57" s="1372"/>
      <c r="D57" s="1372"/>
      <c r="E57" s="1372"/>
      <c r="F57" s="1373"/>
      <c r="G57" s="1373"/>
      <c r="H57" s="1372"/>
      <c r="I57" s="1372"/>
      <c r="J57" s="1372"/>
      <c r="K57" s="1374"/>
      <c r="L57" s="2307"/>
      <c r="M57" s="2308"/>
      <c r="N57" s="2308"/>
      <c r="O57" s="2308"/>
      <c r="P57" s="1396"/>
      <c r="Q57" s="1397"/>
      <c r="R57" s="1364"/>
      <c r="S57" s="1364"/>
      <c r="T57" s="1364"/>
      <c r="U57" s="1364"/>
      <c r="V57" s="1364"/>
      <c r="W57" s="1364"/>
      <c r="X57" s="1364"/>
      <c r="Y57" s="1364"/>
      <c r="Z57" s="1364"/>
      <c r="AA57" s="1364"/>
      <c r="AB57" s="1364"/>
      <c r="AC57" s="1364"/>
    </row>
    <row r="58" spans="1:29" s="850" customFormat="1" ht="15">
      <c r="A58" s="847" t="s">
        <v>2788</v>
      </c>
      <c r="B58" s="848"/>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4"/>
      <c r="B59" s="1045"/>
      <c r="C59" s="3035">
        <v>100</v>
      </c>
      <c r="D59" s="854"/>
      <c r="E59" s="854"/>
      <c r="F59" s="854"/>
      <c r="G59" s="854"/>
      <c r="H59" s="854"/>
      <c r="I59" s="854"/>
      <c r="J59" s="854"/>
      <c r="K59" s="854"/>
      <c r="L59" s="854"/>
      <c r="M59" s="855"/>
      <c r="N59" s="854"/>
      <c r="O59" s="855"/>
      <c r="P59" s="1376"/>
    </row>
    <row r="60" spans="1:29" s="40" customFormat="1" ht="15" thickBot="1">
      <c r="A60" s="1046" t="s">
        <v>1039</v>
      </c>
      <c r="B60" s="1047"/>
      <c r="C60" s="859"/>
      <c r="D60" s="860"/>
      <c r="E60" s="860"/>
      <c r="F60" s="860"/>
      <c r="G60" s="860"/>
      <c r="H60" s="860"/>
      <c r="I60" s="860"/>
      <c r="J60" s="860"/>
      <c r="K60" s="860"/>
      <c r="L60" s="860"/>
      <c r="M60" s="861"/>
      <c r="N60" s="860"/>
      <c r="O60" s="861"/>
      <c r="P60" s="1376"/>
      <c r="Q60" s="121"/>
    </row>
    <row r="61" spans="1:29" s="40" customFormat="1">
      <c r="A61" s="1048" t="s">
        <v>1040</v>
      </c>
      <c r="B61" s="1045"/>
      <c r="C61" s="1049" t="s">
        <v>1041</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1042</v>
      </c>
      <c r="B63" s="286" t="s">
        <v>1043</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1044</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t="s">
        <v>136</v>
      </c>
      <c r="D66" s="886" t="s">
        <v>137</v>
      </c>
      <c r="E66" s="886" t="s">
        <v>138</v>
      </c>
      <c r="F66" s="886">
        <v>100</v>
      </c>
      <c r="G66" s="886">
        <f>F66-$K10</f>
        <v>100</v>
      </c>
      <c r="H66" s="886">
        <f>G66-$K10</f>
        <v>100</v>
      </c>
      <c r="I66" s="886">
        <f>H66-$K10</f>
        <v>100</v>
      </c>
      <c r="J66" s="886"/>
      <c r="K66" s="886"/>
      <c r="L66" s="886"/>
      <c r="M66" s="887"/>
      <c r="N66" s="1389"/>
      <c r="O66" s="1389"/>
      <c r="P66" s="1378"/>
      <c r="Q66" s="121"/>
    </row>
    <row r="67" spans="1:17" ht="15" thickTop="1">
      <c r="A67" s="173"/>
      <c r="B67" s="1055" t="s">
        <v>1045</v>
      </c>
      <c r="C67" s="889" t="str">
        <f>C68&amp;"（含）"&amp;"-"&amp;D68</f>
        <v>0（含）-2</v>
      </c>
      <c r="D67" s="889" t="str">
        <f t="shared" ref="D67:L67" si="17">D68&amp;"（含）"&amp;"-"&amp;E68</f>
        <v>2（含）-4</v>
      </c>
      <c r="E67" s="889" t="str">
        <f t="shared" si="17"/>
        <v>4（含）-6</v>
      </c>
      <c r="F67" s="889" t="str">
        <f t="shared" si="17"/>
        <v>6（含）-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2</v>
      </c>
      <c r="E68" s="891">
        <v>4</v>
      </c>
      <c r="F68" s="891">
        <v>6</v>
      </c>
      <c r="G68" s="891"/>
      <c r="H68" s="891"/>
      <c r="I68" s="891"/>
      <c r="J68" s="891"/>
      <c r="K68" s="892"/>
      <c r="L68" s="893"/>
      <c r="M68" s="894"/>
      <c r="N68" s="1388"/>
      <c r="O68" s="1388"/>
      <c r="P68" s="1378"/>
      <c r="Q68" s="121"/>
    </row>
    <row r="69" spans="1:17" ht="15" thickBot="1">
      <c r="A69" s="173"/>
      <c r="B69" s="1052"/>
      <c r="C69" s="886">
        <v>100</v>
      </c>
      <c r="D69" s="886">
        <f t="shared" ref="D69:M69" si="18">C69-$K11</f>
        <v>99</v>
      </c>
      <c r="E69" s="886">
        <f t="shared" si="18"/>
        <v>98</v>
      </c>
      <c r="F69" s="886">
        <f t="shared" si="18"/>
        <v>97</v>
      </c>
      <c r="G69" s="886">
        <f t="shared" si="18"/>
        <v>96</v>
      </c>
      <c r="H69" s="886">
        <f t="shared" si="18"/>
        <v>95</v>
      </c>
      <c r="I69" s="886">
        <f t="shared" si="18"/>
        <v>94</v>
      </c>
      <c r="J69" s="886">
        <f t="shared" si="18"/>
        <v>93</v>
      </c>
      <c r="K69" s="886">
        <f t="shared" si="18"/>
        <v>92</v>
      </c>
      <c r="L69" s="886">
        <f t="shared" si="18"/>
        <v>91</v>
      </c>
      <c r="M69" s="887">
        <f t="shared" si="18"/>
        <v>90</v>
      </c>
      <c r="N69" s="1389"/>
      <c r="O69" s="1389"/>
      <c r="P69" s="1378"/>
      <c r="Q69" s="121"/>
    </row>
    <row r="70" spans="1:17" s="1038" customFormat="1" ht="14.25" hidden="1"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hidden="1" thickBot="1">
      <c r="A71" s="1057"/>
      <c r="B71" s="1054"/>
      <c r="C71" s="902"/>
      <c r="D71" s="878"/>
      <c r="E71" s="878"/>
      <c r="F71" s="878"/>
      <c r="G71" s="878"/>
      <c r="H71" s="878"/>
      <c r="I71" s="878"/>
      <c r="J71" s="878"/>
      <c r="K71" s="878"/>
      <c r="L71" s="878"/>
      <c r="M71" s="879"/>
      <c r="N71" s="1389"/>
      <c r="O71" s="1389"/>
      <c r="P71" s="1379"/>
      <c r="Q71" s="1062"/>
    </row>
    <row r="72" spans="1:17" s="1038" customFormat="1" ht="14.25" hidden="1"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hidden="1" thickBot="1">
      <c r="A73" s="1057"/>
      <c r="B73" s="1054"/>
      <c r="C73" s="902"/>
      <c r="D73" s="878"/>
      <c r="E73" s="878"/>
      <c r="F73" s="878"/>
      <c r="G73" s="902"/>
      <c r="H73" s="904"/>
      <c r="I73" s="904"/>
      <c r="J73" s="904"/>
      <c r="K73" s="904"/>
      <c r="L73" s="904"/>
      <c r="M73" s="905"/>
      <c r="N73" s="1390"/>
      <c r="O73" s="1390"/>
      <c r="P73" s="1379"/>
      <c r="Q73" s="1062"/>
    </row>
    <row r="74" spans="1:17" s="1038" customFormat="1" ht="14.25" hidden="1"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hidden="1" thickBot="1">
      <c r="A75" s="1069"/>
      <c r="B75" s="1070"/>
      <c r="C75" s="912"/>
      <c r="D75" s="912"/>
      <c r="E75" s="912"/>
      <c r="F75" s="912"/>
      <c r="G75" s="912"/>
      <c r="H75" s="913"/>
      <c r="I75" s="913"/>
      <c r="J75" s="913"/>
      <c r="K75" s="913"/>
      <c r="L75" s="913"/>
      <c r="M75" s="914"/>
      <c r="N75" s="1390"/>
      <c r="O75" s="1390"/>
      <c r="P75" s="1379"/>
      <c r="Q75" s="1062"/>
    </row>
    <row r="76" spans="1:17" ht="15" thickTop="1">
      <c r="A76" s="172" t="s">
        <v>1046</v>
      </c>
      <c r="B76" s="286" t="s">
        <v>1047</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98</v>
      </c>
      <c r="E77" s="886">
        <f>D77-$K15</f>
        <v>96</v>
      </c>
      <c r="F77" s="886">
        <f>E77-$K15</f>
        <v>94</v>
      </c>
      <c r="G77" s="886">
        <f>F77-$K15</f>
        <v>92</v>
      </c>
      <c r="H77" s="886"/>
      <c r="I77" s="886"/>
      <c r="J77" s="886"/>
      <c r="K77" s="886"/>
      <c r="L77" s="886"/>
      <c r="M77" s="887"/>
      <c r="N77" s="1389"/>
      <c r="O77" s="1389"/>
      <c r="P77" s="1378"/>
      <c r="Q77" s="121"/>
    </row>
    <row r="78" spans="1:17" ht="15" thickTop="1">
      <c r="A78" s="173"/>
      <c r="B78" s="1053" t="s">
        <v>1053</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98</v>
      </c>
      <c r="E79" s="886">
        <f>D79-$K17</f>
        <v>96</v>
      </c>
      <c r="F79" s="886">
        <f>E79-$K17</f>
        <v>94</v>
      </c>
      <c r="G79" s="886">
        <f>F79-$K17</f>
        <v>92</v>
      </c>
      <c r="H79" s="886"/>
      <c r="I79" s="886"/>
      <c r="J79" s="886"/>
      <c r="K79" s="886"/>
      <c r="L79" s="886"/>
      <c r="M79" s="887"/>
      <c r="N79" s="1389"/>
      <c r="O79" s="1389"/>
      <c r="P79" s="1378"/>
      <c r="Q79" s="121"/>
    </row>
    <row r="80" spans="1:17" ht="15" thickTop="1">
      <c r="A80" s="173"/>
      <c r="B80" s="1053" t="s">
        <v>2632</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9"/>
      <c r="O81" s="1389"/>
      <c r="P81" s="1378"/>
      <c r="Q81" s="121"/>
    </row>
    <row r="82" spans="1:17" ht="15" thickTop="1">
      <c r="A82" s="173"/>
      <c r="B82" s="1055" t="s">
        <v>2651</v>
      </c>
      <c r="C82" s="213" t="s">
        <v>2652</v>
      </c>
      <c r="D82" s="213" t="s">
        <v>2653</v>
      </c>
      <c r="E82" s="213" t="s">
        <v>2654</v>
      </c>
      <c r="F82" s="213" t="s">
        <v>2655</v>
      </c>
      <c r="G82" s="213" t="s">
        <v>2656</v>
      </c>
      <c r="H82" s="881"/>
      <c r="I82" s="881"/>
      <c r="J82" s="881"/>
      <c r="K82" s="881"/>
      <c r="L82" s="881"/>
      <c r="M82" s="2761"/>
      <c r="N82" s="1389"/>
      <c r="O82" s="1389"/>
      <c r="P82" s="1378"/>
      <c r="Q82" s="121"/>
    </row>
    <row r="83" spans="1:17" ht="15" thickBot="1">
      <c r="A83" s="173"/>
      <c r="B83" s="1055"/>
      <c r="C83" s="886">
        <v>100</v>
      </c>
      <c r="D83" s="886">
        <f>C83-$K21</f>
        <v>99</v>
      </c>
      <c r="E83" s="886">
        <f t="shared" ref="E83:G83" si="19">D83-$K21</f>
        <v>98</v>
      </c>
      <c r="F83" s="886">
        <f t="shared" si="19"/>
        <v>97</v>
      </c>
      <c r="G83" s="886">
        <f t="shared" si="19"/>
        <v>96</v>
      </c>
      <c r="H83" s="1002"/>
      <c r="I83" s="1002"/>
      <c r="J83" s="1002"/>
      <c r="K83" s="1002"/>
      <c r="L83" s="1002"/>
      <c r="M83" s="792"/>
      <c r="N83" s="1389"/>
      <c r="O83" s="1389"/>
      <c r="P83" s="1378"/>
      <c r="Q83" s="121"/>
    </row>
    <row r="84" spans="1:17" ht="15" thickTop="1">
      <c r="A84" s="173"/>
      <c r="B84" s="1053" t="s">
        <v>1054</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1055</v>
      </c>
      <c r="C86" s="139" t="s">
        <v>3854</v>
      </c>
      <c r="D86" s="139" t="s">
        <v>3856</v>
      </c>
      <c r="E86" s="139" t="s">
        <v>3858</v>
      </c>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9"/>
      <c r="O87" s="1389"/>
      <c r="P87" s="1378"/>
      <c r="Q87" s="121"/>
    </row>
    <row r="88" spans="1:17" s="40" customFormat="1" ht="14.25" thickTop="1">
      <c r="A88" s="1071"/>
      <c r="B88" s="1053" t="str">
        <f>B26</f>
        <v>可视性</v>
      </c>
      <c r="C88" s="139" t="s">
        <v>3859</v>
      </c>
      <c r="D88" s="139" t="s">
        <v>3860</v>
      </c>
      <c r="E88" s="139" t="s">
        <v>3862</v>
      </c>
      <c r="F88" s="1385" t="s">
        <v>3863</v>
      </c>
      <c r="G88" s="139" t="s">
        <v>3864</v>
      </c>
      <c r="H88" s="139"/>
      <c r="I88" s="139"/>
      <c r="J88" s="139"/>
      <c r="K88" s="139"/>
      <c r="L88" s="139"/>
      <c r="M88" s="1384"/>
      <c r="N88" s="1387"/>
      <c r="O88" s="1387"/>
      <c r="P88" s="1378"/>
      <c r="Q88" s="121"/>
    </row>
    <row r="89" spans="1:17" s="40" customFormat="1" ht="15" thickBot="1">
      <c r="A89" s="1071"/>
      <c r="B89" s="1054"/>
      <c r="C89" s="902">
        <v>100</v>
      </c>
      <c r="D89" s="878">
        <v>98</v>
      </c>
      <c r="E89" s="878">
        <v>96</v>
      </c>
      <c r="F89" s="878">
        <v>94</v>
      </c>
      <c r="G89" s="878">
        <v>92</v>
      </c>
      <c r="H89" s="878"/>
      <c r="I89" s="878"/>
      <c r="J89" s="878"/>
      <c r="K89" s="878"/>
      <c r="L89" s="878"/>
      <c r="M89" s="878"/>
      <c r="N89" s="1389"/>
      <c r="O89" s="1389"/>
      <c r="P89" s="1378"/>
      <c r="Q89" s="121"/>
    </row>
    <row r="90" spans="1:17" s="1038" customFormat="1" ht="14.25" thickTop="1">
      <c r="A90" s="1057"/>
      <c r="B90" s="1053" t="str">
        <f>B27</f>
        <v>人流量</v>
      </c>
      <c r="C90" s="139" t="s">
        <v>3859</v>
      </c>
      <c r="D90" s="139" t="s">
        <v>3860</v>
      </c>
      <c r="E90" s="139" t="s">
        <v>3862</v>
      </c>
      <c r="F90" s="1385" t="s">
        <v>3863</v>
      </c>
      <c r="G90" s="139" t="s">
        <v>3864</v>
      </c>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t="s">
        <v>3866</v>
      </c>
      <c r="D92" s="139" t="s">
        <v>3868</v>
      </c>
      <c r="E92" s="139" t="s">
        <v>3869</v>
      </c>
      <c r="F92" s="139"/>
      <c r="G92" s="139"/>
      <c r="H92" s="139"/>
      <c r="I92" s="139"/>
      <c r="J92" s="139"/>
      <c r="K92" s="139"/>
      <c r="L92" s="1383"/>
      <c r="M92" s="1384"/>
      <c r="N92" s="1388"/>
      <c r="O92" s="1388"/>
      <c r="P92" s="1378"/>
      <c r="Q92" s="121"/>
    </row>
    <row r="93" spans="1:17" ht="15" thickBot="1">
      <c r="A93" s="173"/>
      <c r="B93" s="1054"/>
      <c r="C93" s="878">
        <v>100</v>
      </c>
      <c r="D93" s="878">
        <v>90</v>
      </c>
      <c r="E93" s="878">
        <v>80</v>
      </c>
      <c r="F93" s="878"/>
      <c r="G93" s="878"/>
      <c r="H93" s="878"/>
      <c r="I93" s="878"/>
      <c r="J93" s="878"/>
      <c r="K93" s="878"/>
      <c r="L93" s="878"/>
      <c r="M93" s="879"/>
      <c r="N93" s="1389"/>
      <c r="O93" s="1389"/>
      <c r="P93" s="1378"/>
      <c r="Q93" s="121"/>
    </row>
    <row r="94" spans="1:17" ht="14.25" hidden="1" thickTop="1">
      <c r="A94" s="173"/>
      <c r="B94" s="1053">
        <f>B29</f>
        <v>111</v>
      </c>
      <c r="C94" s="139"/>
      <c r="D94" s="139"/>
      <c r="E94" s="139"/>
      <c r="F94" s="139"/>
      <c r="G94" s="131"/>
      <c r="H94" s="131"/>
      <c r="I94" s="131"/>
      <c r="J94" s="131"/>
      <c r="K94" s="132"/>
      <c r="L94" s="133"/>
      <c r="M94" s="134"/>
      <c r="N94" s="1388"/>
      <c r="O94" s="1388"/>
      <c r="P94" s="1378"/>
      <c r="Q94" s="121"/>
    </row>
    <row r="95" spans="1:17" ht="15" hidden="1" thickBot="1">
      <c r="A95" s="173"/>
      <c r="B95" s="1054"/>
      <c r="C95" s="902"/>
      <c r="D95" s="878"/>
      <c r="E95" s="878"/>
      <c r="F95" s="878"/>
      <c r="G95" s="878"/>
      <c r="H95" s="878"/>
      <c r="I95" s="878"/>
      <c r="J95" s="878"/>
      <c r="K95" s="878"/>
      <c r="L95" s="878"/>
      <c r="M95" s="879"/>
      <c r="N95" s="1389"/>
      <c r="O95" s="1389"/>
      <c r="P95" s="1378"/>
      <c r="Q95" s="121"/>
    </row>
    <row r="96" spans="1:17" ht="14.25" hidden="1" thickTop="1">
      <c r="A96" s="173"/>
      <c r="B96" s="1053">
        <f>B30</f>
        <v>111</v>
      </c>
      <c r="C96" s="139"/>
      <c r="D96" s="139"/>
      <c r="E96" s="139"/>
      <c r="F96" s="139"/>
      <c r="G96" s="131"/>
      <c r="H96" s="131"/>
      <c r="I96" s="131"/>
      <c r="J96" s="131"/>
      <c r="K96" s="132"/>
      <c r="L96" s="133"/>
      <c r="M96" s="134"/>
      <c r="N96" s="1388"/>
      <c r="O96" s="1388"/>
      <c r="P96" s="1378"/>
      <c r="Q96" s="121"/>
    </row>
    <row r="97" spans="1:17" ht="15" hidden="1" thickBot="1">
      <c r="A97" s="173"/>
      <c r="B97" s="1054"/>
      <c r="C97" s="902"/>
      <c r="D97" s="878"/>
      <c r="E97" s="878"/>
      <c r="F97" s="878"/>
      <c r="G97" s="878"/>
      <c r="H97" s="878"/>
      <c r="I97" s="878"/>
      <c r="J97" s="878"/>
      <c r="K97" s="878"/>
      <c r="L97" s="878"/>
      <c r="M97" s="879"/>
      <c r="N97" s="1389"/>
      <c r="O97" s="1389"/>
      <c r="P97" s="1378"/>
      <c r="Q97" s="121"/>
    </row>
    <row r="98" spans="1:17" ht="14.25" hidden="1" thickTop="1">
      <c r="A98" s="173"/>
      <c r="B98" s="1055">
        <f>B31</f>
        <v>111</v>
      </c>
      <c r="C98" s="139"/>
      <c r="D98" s="139"/>
      <c r="E98" s="139"/>
      <c r="F98" s="139"/>
      <c r="G98" s="135"/>
      <c r="H98" s="135"/>
      <c r="I98" s="135"/>
      <c r="J98" s="135"/>
      <c r="K98" s="136"/>
      <c r="L98" s="137"/>
      <c r="M98" s="138"/>
      <c r="N98" s="1388"/>
      <c r="O98" s="1388"/>
      <c r="P98" s="1378"/>
      <c r="Q98" s="121"/>
    </row>
    <row r="99" spans="1:17" ht="15" hidden="1" thickBot="1">
      <c r="A99" s="174"/>
      <c r="B99" s="1070"/>
      <c r="C99" s="912"/>
      <c r="D99" s="912"/>
      <c r="E99" s="912"/>
      <c r="F99" s="912"/>
      <c r="G99" s="933"/>
      <c r="H99" s="933"/>
      <c r="I99" s="933"/>
      <c r="J99" s="933"/>
      <c r="K99" s="933"/>
      <c r="L99" s="933"/>
      <c r="M99" s="934"/>
      <c r="N99" s="1389"/>
      <c r="O99" s="1389"/>
      <c r="P99" s="1378"/>
      <c r="Q99" s="121"/>
    </row>
    <row r="100" spans="1:17" ht="14.25" thickTop="1">
      <c r="A100" s="172" t="s">
        <v>1056</v>
      </c>
      <c r="B100" s="286" t="s">
        <v>1057</v>
      </c>
      <c r="C100" s="122" t="s">
        <v>3870</v>
      </c>
      <c r="D100" s="122" t="s">
        <v>3872</v>
      </c>
      <c r="E100" s="122" t="s">
        <v>3873</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29.25" thickTop="1">
      <c r="A102" s="173"/>
      <c r="B102" s="1053" t="s">
        <v>1058</v>
      </c>
      <c r="C102" s="920" t="str">
        <f>C103&amp;"(含)"&amp;"-"&amp;D103</f>
        <v>0(含)-100000</v>
      </c>
      <c r="D102" s="920" t="str">
        <f t="shared" ref="D102:L102" si="23">D103&amp;"(含)"&amp;"-"&amp;E103</f>
        <v>100000(含)-200000</v>
      </c>
      <c r="E102" s="920" t="str">
        <f t="shared" si="23"/>
        <v>200000(含)-300000</v>
      </c>
      <c r="F102" s="920" t="str">
        <f t="shared" si="23"/>
        <v>300000(含)-400000</v>
      </c>
      <c r="G102" s="920" t="str">
        <f t="shared" si="23"/>
        <v>400000(含)-500000</v>
      </c>
      <c r="H102" s="920" t="str">
        <f t="shared" si="23"/>
        <v>500000(含)-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100000</v>
      </c>
      <c r="E103" s="937">
        <v>200000</v>
      </c>
      <c r="F103" s="937">
        <v>300000</v>
      </c>
      <c r="G103" s="937">
        <v>400000</v>
      </c>
      <c r="H103" s="937">
        <v>500000</v>
      </c>
      <c r="I103" s="937"/>
      <c r="J103" s="938"/>
      <c r="K103" s="938"/>
      <c r="L103" s="939"/>
      <c r="M103" s="940"/>
      <c r="N103" s="1390"/>
      <c r="O103" s="1390"/>
      <c r="P103" s="1379"/>
      <c r="Q103" s="1062"/>
    </row>
    <row r="104" spans="1:17" s="1038" customFormat="1" ht="15" thickBot="1">
      <c r="A104" s="1057"/>
      <c r="B104" s="1054"/>
      <c r="C104" s="902">
        <v>100</v>
      </c>
      <c r="D104" s="878">
        <v>101</v>
      </c>
      <c r="E104" s="878">
        <v>102</v>
      </c>
      <c r="F104" s="878">
        <v>103</v>
      </c>
      <c r="G104" s="878">
        <v>104</v>
      </c>
      <c r="H104" s="878">
        <v>105</v>
      </c>
      <c r="I104" s="878"/>
      <c r="J104" s="878"/>
      <c r="K104" s="878"/>
      <c r="L104" s="878"/>
      <c r="M104" s="879"/>
      <c r="N104" s="1389"/>
      <c r="O104" s="1389"/>
      <c r="P104" s="1379"/>
      <c r="Q104" s="1062"/>
    </row>
    <row r="105" spans="1:17" ht="14.25" thickTop="1">
      <c r="A105" s="175"/>
      <c r="B105" s="1053" t="s">
        <v>1059</v>
      </c>
      <c r="C105" s="139" t="s">
        <v>3875</v>
      </c>
      <c r="D105" s="139" t="s">
        <v>3876</v>
      </c>
      <c r="E105" s="131" t="s">
        <v>3877</v>
      </c>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1060</v>
      </c>
      <c r="C107" s="139" t="s">
        <v>3878</v>
      </c>
      <c r="D107" s="139" t="s">
        <v>3884</v>
      </c>
      <c r="E107" s="139" t="s">
        <v>3880</v>
      </c>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1061</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2634</v>
      </c>
      <c r="C112" s="139" t="s">
        <v>3885</v>
      </c>
      <c r="D112" s="139" t="s">
        <v>3886</v>
      </c>
      <c r="E112" s="139" t="s">
        <v>3887</v>
      </c>
      <c r="F112" s="139" t="s">
        <v>3888</v>
      </c>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hidden="1" thickTop="1">
      <c r="A114" s="175"/>
      <c r="B114" s="1053" t="s">
        <v>1062</v>
      </c>
      <c r="C114" s="139"/>
      <c r="D114" s="139"/>
      <c r="E114" s="131"/>
      <c r="F114" s="131"/>
      <c r="G114" s="131"/>
      <c r="H114" s="131"/>
      <c r="I114" s="131"/>
      <c r="J114" s="131"/>
      <c r="K114" s="132"/>
      <c r="L114" s="133"/>
      <c r="M114" s="134"/>
      <c r="N114" s="1388"/>
      <c r="O114" s="1388"/>
      <c r="P114" s="1378"/>
      <c r="Q114" s="121"/>
    </row>
    <row r="115" spans="1:17" ht="15" hidden="1"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1063</v>
      </c>
      <c r="C116" s="3539" t="s">
        <v>3890</v>
      </c>
      <c r="D116" s="139" t="s">
        <v>3891</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95</v>
      </c>
      <c r="E117" s="886">
        <f>D117-$K39</f>
        <v>90</v>
      </c>
      <c r="F117" s="886">
        <f>E117-$K39</f>
        <v>85</v>
      </c>
      <c r="G117" s="886">
        <f>F117-$K39</f>
        <v>80</v>
      </c>
      <c r="H117" s="886"/>
      <c r="I117" s="886"/>
      <c r="J117" s="886"/>
      <c r="K117" s="886"/>
      <c r="L117" s="886"/>
      <c r="M117" s="887"/>
      <c r="N117" s="1389"/>
      <c r="O117" s="1389"/>
      <c r="P117" s="1378"/>
      <c r="Q117" s="121"/>
    </row>
    <row r="118" spans="1:17" ht="15" thickTop="1">
      <c r="A118" s="175"/>
      <c r="B118" s="1053" t="s">
        <v>1064</v>
      </c>
      <c r="C118" s="969" t="s">
        <v>3892</v>
      </c>
      <c r="D118" s="969"/>
      <c r="E118" s="969"/>
      <c r="F118" s="969"/>
      <c r="G118" s="969"/>
      <c r="H118" s="897"/>
      <c r="I118" s="897"/>
      <c r="J118" s="897"/>
      <c r="K118" s="897"/>
      <c r="L118" s="898"/>
      <c r="M118" s="899"/>
      <c r="N118" s="1388"/>
      <c r="O118" s="1388"/>
      <c r="P118" s="1378"/>
      <c r="Q118" s="121"/>
    </row>
    <row r="119" spans="1:17" ht="15" thickBot="1">
      <c r="A119" s="173"/>
      <c r="B119" s="1054"/>
      <c r="C119" s="902">
        <v>100</v>
      </c>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1065</v>
      </c>
      <c r="C120" s="139" t="s">
        <v>3859</v>
      </c>
      <c r="D120" s="139" t="s">
        <v>3860</v>
      </c>
      <c r="E120" s="139" t="s">
        <v>3862</v>
      </c>
      <c r="F120" s="1385" t="s">
        <v>3863</v>
      </c>
      <c r="G120" s="139" t="s">
        <v>3864</v>
      </c>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1066</v>
      </c>
      <c r="C122" s="139" t="s">
        <v>3878</v>
      </c>
      <c r="D122" s="139" t="s">
        <v>3884</v>
      </c>
      <c r="E122" s="139" t="s">
        <v>3880</v>
      </c>
      <c r="F122" s="131" t="s">
        <v>3882</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97</v>
      </c>
      <c r="E123" s="886">
        <f t="shared" si="30"/>
        <v>94</v>
      </c>
      <c r="F123" s="886">
        <f t="shared" si="30"/>
        <v>91</v>
      </c>
      <c r="G123" s="886">
        <f t="shared" si="30"/>
        <v>88</v>
      </c>
      <c r="H123" s="886">
        <f t="shared" si="30"/>
        <v>85</v>
      </c>
      <c r="I123" s="886">
        <f t="shared" si="30"/>
        <v>82</v>
      </c>
      <c r="J123" s="886">
        <f t="shared" si="30"/>
        <v>79</v>
      </c>
      <c r="K123" s="886">
        <f t="shared" si="30"/>
        <v>76</v>
      </c>
      <c r="L123" s="886">
        <f t="shared" si="30"/>
        <v>73</v>
      </c>
      <c r="M123" s="887">
        <f t="shared" si="30"/>
        <v>70</v>
      </c>
      <c r="N123" s="1389"/>
      <c r="O123" s="1389"/>
      <c r="P123" s="1378"/>
      <c r="Q123" s="121"/>
    </row>
    <row r="124" spans="1:17" ht="27.75" thickTop="1">
      <c r="A124" s="175"/>
      <c r="B124" s="1053" t="s">
        <v>1067</v>
      </c>
      <c r="C124" s="181" t="s">
        <v>1048</v>
      </c>
      <c r="D124" s="181" t="s">
        <v>1049</v>
      </c>
      <c r="E124" s="181" t="s">
        <v>1050</v>
      </c>
      <c r="F124" s="181" t="s">
        <v>1051</v>
      </c>
      <c r="G124" s="181" t="s">
        <v>1052</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hidden="1"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hidden="1" thickBot="1">
      <c r="A127" s="1057"/>
      <c r="B127" s="1054"/>
      <c r="C127" s="902"/>
      <c r="D127" s="878"/>
      <c r="E127" s="878"/>
      <c r="F127" s="878"/>
      <c r="G127" s="902"/>
      <c r="H127" s="904"/>
      <c r="I127" s="904"/>
      <c r="J127" s="904"/>
      <c r="K127" s="904"/>
      <c r="L127" s="904"/>
      <c r="M127" s="905"/>
      <c r="N127" s="1390"/>
      <c r="O127" s="1390"/>
      <c r="P127" s="1379"/>
      <c r="Q127" s="1062"/>
    </row>
    <row r="128" spans="1:17" ht="14.25" hidden="1" thickTop="1">
      <c r="A128" s="175"/>
      <c r="B128" s="1053">
        <f>B45</f>
        <v>111</v>
      </c>
      <c r="C128" s="139"/>
      <c r="D128" s="139"/>
      <c r="E128" s="139"/>
      <c r="F128" s="139"/>
      <c r="G128" s="131"/>
      <c r="H128" s="131"/>
      <c r="I128" s="131"/>
      <c r="J128" s="131"/>
      <c r="K128" s="132"/>
      <c r="L128" s="133"/>
      <c r="M128" s="134"/>
      <c r="N128" s="1388"/>
      <c r="O128" s="1388"/>
      <c r="P128" s="1378"/>
      <c r="Q128" s="121"/>
    </row>
    <row r="129" spans="1:17" ht="15" hidden="1" thickBot="1">
      <c r="A129" s="173"/>
      <c r="B129" s="1054"/>
      <c r="C129" s="902"/>
      <c r="D129" s="878"/>
      <c r="E129" s="878"/>
      <c r="F129" s="878"/>
      <c r="G129" s="878"/>
      <c r="H129" s="878"/>
      <c r="I129" s="878"/>
      <c r="J129" s="878"/>
      <c r="K129" s="878"/>
      <c r="L129" s="878"/>
      <c r="M129" s="879"/>
      <c r="N129" s="1389"/>
      <c r="O129" s="1389"/>
      <c r="P129" s="1378"/>
      <c r="Q129" s="121"/>
    </row>
    <row r="130" spans="1:17" ht="14.25" hidden="1" thickTop="1">
      <c r="A130" s="175"/>
      <c r="B130" s="1055">
        <f>B46</f>
        <v>111</v>
      </c>
      <c r="C130" s="139"/>
      <c r="D130" s="139"/>
      <c r="E130" s="139"/>
      <c r="F130" s="139"/>
      <c r="G130" s="135"/>
      <c r="H130" s="135"/>
      <c r="I130" s="135"/>
      <c r="J130" s="135"/>
      <c r="K130" s="140"/>
      <c r="L130" s="141"/>
      <c r="M130" s="138"/>
      <c r="N130" s="1388"/>
      <c r="O130" s="1388"/>
      <c r="P130" s="1378"/>
      <c r="Q130" s="121"/>
    </row>
    <row r="131" spans="1:17" ht="15" hidden="1" thickBot="1">
      <c r="A131" s="174"/>
      <c r="B131" s="1070"/>
      <c r="C131" s="912"/>
      <c r="D131" s="912"/>
      <c r="E131" s="912"/>
      <c r="F131" s="912"/>
      <c r="G131" s="933"/>
      <c r="H131" s="933"/>
      <c r="I131" s="933"/>
      <c r="J131" s="933"/>
      <c r="K131" s="933"/>
      <c r="L131" s="933"/>
      <c r="M131" s="934"/>
      <c r="N131" s="1389"/>
      <c r="O131" s="1389"/>
      <c r="P131" s="1378"/>
      <c r="Q131" s="121"/>
    </row>
    <row r="132" spans="1:17" ht="14.25" thickTop="1"/>
    <row r="136" spans="1:17">
      <c r="C136" s="2292" t="s">
        <v>3911</v>
      </c>
      <c r="D136" s="2292" t="s">
        <v>3912</v>
      </c>
      <c r="E136" s="2300" t="s">
        <v>3913</v>
      </c>
      <c r="F136" s="91" t="s">
        <v>3931</v>
      </c>
      <c r="G136" s="2300" t="s">
        <v>3914</v>
      </c>
    </row>
    <row r="137" spans="1:17">
      <c r="C137" s="2292" t="s">
        <v>3907</v>
      </c>
      <c r="D137" s="2292">
        <v>1</v>
      </c>
      <c r="E137" s="3546">
        <f>商业!C43</f>
        <v>28288</v>
      </c>
      <c r="F137" s="3549">
        <f>E137/$E$141</f>
        <v>0.45879490434041909</v>
      </c>
      <c r="G137" s="2300">
        <f>C49</f>
        <v>28483</v>
      </c>
    </row>
    <row r="138" spans="1:17">
      <c r="C138" s="2298" t="s">
        <v>3908</v>
      </c>
      <c r="D138" s="2298">
        <v>0.6</v>
      </c>
      <c r="E138" s="3546">
        <f>商业!D43</f>
        <v>23728.07</v>
      </c>
      <c r="F138" s="3549">
        <f t="shared" ref="F138:F140" si="31">E138/$E$141</f>
        <v>0.38483871626954069</v>
      </c>
      <c r="G138" s="2300">
        <f>G137*D138</f>
        <v>17089.8</v>
      </c>
    </row>
    <row r="139" spans="1:17">
      <c r="C139" s="2292" t="s">
        <v>3909</v>
      </c>
      <c r="D139" s="2292">
        <v>0.5</v>
      </c>
      <c r="E139" s="3547">
        <f>商业!E43</f>
        <v>7426.54</v>
      </c>
      <c r="F139" s="3549">
        <f t="shared" si="31"/>
        <v>0.12044890797795163</v>
      </c>
      <c r="G139" s="2305">
        <f>G137*D139</f>
        <v>14241.5</v>
      </c>
    </row>
    <row r="140" spans="1:17">
      <c r="C140" s="2292" t="s">
        <v>3910</v>
      </c>
      <c r="D140" s="2292">
        <v>0.4</v>
      </c>
      <c r="E140" s="3547">
        <f>商业!F43</f>
        <v>2214.5700000000002</v>
      </c>
      <c r="F140" s="3549">
        <f t="shared" si="31"/>
        <v>3.5917471412088585E-2</v>
      </c>
      <c r="G140" s="2305">
        <f>G137*D140</f>
        <v>11393.2</v>
      </c>
    </row>
    <row r="141" spans="1:17">
      <c r="C141" s="2302" t="s">
        <v>3915</v>
      </c>
      <c r="D141" s="2300">
        <f>SUM(D137:D140)</f>
        <v>2.5</v>
      </c>
      <c r="E141" s="2300">
        <f t="shared" ref="E141" si="32">SUM(E137:E140)</f>
        <v>61657.18</v>
      </c>
      <c r="F141" s="2300"/>
    </row>
    <row r="142" spans="1:17">
      <c r="C142" s="2307"/>
      <c r="D142" s="2308"/>
      <c r="E142" s="2308"/>
      <c r="G142" s="2308"/>
    </row>
    <row r="144" spans="1:17">
      <c r="B144" s="91">
        <v>0.5</v>
      </c>
      <c r="C144" s="91" t="s">
        <v>3935</v>
      </c>
      <c r="D144" s="91" t="s">
        <v>3932</v>
      </c>
      <c r="E144" s="91">
        <f>ROUND(E145*'收益法（汇总）'!E2/10000,0)</f>
        <v>134222</v>
      </c>
    </row>
    <row r="145" spans="2:5">
      <c r="D145" s="91" t="s">
        <v>3933</v>
      </c>
      <c r="E145" s="3551">
        <f>ROUND(G137*F137+G138*F138+G139*F139+G140*F140,0)</f>
        <v>21769</v>
      </c>
    </row>
    <row r="146" spans="2:5">
      <c r="B146" s="91">
        <v>0.5</v>
      </c>
      <c r="C146" s="91" t="s">
        <v>3936</v>
      </c>
      <c r="D146" s="91" t="s">
        <v>3932</v>
      </c>
      <c r="E146" s="91">
        <f ca="1">'收益法（汇总）'!B2</f>
        <v>125291</v>
      </c>
    </row>
    <row r="147" spans="2:5">
      <c r="D147" s="91" t="s">
        <v>3933</v>
      </c>
      <c r="E147" s="91">
        <f ca="1">结果表!C20</f>
        <v>20321</v>
      </c>
    </row>
    <row r="148" spans="2:5">
      <c r="C148" s="91" t="s">
        <v>3934</v>
      </c>
      <c r="D148" s="91" t="s">
        <v>3932</v>
      </c>
      <c r="E148" s="3552">
        <f ca="1">E144*B144+E146*B146</f>
        <v>129756.5</v>
      </c>
    </row>
    <row r="149" spans="2:5">
      <c r="D149" s="91" t="s">
        <v>3933</v>
      </c>
      <c r="E149" s="91">
        <f ca="1">ROUND(E148*10000/'收益法（汇总）'!E2,0)</f>
        <v>21045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F54 H52:H54 J52:J54">
    <cfRule type="containsText" dxfId="147" priority="17" stopIfTrue="1" operator="containsText" text="超过">
      <formula>NOT(ISERROR(SEARCH("超过",F52)))</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I10 G10 E10">
      <formula1>土地年限区间</formula1>
    </dataValidation>
    <dataValidation type="list" allowBlank="1" showInputMessage="1" showErrorMessage="1" sqref="D1">
      <formula1>项目类型</formula1>
    </dataValidation>
    <dataValidation type="list" allowBlank="1" showInputMessage="1" showErrorMessage="1" sqref="C43 I43 G43 E43">
      <formula1>内部装修维护情况</formula1>
    </dataValidation>
    <dataValidation type="list" allowBlank="1" showInputMessage="1" showErrorMessage="1" sqref="E20 C20 G20 I20">
      <formula1>公共配套设施</formula1>
    </dataValidation>
    <dataValidation type="list" allowBlank="1" showInputMessage="1" showErrorMessage="1" sqref="E18 C18 I18 G18">
      <formula1>交通便捷度</formula1>
    </dataValidation>
    <dataValidation type="list" allowBlank="1" showInputMessage="1" showErrorMessage="1" sqref="E24 C24 I24 G24">
      <formula1>环境</formula1>
    </dataValidation>
    <dataValidation type="list" allowBlank="1" showInputMessage="1" showErrorMessage="1" sqref="C25 I25 G25 E25">
      <formula1>商业临街状况</formula1>
    </dataValidation>
    <dataValidation type="list" allowBlank="1" showInputMessage="1" showErrorMessage="1" sqref="C27 I27 G27 E27">
      <formula1>商业人流量</formula1>
    </dataValidation>
    <dataValidation type="list" allowBlank="1" showInputMessage="1" showErrorMessage="1" sqref="C28 I28 G28 E28">
      <formula1>商业楼层</formula1>
    </dataValidation>
    <dataValidation type="list" allowBlank="1" showInputMessage="1" showErrorMessage="1" sqref="C32 I32 G32 E32">
      <formula1>商业类型</formula1>
    </dataValidation>
    <dataValidation type="list" allowBlank="1" showInputMessage="1" showErrorMessage="1" sqref="C34 I34 G34 E34">
      <formula1>商业建筑结构</formula1>
    </dataValidation>
    <dataValidation type="list" allowBlank="1" showInputMessage="1" showErrorMessage="1" sqref="C35 I35 G35 E35">
      <formula1>商业公共部分装修</formula1>
    </dataValidation>
    <dataValidation type="list" allowBlank="1" showInputMessage="1" showErrorMessage="1" sqref="C37 I37 G37 E37">
      <formula1>商业基础设施水平</formula1>
    </dataValidation>
    <dataValidation type="list" allowBlank="1" showInputMessage="1" showErrorMessage="1" sqref="C41 I41 G41 E41">
      <formula1>商业进深比</formula1>
    </dataValidation>
    <dataValidation type="list" allowBlank="1" showInputMessage="1" showErrorMessage="1" sqref="C42 I42 G42 E42">
      <formula1>商业内部装修</formula1>
    </dataValidation>
    <dataValidation type="list" allowBlank="1" showInputMessage="1" showErrorMessage="1" sqref="E9 I9 G9">
      <formula1>商业用途</formula1>
    </dataValidation>
    <dataValidation type="list" allowBlank="1" showInputMessage="1" showErrorMessage="1" sqref="C38 I38 G38 E38">
      <formula1>商业业态</formula1>
    </dataValidation>
    <dataValidation type="list" allowBlank="1" showInputMessage="1" showErrorMessage="1" sqref="C39 I39 G39 E39">
      <formula1>商业层高</formula1>
    </dataValidation>
    <dataValidation type="list" allowBlank="1" showInputMessage="1" showErrorMessage="1" sqref="C8 I8 G8 E8">
      <formula1>商业交易情况</formula1>
    </dataValidation>
    <dataValidation type="list" allowBlank="1" showInputMessage="1" showErrorMessage="1" sqref="C16 I16 G16 E16">
      <formula1>商业繁华度</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K57" sqref="K5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88" t="s">
        <v>3122</v>
      </c>
      <c r="D1" s="1273"/>
      <c r="E1" s="2581" t="s">
        <v>537</v>
      </c>
      <c r="F1" s="2582">
        <f ca="1">J53</f>
        <v>27.62</v>
      </c>
      <c r="G1" s="672">
        <f>MATCH(C1,'数据-取费表'!A6:A16,0)+5</f>
        <v>9</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f ca="1">ROUND(D2/10000,0)</f>
        <v>72701</v>
      </c>
      <c r="C2" s="1299" t="s">
        <v>1100</v>
      </c>
      <c r="D2" s="2720">
        <f ca="1">C40+J29+L46</f>
        <v>727006457</v>
      </c>
      <c r="E2" s="2571" t="s">
        <v>2619</v>
      </c>
      <c r="F2" s="1276"/>
      <c r="G2" s="2283"/>
      <c r="H2" s="1274"/>
      <c r="I2" s="1274"/>
      <c r="J2" s="1274"/>
      <c r="K2" s="1298"/>
      <c r="L2" s="1274"/>
      <c r="M2" s="1274"/>
    </row>
    <row r="3" spans="1:37" ht="18" customHeight="1" thickBot="1">
      <c r="A3" s="675" t="s">
        <v>344</v>
      </c>
      <c r="B3" s="1407">
        <f ca="1">IF(ISERROR(D2/F43),0,ROUND(D2/F43,0))</f>
        <v>18200</v>
      </c>
      <c r="C3" s="1299" t="s">
        <v>1101</v>
      </c>
      <c r="D3" s="1275"/>
      <c r="E3" s="2571"/>
      <c r="F3" s="1276"/>
      <c r="G3" s="2283"/>
      <c r="H3" s="676" t="s">
        <v>911</v>
      </c>
      <c r="I3" s="1274"/>
      <c r="J3" s="1274"/>
      <c r="K3" s="1298"/>
      <c r="L3" s="1274"/>
      <c r="M3" s="1274"/>
    </row>
    <row r="4" spans="1:37" ht="18" customHeight="1">
      <c r="A4" s="677" t="s">
        <v>912</v>
      </c>
      <c r="B4" s="678" t="s">
        <v>913</v>
      </c>
      <c r="C4" s="678" t="s">
        <v>914</v>
      </c>
      <c r="D4" s="678" t="s">
        <v>915</v>
      </c>
      <c r="E4" s="679" t="s">
        <v>916</v>
      </c>
      <c r="F4" s="680"/>
      <c r="G4" s="2284"/>
      <c r="H4" s="677" t="s">
        <v>912</v>
      </c>
      <c r="I4" s="678" t="s">
        <v>913</v>
      </c>
      <c r="J4" s="678" t="s">
        <v>914</v>
      </c>
      <c r="K4" s="678" t="s">
        <v>915</v>
      </c>
      <c r="L4" s="679" t="s">
        <v>916</v>
      </c>
      <c r="M4" s="680"/>
    </row>
    <row r="5" spans="1:37" ht="18" customHeight="1">
      <c r="A5" s="681">
        <v>1</v>
      </c>
      <c r="B5" s="682" t="s">
        <v>2330</v>
      </c>
      <c r="C5" s="2622">
        <f ca="1">C6+C10+C12</f>
        <v>29197126</v>
      </c>
      <c r="D5" s="2632" t="s">
        <v>2533</v>
      </c>
      <c r="E5" s="2623"/>
      <c r="F5" s="2624"/>
      <c r="G5" s="2284"/>
      <c r="H5" s="681">
        <v>1</v>
      </c>
      <c r="I5" s="682" t="s">
        <v>2330</v>
      </c>
      <c r="J5" s="2622">
        <f ca="1">J6+J10+J12</f>
        <v>55769791</v>
      </c>
      <c r="K5" s="2625" t="s">
        <v>2533</v>
      </c>
      <c r="L5" s="2623"/>
      <c r="M5" s="2624"/>
    </row>
    <row r="6" spans="1:37" ht="18" customHeight="1">
      <c r="A6" s="2618" t="s">
        <v>2371</v>
      </c>
      <c r="B6" s="3760" t="s">
        <v>2532</v>
      </c>
      <c r="C6" s="2627">
        <f ca="1">ROUND(F6*F8*F7*(1-F9),0)</f>
        <v>29160675</v>
      </c>
      <c r="D6" s="2621" t="s">
        <v>2534</v>
      </c>
      <c r="E6" s="684" t="s">
        <v>917</v>
      </c>
      <c r="F6" s="685">
        <f ca="1">INDIRECT("'数据-取费表'!u"&amp;$G$1)</f>
        <v>2</v>
      </c>
      <c r="G6" s="2284"/>
      <c r="H6" s="2618" t="s">
        <v>2371</v>
      </c>
      <c r="I6" s="3760" t="s">
        <v>2532</v>
      </c>
      <c r="J6" s="683">
        <f ca="1">ROUND(M6*M8*M7*(1-M9),0)</f>
        <v>55769791</v>
      </c>
      <c r="K6" s="2621" t="s">
        <v>2534</v>
      </c>
      <c r="L6" s="684" t="s">
        <v>917</v>
      </c>
      <c r="M6" s="685">
        <f ca="1">INDIRECT("'数据-取费表'!z"&amp;$G$1)</f>
        <v>4.5</v>
      </c>
    </row>
    <row r="7" spans="1:37" ht="18" customHeight="1">
      <c r="A7" s="2626"/>
      <c r="B7" s="3761"/>
      <c r="C7" s="2628"/>
      <c r="D7" s="2057"/>
      <c r="E7" s="2629" t="s">
        <v>918</v>
      </c>
      <c r="F7" s="685">
        <f ca="1">IF(INDIRECT("'数据-取费表'!ah"&amp;$G$1)="",INDIRECT("'数据-取费表'!k"&amp;$G$1),INDIRECT("'数据-取费表'!ah"&amp;$G$1))</f>
        <v>39946.129999999997</v>
      </c>
      <c r="G7" s="2284"/>
      <c r="H7" s="686"/>
      <c r="I7" s="3761"/>
      <c r="J7" s="688"/>
      <c r="K7" s="689"/>
      <c r="L7" s="684" t="s">
        <v>918</v>
      </c>
      <c r="M7" s="685">
        <f ca="1">F7</f>
        <v>39946.129999999997</v>
      </c>
    </row>
    <row r="8" spans="1:37" ht="18" customHeight="1">
      <c r="A8" s="686"/>
      <c r="B8" s="3761"/>
      <c r="C8" s="688"/>
      <c r="D8" s="689"/>
      <c r="E8" s="684" t="s">
        <v>919</v>
      </c>
      <c r="F8" s="685">
        <f ca="1">INDIRECT("'数据-取费表'!ai"&amp;$G$1)</f>
        <v>365</v>
      </c>
      <c r="G8" s="2284"/>
      <c r="H8" s="686"/>
      <c r="I8" s="3761"/>
      <c r="J8" s="688"/>
      <c r="K8" s="689"/>
      <c r="L8" s="684" t="s">
        <v>919</v>
      </c>
      <c r="M8" s="685">
        <f ca="1">INDIRECT("'数据-取费表'!ai"&amp;$G$1)</f>
        <v>365</v>
      </c>
    </row>
    <row r="9" spans="1:37" ht="18" customHeight="1">
      <c r="A9" s="686"/>
      <c r="B9" s="3762"/>
      <c r="C9" s="688"/>
      <c r="D9" s="689"/>
      <c r="E9" s="684" t="s">
        <v>920</v>
      </c>
      <c r="F9" s="694">
        <f ca="1">INDIRECT("'数据-取费表'!w"&amp;$G$1)</f>
        <v>0</v>
      </c>
      <c r="G9" s="2284"/>
      <c r="H9" s="686"/>
      <c r="I9" s="3762"/>
      <c r="J9" s="688"/>
      <c r="K9" s="689"/>
      <c r="L9" s="695" t="s">
        <v>920</v>
      </c>
      <c r="M9" s="696">
        <f ca="1">INDIRECT("'数据-取费表'!ab"&amp;$G$1)</f>
        <v>0.15</v>
      </c>
    </row>
    <row r="10" spans="1:37" ht="18" customHeight="1">
      <c r="A10" s="2618" t="s">
        <v>2378</v>
      </c>
      <c r="B10" s="2619" t="s">
        <v>2527</v>
      </c>
      <c r="C10" s="698">
        <f ca="1">ROUND(IF(F10="押一",F6*F8*F7/12*F11,IF(F10="押二",F6*F8*F7/12*2*F11,IF(F10="押三",F6*F8*F7/12*3*F11,C11*F11))),0)</f>
        <v>36451</v>
      </c>
      <c r="D10" s="2630" t="s">
        <v>2535</v>
      </c>
      <c r="E10" s="2093" t="s">
        <v>2529</v>
      </c>
      <c r="F10" s="2824" t="s">
        <v>3901</v>
      </c>
      <c r="G10" s="2284"/>
      <c r="H10" s="2618" t="s">
        <v>2378</v>
      </c>
      <c r="I10" s="2619" t="s">
        <v>2527</v>
      </c>
      <c r="J10" s="683">
        <f ca="1">ROUND(IF(M10="押一",M6*M8*M7/12*M11,IF(M10="押二",M6*M8*M7/12*2*M11,IF(M10="押三",M6*M8*M7/12*3*M11,J11*M11))),0)</f>
        <v>0</v>
      </c>
      <c r="K10" s="2630" t="s">
        <v>2535</v>
      </c>
      <c r="L10" s="2093" t="s">
        <v>2529</v>
      </c>
      <c r="M10" s="2824" t="s">
        <v>2690</v>
      </c>
    </row>
    <row r="11" spans="1:37" ht="18" customHeight="1">
      <c r="A11" s="690"/>
      <c r="B11" s="2620" t="s">
        <v>2537</v>
      </c>
      <c r="C11" s="2411"/>
      <c r="D11" s="689"/>
      <c r="E11" s="2093" t="s">
        <v>2530</v>
      </c>
      <c r="F11" s="696">
        <f ca="1">'数据-取费表'!B39</f>
        <v>1.4999999999999999E-2</v>
      </c>
      <c r="G11" s="2284"/>
      <c r="H11" s="2631"/>
      <c r="I11" s="2620" t="s">
        <v>2691</v>
      </c>
      <c r="J11" s="2411"/>
      <c r="K11" s="1280"/>
      <c r="L11" s="2093" t="s">
        <v>2530</v>
      </c>
      <c r="M11" s="2092">
        <f ca="1">'数据-取费表'!B39</f>
        <v>1.4999999999999999E-2</v>
      </c>
    </row>
    <row r="12" spans="1:37" ht="18" customHeight="1" thickBot="1">
      <c r="A12" s="2666" t="s">
        <v>2540</v>
      </c>
      <c r="B12" s="2667" t="s">
        <v>2528</v>
      </c>
      <c r="C12" s="2668"/>
      <c r="D12" s="2669"/>
      <c r="E12" s="2670"/>
      <c r="F12" s="2671"/>
      <c r="G12" s="2284"/>
      <c r="H12" s="2666" t="s">
        <v>2540</v>
      </c>
      <c r="I12" s="2667" t="s">
        <v>2528</v>
      </c>
      <c r="J12" s="2668"/>
      <c r="K12" s="2685"/>
      <c r="L12" s="2670"/>
      <c r="M12" s="2686"/>
    </row>
    <row r="13" spans="1:37" ht="18" customHeight="1" thickTop="1">
      <c r="A13" s="2662">
        <v>2</v>
      </c>
      <c r="B13" s="2663" t="s">
        <v>921</v>
      </c>
      <c r="C13" s="692">
        <f ca="1">ROUND(C29*F13,0)</f>
        <v>116750676</v>
      </c>
      <c r="D13" s="2664" t="s">
        <v>922</v>
      </c>
      <c r="E13" s="2664" t="s">
        <v>923</v>
      </c>
      <c r="F13" s="2665">
        <f ca="1">INDIRECT("'数据-取费表'!y"&amp;$G$1)</f>
        <v>0.97</v>
      </c>
      <c r="G13" s="2284"/>
      <c r="H13" s="2662">
        <v>2</v>
      </c>
      <c r="I13" s="2663" t="s">
        <v>921</v>
      </c>
      <c r="J13" s="2617">
        <f ca="1">ROUND(J14*J15,0)</f>
        <v>116750676</v>
      </c>
      <c r="K13" s="2672" t="s">
        <v>922</v>
      </c>
      <c r="L13" s="2683"/>
      <c r="M13" s="2684"/>
    </row>
    <row r="14" spans="1:37" ht="18" customHeight="1">
      <c r="A14" s="2434" t="s">
        <v>2368</v>
      </c>
      <c r="B14" s="684" t="s">
        <v>357</v>
      </c>
      <c r="C14" s="702">
        <f ca="1">ROUND(INDIRECT("'数据-取费表'!l"&amp;$G$1)*F43+'数据-取费表'!L14*INDIRECT("'数据-取费表'!S"&amp;$G$1),0)</f>
        <v>71903034</v>
      </c>
      <c r="D14" s="2715" t="s">
        <v>924</v>
      </c>
      <c r="E14" s="2714"/>
      <c r="F14" s="703"/>
      <c r="G14" s="2284"/>
      <c r="H14" s="2434" t="s">
        <v>2371</v>
      </c>
      <c r="I14" s="684" t="s">
        <v>925</v>
      </c>
      <c r="J14" s="313">
        <f ca="1">C29</f>
        <v>120361522</v>
      </c>
      <c r="K14" s="303"/>
      <c r="L14" s="700"/>
      <c r="M14" s="701"/>
    </row>
    <row r="15" spans="1:37" s="706" customFormat="1" ht="18" customHeight="1" thickBot="1">
      <c r="A15" s="2434" t="s">
        <v>2604</v>
      </c>
      <c r="B15" s="684" t="s">
        <v>358</v>
      </c>
      <c r="C15" s="313">
        <f ca="1">ROUND(C14*F15,0)</f>
        <v>2157091</v>
      </c>
      <c r="D15" s="704" t="s">
        <v>926</v>
      </c>
      <c r="E15" s="704" t="s">
        <v>363</v>
      </c>
      <c r="F15" s="705">
        <f>'数据-取费表'!B33</f>
        <v>0.03</v>
      </c>
      <c r="G15" s="2285"/>
      <c r="H15" s="2674" t="s">
        <v>2378</v>
      </c>
      <c r="I15" s="2675" t="s">
        <v>923</v>
      </c>
      <c r="J15" s="2686">
        <f ca="1">INDIRECT("'数据-取费表'!ad"&amp;$G$1)</f>
        <v>0.97</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2605</v>
      </c>
      <c r="B16" s="684" t="s">
        <v>359</v>
      </c>
      <c r="C16" s="313">
        <f ca="1">ROUND(INDIRECT("'数据-取费表'!l"&amp;$G$1)*F43*F16,0)</f>
        <v>0</v>
      </c>
      <c r="D16" s="684" t="s">
        <v>926</v>
      </c>
      <c r="E16" s="684" t="s">
        <v>363</v>
      </c>
      <c r="F16" s="707">
        <f ca="1">IF(INDIRECT("'数据-取费表'!c"&amp;$G$1)="住宅",'数据-取费表'!B34,0)</f>
        <v>0</v>
      </c>
      <c r="G16" s="2284"/>
      <c r="H16" s="2662" t="s">
        <v>2336</v>
      </c>
      <c r="I16" s="2663" t="s">
        <v>928</v>
      </c>
      <c r="J16" s="692">
        <f ca="1">ROUND(J17+J22+J23+J24,0)</f>
        <v>6614371</v>
      </c>
      <c r="K16" s="2672" t="s">
        <v>929</v>
      </c>
      <c r="L16" s="2673"/>
      <c r="M16" s="2624"/>
    </row>
    <row r="17" spans="1:37" s="706" customFormat="1" ht="18" customHeight="1">
      <c r="A17" s="2434" t="s">
        <v>2606</v>
      </c>
      <c r="B17" s="684" t="s">
        <v>360</v>
      </c>
      <c r="C17" s="313">
        <f ca="1">ROUND(F17*(F43+INDIRECT("'数据-取费表'!S"&amp;$G$1)),0)</f>
        <v>7989226</v>
      </c>
      <c r="D17" s="684" t="s">
        <v>930</v>
      </c>
      <c r="E17" s="684" t="s">
        <v>931</v>
      </c>
      <c r="F17" s="315">
        <f>'数据-取费表'!B35</f>
        <v>200</v>
      </c>
      <c r="G17" s="2285"/>
      <c r="H17" s="2434" t="s">
        <v>2371</v>
      </c>
      <c r="I17" s="684" t="s">
        <v>361</v>
      </c>
      <c r="J17" s="313">
        <f ca="1">ROUND(IF(项目基本情况!B11="自然人",J5*M17,J18+J19+J20),0)</f>
        <v>4017749</v>
      </c>
      <c r="K17" s="2715" t="s">
        <v>932</v>
      </c>
      <c r="L17" s="2716"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2607</v>
      </c>
      <c r="B18" s="684" t="s">
        <v>362</v>
      </c>
      <c r="C18" s="313">
        <f ca="1">ROUND(C14*F18,0)</f>
        <v>1078546</v>
      </c>
      <c r="D18" s="684" t="s">
        <v>926</v>
      </c>
      <c r="E18" s="684" t="s">
        <v>363</v>
      </c>
      <c r="F18" s="707">
        <f>'数据-取费表'!B36</f>
        <v>1.4999999999999999E-2</v>
      </c>
      <c r="G18" s="2285"/>
      <c r="H18" s="2434" t="s">
        <v>2368</v>
      </c>
      <c r="I18" s="684" t="s">
        <v>934</v>
      </c>
      <c r="J18" s="313">
        <f ca="1">ROUND(J5*M18/(1+'数据-取费表'!C42),0)</f>
        <v>2974389</v>
      </c>
      <c r="K18" s="2716" t="s">
        <v>935</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2371</v>
      </c>
      <c r="B19" s="684" t="s">
        <v>364</v>
      </c>
      <c r="C19" s="313">
        <f ca="1">SUM(C14:C18)</f>
        <v>83127897</v>
      </c>
      <c r="D19" s="471" t="s">
        <v>936</v>
      </c>
      <c r="E19" s="2718"/>
      <c r="F19" s="315"/>
      <c r="G19" s="2284"/>
      <c r="H19" s="2434" t="s">
        <v>2604</v>
      </c>
      <c r="I19" s="684" t="s">
        <v>937</v>
      </c>
      <c r="J19" s="313">
        <f ca="1">IF(K19="按租金收入计税",ROUND(J5*M19,0),ROUND(C29*M19*0.7,0))</f>
        <v>1011037</v>
      </c>
      <c r="K19" s="1300" t="s">
        <v>2411</v>
      </c>
      <c r="L19" s="684" t="s">
        <v>363</v>
      </c>
      <c r="M19" s="707">
        <f>IF(K19="按租金收入计税",'数据-取费表'!B51,'数据-取费表'!B50)</f>
        <v>1.2E-2</v>
      </c>
    </row>
    <row r="20" spans="1:37" s="706" customFormat="1" ht="18" customHeight="1">
      <c r="A20" s="2434" t="s">
        <v>2608</v>
      </c>
      <c r="B20" s="684" t="s">
        <v>365</v>
      </c>
      <c r="C20" s="313">
        <f ca="1">ROUND(C19*F20,0)</f>
        <v>1246918</v>
      </c>
      <c r="D20" s="709" t="s">
        <v>938</v>
      </c>
      <c r="E20" s="684" t="s">
        <v>363</v>
      </c>
      <c r="F20" s="707">
        <f>'数据-取费表'!B37</f>
        <v>1.4999999999999999E-2</v>
      </c>
      <c r="G20" s="2285"/>
      <c r="H20" s="2434" t="s">
        <v>2605</v>
      </c>
      <c r="I20" s="496" t="s">
        <v>939</v>
      </c>
      <c r="J20" s="314">
        <f ca="1">ROUND(M20*M21,0)</f>
        <v>32323</v>
      </c>
      <c r="K20" s="710" t="s">
        <v>940</v>
      </c>
      <c r="L20" s="684" t="s">
        <v>941</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2609</v>
      </c>
      <c r="B21" s="684" t="s">
        <v>942</v>
      </c>
      <c r="C21" s="313" t="s">
        <v>23</v>
      </c>
      <c r="D21" s="709" t="s">
        <v>943</v>
      </c>
      <c r="E21" s="684" t="s">
        <v>944</v>
      </c>
      <c r="F21" s="707">
        <f>'数据-取费表'!B38</f>
        <v>1.4999999999999999E-2</v>
      </c>
      <c r="G21" s="2285"/>
      <c r="H21" s="712"/>
      <c r="I21" s="693"/>
      <c r="J21" s="318"/>
      <c r="K21" s="713"/>
      <c r="L21" s="684" t="s">
        <v>945</v>
      </c>
      <c r="M21" s="685">
        <f ca="1">INDIRECT("'数据-取费表'!r"&amp;$G$1)</f>
        <v>8080.7</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2610</v>
      </c>
      <c r="B22" s="684" t="s">
        <v>946</v>
      </c>
      <c r="C22" s="313"/>
      <c r="D22" s="2697" t="str">
        <f>IF(F23&lt;=1,"单利计息。","复利计息。")&amp;"建造成本、管理费用、销售费用产生的利息。"</f>
        <v>复利计息。建造成本、管理费用、销售费用产生的利息。</v>
      </c>
      <c r="E22" s="2718"/>
      <c r="F22" s="315"/>
      <c r="G22" s="2284"/>
      <c r="H22" s="2434" t="s">
        <v>2378</v>
      </c>
      <c r="I22" s="684" t="s">
        <v>947</v>
      </c>
      <c r="J22" s="313">
        <f ca="1">ROUND(J14*M22,0)</f>
        <v>1805423</v>
      </c>
      <c r="K22" s="2716" t="s">
        <v>948</v>
      </c>
      <c r="L22" s="684" t="s">
        <v>363</v>
      </c>
      <c r="M22" s="714">
        <f ca="1">INDIRECT("'数据-取费表'!Ak"&amp;$G$1)</f>
        <v>1.4999999999999999E-2</v>
      </c>
    </row>
    <row r="23" spans="1:37" s="706" customFormat="1" ht="18" customHeight="1">
      <c r="A23" s="2434" t="s">
        <v>2368</v>
      </c>
      <c r="B23" s="684" t="s">
        <v>2524</v>
      </c>
      <c r="C23" s="313">
        <f ca="1">IF('数据-取费表'!B22&lt;=1,ROUND(C19*F24*F23/2,0)+ROUND(C20*F24*F23/2,0),ROUND(C19*(POWER((1+F24),F23/2)-1),0)+ROUND(C20*(POWER((1+F24),F23/2)-1),0))</f>
        <v>6082540</v>
      </c>
      <c r="D23" s="2701" t="str">
        <f>IF(F23&lt;=1,"(建造成本+管理费用)×利率×(建设周期÷2)","(建造成本+管理费用)×((1+利率)^(建设周期÷2)-1)")</f>
        <v>(建造成本+管理费用)×((1+利率)^(建设周期÷2)-1)</v>
      </c>
      <c r="E23" s="684" t="s">
        <v>949</v>
      </c>
      <c r="F23" s="711">
        <f>'数据-取费表'!B20</f>
        <v>3</v>
      </c>
      <c r="G23" s="2285"/>
      <c r="H23" s="2434" t="s">
        <v>2609</v>
      </c>
      <c r="I23" s="684" t="s">
        <v>366</v>
      </c>
      <c r="J23" s="313">
        <f ca="1">ROUND(J13*M23,0)</f>
        <v>233501</v>
      </c>
      <c r="K23" s="2716" t="s">
        <v>367</v>
      </c>
      <c r="L23" s="684" t="s">
        <v>363</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2374</v>
      </c>
      <c r="B24" s="684" t="s">
        <v>951</v>
      </c>
      <c r="C24" s="313">
        <f ca="1">ROUND(IF('数据-取费表'!B22&lt;=1,F21*F24*F23/2,F21*(POWER((1+F24),F23/2)-1)),4)</f>
        <v>1.1000000000000001E-3</v>
      </c>
      <c r="D24" s="2701" t="str">
        <f>IF(F23&lt;=1,"销售费用×利率×(建设周期÷2)","销售费用×((1+利率)^(建设周期÷2)-1)")</f>
        <v>销售费用×((1+利率)^(建设周期÷2)-1)</v>
      </c>
      <c r="E24" s="684" t="s">
        <v>952</v>
      </c>
      <c r="F24" s="717">
        <f ca="1">'数据-取费表'!B40</f>
        <v>4.7500000000000001E-2</v>
      </c>
      <c r="G24" s="2285"/>
      <c r="H24" s="2674" t="s">
        <v>2610</v>
      </c>
      <c r="I24" s="2675" t="s">
        <v>365</v>
      </c>
      <c r="J24" s="2676">
        <f ca="1">ROUND(J5*M24,0)</f>
        <v>557698</v>
      </c>
      <c r="K24" s="2677" t="s">
        <v>369</v>
      </c>
      <c r="L24" s="2675" t="s">
        <v>363</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2375</v>
      </c>
      <c r="B25" s="684" t="s">
        <v>370</v>
      </c>
      <c r="C25" s="313"/>
      <c r="D25" s="471" t="s">
        <v>954</v>
      </c>
      <c r="E25" s="2718"/>
      <c r="F25" s="315"/>
      <c r="G25" s="2284"/>
      <c r="H25" s="2662" t="s">
        <v>2351</v>
      </c>
      <c r="I25" s="2679" t="s">
        <v>375</v>
      </c>
      <c r="J25" s="692">
        <f ca="1">J5-J16</f>
        <v>49155420</v>
      </c>
      <c r="K25" s="2680" t="s">
        <v>376</v>
      </c>
      <c r="L25" s="2681"/>
      <c r="M25" s="2682"/>
    </row>
    <row r="26" spans="1:37" ht="18" customHeight="1">
      <c r="A26" s="2434" t="s">
        <v>2368</v>
      </c>
      <c r="B26" s="684" t="s">
        <v>2525</v>
      </c>
      <c r="C26" s="313">
        <f ca="1">ROUND((C19+C20)*F26,0)</f>
        <v>21093704</v>
      </c>
      <c r="D26" s="709" t="s">
        <v>957</v>
      </c>
      <c r="E26" s="695" t="s">
        <v>958</v>
      </c>
      <c r="F26" s="694">
        <f ca="1">INDIRECT("'数据-取费表'!q"&amp;$G$1)</f>
        <v>0.25</v>
      </c>
      <c r="G26" s="2284"/>
      <c r="H26" s="681" t="s">
        <v>2354</v>
      </c>
      <c r="I26" s="682" t="s">
        <v>959</v>
      </c>
      <c r="J26" s="683">
        <f ca="1">IF(J5&lt;&gt;0,ROUND(J25*(1-((1+M28)/(1+M26))^M27)/(M26-M28),0),0)</f>
        <v>751425484</v>
      </c>
      <c r="K26" s="710" t="s">
        <v>371</v>
      </c>
      <c r="L26" s="684" t="s">
        <v>372</v>
      </c>
      <c r="M26" s="694">
        <f ca="1">INDIRECT("'数据-取费表'!I"&amp;$G$1)</f>
        <v>5.5E-2</v>
      </c>
    </row>
    <row r="27" spans="1:37" ht="18" customHeight="1">
      <c r="A27" s="2434" t="s">
        <v>2374</v>
      </c>
      <c r="B27" s="684" t="s">
        <v>373</v>
      </c>
      <c r="C27" s="313">
        <f ca="1">ROUND(F21*F26,4)</f>
        <v>3.8E-3</v>
      </c>
      <c r="D27" s="709" t="s">
        <v>961</v>
      </c>
      <c r="E27" s="704"/>
      <c r="F27" s="705"/>
      <c r="G27" s="2284"/>
      <c r="H27" s="686"/>
      <c r="I27" s="687"/>
      <c r="J27" s="688"/>
      <c r="K27" s="718" t="s">
        <v>962</v>
      </c>
      <c r="L27" s="684" t="s">
        <v>379</v>
      </c>
      <c r="M27" s="719">
        <f ca="1">INDIRECT("'数据-取费表'!ag"&amp;$G$1)</f>
        <v>21.270000000000003</v>
      </c>
    </row>
    <row r="28" spans="1:37" s="706" customFormat="1" ht="18" customHeight="1">
      <c r="A28" s="2434" t="s">
        <v>2376</v>
      </c>
      <c r="B28" s="684" t="s">
        <v>374</v>
      </c>
      <c r="C28" s="313">
        <f>ROUND(F28/(1+'数据-取费表'!C42),4)</f>
        <v>5.33E-2</v>
      </c>
      <c r="D28" s="709" t="s">
        <v>968</v>
      </c>
      <c r="E28" s="684" t="s">
        <v>363</v>
      </c>
      <c r="F28" s="707">
        <f>'数据-取费表'!B41</f>
        <v>5.6000000000000001E-2</v>
      </c>
      <c r="G28" s="2285"/>
      <c r="H28" s="690"/>
      <c r="I28" s="691"/>
      <c r="J28" s="692"/>
      <c r="K28" s="713"/>
      <c r="L28" s="684" t="s">
        <v>380</v>
      </c>
      <c r="M28" s="694">
        <f ca="1">INDIRECT("'数据-取费表'!aa"&amp;$G$1)</f>
        <v>2.5000000000000001E-2</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2377</v>
      </c>
      <c r="B29" s="2675" t="s">
        <v>970</v>
      </c>
      <c r="C29" s="2676">
        <f ca="1">ROUND((C19+C20+C23+C26)/(1-F21-C24-C27-C28),0)</f>
        <v>120361522</v>
      </c>
      <c r="D29" s="2677"/>
      <c r="E29" s="2675"/>
      <c r="F29" s="2678"/>
      <c r="G29" s="2285"/>
      <c r="H29" s="720" t="s">
        <v>2361</v>
      </c>
      <c r="I29" s="721" t="s">
        <v>963</v>
      </c>
      <c r="J29" s="722">
        <f ca="1">ROUND(J26/(1+F40)^F41,0)</f>
        <v>534850986</v>
      </c>
      <c r="K29" s="723" t="s">
        <v>964</v>
      </c>
      <c r="L29" s="724"/>
      <c r="M29" s="725">
        <f ca="1">INDIRECT("'数据-取费表'!k"&amp;$G$1)</f>
        <v>39946.129999999997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2336</v>
      </c>
      <c r="B30" s="2663" t="s">
        <v>928</v>
      </c>
      <c r="C30" s="692">
        <f ca="1">ROUND(C31+C36+C37+C38,0)</f>
        <v>4931435</v>
      </c>
      <c r="D30" s="2672" t="s">
        <v>929</v>
      </c>
      <c r="E30" s="2673"/>
      <c r="F30" s="2624"/>
      <c r="G30" s="2284"/>
      <c r="H30" s="1277"/>
      <c r="I30" s="1278"/>
      <c r="J30" s="1279"/>
      <c r="K30" s="1280"/>
      <c r="L30" s="1281"/>
      <c r="M30" s="1282"/>
    </row>
    <row r="31" spans="1:37" ht="18" customHeight="1">
      <c r="A31" s="2434" t="s">
        <v>2371</v>
      </c>
      <c r="B31" s="684" t="s">
        <v>361</v>
      </c>
      <c r="C31" s="313">
        <f ca="1">ROUND(IF(项目基本情况!B11="自然人",C5*F31,C32+C33+C34),0)</f>
        <v>2600540</v>
      </c>
      <c r="D31" s="2715" t="s">
        <v>932</v>
      </c>
      <c r="E31" s="2716" t="s">
        <v>971</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2368</v>
      </c>
      <c r="B32" s="684" t="s">
        <v>934</v>
      </c>
      <c r="C32" s="313">
        <f ca="1">IF(项目基本情况!B11="自然人","——",ROUND(C5*F32/(1+'数据-取费表'!C42),0))</f>
        <v>1557180</v>
      </c>
      <c r="D32" s="2716" t="s">
        <v>935</v>
      </c>
      <c r="E32" s="684" t="s">
        <v>363</v>
      </c>
      <c r="F32" s="717">
        <f>'数据-取费表'!B41</f>
        <v>5.6000000000000001E-2</v>
      </c>
      <c r="G32" s="2284"/>
      <c r="H32" s="1283"/>
      <c r="I32" s="1284"/>
      <c r="J32" s="1285"/>
      <c r="K32" s="1286"/>
      <c r="L32" s="1287"/>
      <c r="M32" s="1288"/>
    </row>
    <row r="33" spans="1:18" ht="18" customHeight="1">
      <c r="A33" s="2434" t="s">
        <v>2604</v>
      </c>
      <c r="B33" s="684" t="s">
        <v>937</v>
      </c>
      <c r="C33" s="313">
        <f ca="1">IF(项目基本情况!B11="自然人","——",IF(D33="按租金收入计税",ROUND(C5*F33,0),IF(D33="按房产原值计税",ROUND(C29*F33*0.7,0),INDIRECT("'数据-取费表'!Aj"&amp;$G$1))))</f>
        <v>1011037</v>
      </c>
      <c r="D33" s="1300" t="s">
        <v>2411</v>
      </c>
      <c r="E33" s="684" t="s">
        <v>363</v>
      </c>
      <c r="F33" s="707">
        <f>IF(D33="按票据","——",IF(D33="按租金收入计税",'数据-取费表'!B51,'数据-取费表'!B50))</f>
        <v>1.2E-2</v>
      </c>
      <c r="G33" s="2284"/>
      <c r="H33" s="1289"/>
      <c r="I33" s="2877"/>
      <c r="J33" s="2878"/>
      <c r="K33" s="1290"/>
      <c r="L33" s="1289"/>
      <c r="M33" s="1289"/>
    </row>
    <row r="34" spans="1:18" ht="18" customHeight="1">
      <c r="A34" s="2618" t="s">
        <v>2605</v>
      </c>
      <c r="B34" s="496" t="s">
        <v>939</v>
      </c>
      <c r="C34" s="314">
        <f ca="1">IF(项目基本情况!B11="自然人","——",ROUND(F34*F35,))</f>
        <v>32323</v>
      </c>
      <c r="D34" s="710" t="s">
        <v>940</v>
      </c>
      <c r="E34" s="684" t="s">
        <v>941</v>
      </c>
      <c r="F34" s="711">
        <f>'数据-取费表'!B52</f>
        <v>4</v>
      </c>
      <c r="G34" s="2284"/>
      <c r="H34" s="1277"/>
      <c r="I34" s="2877"/>
      <c r="J34" s="2878"/>
      <c r="K34" s="1291"/>
      <c r="L34" s="1292"/>
      <c r="M34" s="1292"/>
    </row>
    <row r="35" spans="1:18" ht="18" customHeight="1">
      <c r="A35" s="2692"/>
      <c r="B35" s="2690"/>
      <c r="C35" s="318"/>
      <c r="D35" s="713"/>
      <c r="E35" s="684" t="s">
        <v>945</v>
      </c>
      <c r="F35" s="685">
        <f ca="1">INDIRECT("'数据-取费表'!r"&amp;$G$1)</f>
        <v>8080.7</v>
      </c>
      <c r="G35" s="2284"/>
      <c r="H35" s="1277"/>
      <c r="I35" s="2877"/>
      <c r="J35" s="2878"/>
      <c r="K35" s="1290"/>
      <c r="L35" s="1289"/>
      <c r="M35" s="1289"/>
    </row>
    <row r="36" spans="1:18" ht="18" customHeight="1">
      <c r="A36" s="2691" t="s">
        <v>2378</v>
      </c>
      <c r="B36" s="684" t="s">
        <v>947</v>
      </c>
      <c r="C36" s="313">
        <f ca="1">ROUND(C29*F36,0)</f>
        <v>1805423</v>
      </c>
      <c r="D36" s="2716" t="s">
        <v>977</v>
      </c>
      <c r="E36" s="684" t="s">
        <v>363</v>
      </c>
      <c r="F36" s="714">
        <f ca="1">INDIRECT("'数据-取费表'!Ak"&amp;$G$1)</f>
        <v>1.4999999999999999E-2</v>
      </c>
      <c r="G36" s="2284"/>
      <c r="H36" s="1289"/>
      <c r="I36" s="2877"/>
      <c r="J36" s="2878"/>
      <c r="K36" s="1293"/>
      <c r="L36" s="1289"/>
      <c r="M36" s="1289"/>
    </row>
    <row r="37" spans="1:18" ht="18" customHeight="1">
      <c r="A37" s="2434" t="s">
        <v>2609</v>
      </c>
      <c r="B37" s="684" t="s">
        <v>366</v>
      </c>
      <c r="C37" s="313">
        <f ca="1">ROUND(C13*F37,0)</f>
        <v>233501</v>
      </c>
      <c r="D37" s="2716" t="s">
        <v>367</v>
      </c>
      <c r="E37" s="684" t="s">
        <v>363</v>
      </c>
      <c r="F37" s="716">
        <f ca="1">INDIRECT("'数据-取费表'!Al"&amp;$G$1)</f>
        <v>2E-3</v>
      </c>
      <c r="G37" s="2284"/>
      <c r="H37" s="1289"/>
      <c r="I37" s="2877"/>
      <c r="J37" s="2878"/>
      <c r="K37" s="1293"/>
      <c r="L37" s="1289"/>
      <c r="M37" s="1289"/>
    </row>
    <row r="38" spans="1:18" ht="18" customHeight="1" thickBot="1">
      <c r="A38" s="2674" t="s">
        <v>2610</v>
      </c>
      <c r="B38" s="2675" t="s">
        <v>365</v>
      </c>
      <c r="C38" s="2676">
        <f ca="1">ROUND(C5*F38,1)</f>
        <v>291971.3</v>
      </c>
      <c r="D38" s="2677" t="s">
        <v>369</v>
      </c>
      <c r="E38" s="2675" t="s">
        <v>363</v>
      </c>
      <c r="F38" s="2671">
        <f ca="1">INDIRECT("'数据-取费表'!Am"&amp;$G$1)</f>
        <v>0.01</v>
      </c>
      <c r="G38" s="2284"/>
      <c r="H38" s="1289"/>
      <c r="I38" s="2877"/>
      <c r="J38" s="2878"/>
      <c r="K38" s="1294"/>
      <c r="L38" s="1289"/>
      <c r="M38" s="1289"/>
    </row>
    <row r="39" spans="1:18" ht="24.6" customHeight="1" thickTop="1">
      <c r="A39" s="2662" t="s">
        <v>2351</v>
      </c>
      <c r="B39" s="2679" t="s">
        <v>375</v>
      </c>
      <c r="C39" s="692">
        <f ca="1">C5-C30</f>
        <v>24265691</v>
      </c>
      <c r="D39" s="2680" t="s">
        <v>376</v>
      </c>
      <c r="E39" s="2681"/>
      <c r="F39" s="2682"/>
      <c r="G39" s="2284"/>
      <c r="H39" s="1289"/>
      <c r="I39" s="2877"/>
      <c r="J39" s="2878"/>
      <c r="K39" s="1294"/>
      <c r="L39" s="1289"/>
      <c r="M39" s="1289"/>
    </row>
    <row r="40" spans="1:18" ht="18" customHeight="1">
      <c r="A40" s="681" t="s">
        <v>2354</v>
      </c>
      <c r="B40" s="682" t="s">
        <v>377</v>
      </c>
      <c r="C40" s="683">
        <f ca="1">ROUND(C39*(1-((1+F42)/(1+F40))^F41)/(F40-F42),0)</f>
        <v>127160249</v>
      </c>
      <c r="D40" s="710" t="s">
        <v>371</v>
      </c>
      <c r="E40" s="684" t="s">
        <v>372</v>
      </c>
      <c r="F40" s="694">
        <f ca="1">INDIRECT("'数据-取费表'!I"&amp;$G$1)</f>
        <v>5.5E-2</v>
      </c>
      <c r="G40" s="2284"/>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6.35</v>
      </c>
      <c r="G41" s="2284"/>
      <c r="H41" s="1191"/>
      <c r="I41" s="2877"/>
      <c r="J41" s="2878"/>
      <c r="K41" s="1293"/>
      <c r="L41" s="1191"/>
      <c r="M41" s="1191"/>
    </row>
    <row r="42" spans="1:18" ht="18" customHeight="1">
      <c r="A42" s="690"/>
      <c r="B42" s="691"/>
      <c r="C42" s="692"/>
      <c r="D42" s="713"/>
      <c r="E42" s="684" t="s">
        <v>380</v>
      </c>
      <c r="F42" s="694">
        <f ca="1">INDIRECT("'数据-取费表'!v"&amp;$G$1)</f>
        <v>0</v>
      </c>
      <c r="G42" s="2284"/>
      <c r="H42" s="1191"/>
      <c r="I42" s="2877"/>
      <c r="J42" s="2878"/>
      <c r="K42" s="1293"/>
      <c r="L42" s="1191"/>
      <c r="M42" s="1191"/>
    </row>
    <row r="43" spans="1:18" ht="18" customHeight="1" thickBot="1">
      <c r="A43" s="720" t="s">
        <v>2361</v>
      </c>
      <c r="B43" s="721" t="s">
        <v>381</v>
      </c>
      <c r="C43" s="722">
        <f ca="1">ROUND(C40/F43,0)</f>
        <v>3183</v>
      </c>
      <c r="D43" s="723" t="s">
        <v>382</v>
      </c>
      <c r="E43" s="724" t="s">
        <v>383</v>
      </c>
      <c r="F43" s="725">
        <f ca="1">INDIRECT("'数据-取费表'!k"&amp;$G$1)</f>
        <v>39946.129999999997</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3">
        <f ca="1">C68-C40</f>
        <v>-143312437</v>
      </c>
      <c r="D45" s="2724" t="s">
        <v>2620</v>
      </c>
      <c r="E45" s="1432"/>
      <c r="F45" s="1432"/>
      <c r="O45" s="2587" t="s">
        <v>2484</v>
      </c>
      <c r="P45" s="1295"/>
      <c r="Q45" s="1295"/>
      <c r="R45" s="1295"/>
    </row>
    <row r="46" spans="1:18" s="1454" customFormat="1" ht="21" thickBot="1">
      <c r="A46" s="2392" t="s">
        <v>2323</v>
      </c>
      <c r="B46" s="2393"/>
      <c r="C46" s="2721">
        <f ca="1">ROUND(C45/10000,0)</f>
        <v>-14331</v>
      </c>
      <c r="D46" s="2722" t="str">
        <f>C2</f>
        <v>万元</v>
      </c>
      <c r="I46" s="2574" t="s">
        <v>2419</v>
      </c>
      <c r="J46" s="2575"/>
      <c r="K46" s="2576"/>
      <c r="L46" s="2578">
        <f ca="1">IF(M47="住宅",0,IF(L48&gt;J51,L60,J60))</f>
        <v>64995222</v>
      </c>
      <c r="O46" s="2590" t="s">
        <v>2462</v>
      </c>
      <c r="P46" s="2591" t="s">
        <v>2463</v>
      </c>
      <c r="Q46" s="2592" t="s">
        <v>2461</v>
      </c>
      <c r="R46" s="2592" t="s">
        <v>2464</v>
      </c>
    </row>
    <row r="47" spans="1:18" s="1454" customFormat="1" ht="15.75" thickBot="1">
      <c r="A47" s="2394" t="s">
        <v>912</v>
      </c>
      <c r="B47" s="2430" t="s">
        <v>913</v>
      </c>
      <c r="C47" s="2430" t="s">
        <v>914</v>
      </c>
      <c r="D47" s="2430" t="s">
        <v>915</v>
      </c>
      <c r="E47" s="2533" t="s">
        <v>916</v>
      </c>
      <c r="F47" s="2534"/>
      <c r="G47" s="1456"/>
      <c r="I47" s="2549" t="s">
        <v>2412</v>
      </c>
      <c r="J47" s="2550" t="s">
        <v>3874</v>
      </c>
      <c r="K47" s="2559" t="s">
        <v>2435</v>
      </c>
      <c r="L47" s="2560">
        <f ca="1">INDIRECT("'数据-取费表'!d"&amp;$G$1)</f>
        <v>0</v>
      </c>
      <c r="M47" s="2580" t="str">
        <f>IF(ISNUMBER(FIND("住宅",C1)),"住宅","非住宅")</f>
        <v>非住宅</v>
      </c>
      <c r="O47" s="2583" t="s">
        <v>2447</v>
      </c>
      <c r="P47" s="2593" t="s">
        <v>2465</v>
      </c>
      <c r="Q47" s="2584">
        <f ca="1">C40+J29</f>
        <v>662011235</v>
      </c>
      <c r="R47" s="2584" t="s">
        <v>2466</v>
      </c>
    </row>
    <row r="48" spans="1:18" s="1454" customFormat="1" ht="47.25" thickBot="1">
      <c r="A48" s="2707" t="s">
        <v>2615</v>
      </c>
      <c r="B48" s="682" t="s">
        <v>2330</v>
      </c>
      <c r="C48" s="2717">
        <f ca="1">C49+C53+C55</f>
        <v>0</v>
      </c>
      <c r="D48" s="2711"/>
      <c r="E48" s="2712"/>
      <c r="F48" s="2414"/>
      <c r="G48" s="1456"/>
      <c r="H48" s="1457"/>
      <c r="I48" s="2540" t="s">
        <v>2413</v>
      </c>
      <c r="J48" s="2551" t="s">
        <v>2414</v>
      </c>
      <c r="K48" s="2561" t="s">
        <v>681</v>
      </c>
      <c r="L48" s="2164">
        <f ca="1">INDIRECT("'数据-取费表'!f"&amp;$G$1)</f>
        <v>27.62</v>
      </c>
      <c r="O48" s="2583" t="s">
        <v>2448</v>
      </c>
      <c r="P48" s="2593" t="s">
        <v>2467</v>
      </c>
      <c r="Q48" s="2584">
        <f ca="1">J60</f>
        <v>64995222</v>
      </c>
      <c r="R48" s="2584" t="s">
        <v>2475</v>
      </c>
    </row>
    <row r="49" spans="1:18" s="1454" customFormat="1" ht="15.75" thickBot="1">
      <c r="A49" s="2427" t="s">
        <v>2616</v>
      </c>
      <c r="B49" s="2710" t="s">
        <v>2618</v>
      </c>
      <c r="C49" s="2719">
        <f ca="1">ROUND(F49*F51*F50*(1-F52),0)</f>
        <v>0</v>
      </c>
      <c r="D49" s="2529" t="s">
        <v>2331</v>
      </c>
      <c r="E49" s="2532" t="s">
        <v>2324</v>
      </c>
      <c r="F49" s="2535"/>
      <c r="G49" s="1458"/>
      <c r="H49" s="1457"/>
      <c r="I49" s="2540" t="s">
        <v>2433</v>
      </c>
      <c r="J49" s="2552"/>
      <c r="K49" s="2562" t="s">
        <v>2438</v>
      </c>
      <c r="L49" s="2563"/>
      <c r="O49" s="2585" t="s">
        <v>2449</v>
      </c>
      <c r="P49" s="2593" t="s">
        <v>2468</v>
      </c>
      <c r="Q49" s="2584">
        <f ca="1">C29</f>
        <v>120361522</v>
      </c>
      <c r="R49" s="2584" t="s">
        <v>2466</v>
      </c>
    </row>
    <row r="50" spans="1:18" s="1454" customFormat="1" ht="15.75" thickBot="1">
      <c r="A50" s="2428"/>
      <c r="B50" s="2431"/>
      <c r="C50" s="2432"/>
      <c r="D50" s="2401"/>
      <c r="E50" s="2530" t="s">
        <v>918</v>
      </c>
      <c r="F50" s="2531">
        <f ca="1">F7</f>
        <v>39946.129999999997</v>
      </c>
      <c r="H50" s="1457"/>
      <c r="I50" s="2540" t="s">
        <v>2415</v>
      </c>
      <c r="J50" s="2553">
        <f>SUMPRODUCT((I63:I65=J47)*(J62:L62=J48)*(J63:L65))</f>
        <v>60</v>
      </c>
      <c r="K50" s="2562" t="s">
        <v>2439</v>
      </c>
      <c r="L50" s="2563"/>
      <c r="M50" s="2557"/>
      <c r="O50" s="2585" t="s">
        <v>2450</v>
      </c>
      <c r="P50" s="2593" t="s">
        <v>2476</v>
      </c>
      <c r="Q50" s="2586">
        <f ca="1">J58</f>
        <v>0.54</v>
      </c>
      <c r="R50" s="2584"/>
    </row>
    <row r="51" spans="1:18" s="1454" customFormat="1" ht="15.75" thickBot="1">
      <c r="A51" s="2429"/>
      <c r="B51" s="2431"/>
      <c r="C51" s="2432"/>
      <c r="D51" s="2401"/>
      <c r="E51" s="2433" t="s">
        <v>919</v>
      </c>
      <c r="F51" s="685">
        <f ca="1">F8</f>
        <v>365</v>
      </c>
      <c r="I51" s="2554" t="s">
        <v>2420</v>
      </c>
      <c r="J51" s="2555">
        <f>IF(J49="",J50,J49+J50-YEAR('数据-取费表'!B2))</f>
        <v>60</v>
      </c>
      <c r="K51" s="2564" t="s">
        <v>2440</v>
      </c>
      <c r="L51" s="2577">
        <f ca="1">ROUND(-PV(INDIRECT("'数据-取费表'!h"&amp;$G$1),L48,(C39-C13*C76),0),0)</f>
        <v>269845859</v>
      </c>
      <c r="M51" s="2558"/>
      <c r="O51" s="2585" t="s">
        <v>2451</v>
      </c>
      <c r="P51" s="2593" t="s">
        <v>2477</v>
      </c>
      <c r="Q51" s="2586">
        <f>J52</f>
        <v>0</v>
      </c>
      <c r="R51" s="2584"/>
    </row>
    <row r="52" spans="1:18" s="1454" customFormat="1" ht="15.75" thickBot="1">
      <c r="A52" s="2429"/>
      <c r="B52" s="2431"/>
      <c r="C52" s="2432"/>
      <c r="D52" s="2401"/>
      <c r="E52" s="2433" t="s">
        <v>920</v>
      </c>
      <c r="F52" s="2528"/>
      <c r="I52" s="2556" t="s">
        <v>2443</v>
      </c>
      <c r="J52" s="2570"/>
      <c r="K52" s="2556" t="s">
        <v>2428</v>
      </c>
      <c r="L52" s="2570"/>
      <c r="M52" s="2393"/>
      <c r="O52" s="2585" t="s">
        <v>2452</v>
      </c>
      <c r="P52" s="2593" t="s">
        <v>2469</v>
      </c>
      <c r="Q52" s="2584">
        <f ca="1">J53</f>
        <v>27.62</v>
      </c>
      <c r="R52" s="2584" t="s">
        <v>2470</v>
      </c>
    </row>
    <row r="53" spans="1:18" s="1454" customFormat="1" ht="43.5" thickBot="1">
      <c r="A53" s="2708" t="s">
        <v>2617</v>
      </c>
      <c r="B53" s="2709" t="s">
        <v>2527</v>
      </c>
      <c r="C53" s="698">
        <f ca="1">ROUND(IF(F53="押一",F49*F51*F50/12*F11,IF(F53="押二",F49*F51*F50/12*2*F11,IF(F53="押三",F49*F51*F50/12*3*F11,C54*F11))),0)</f>
        <v>0</v>
      </c>
      <c r="D53" s="2630" t="s">
        <v>2535</v>
      </c>
      <c r="E53" s="2093" t="s">
        <v>2529</v>
      </c>
      <c r="F53" s="2824"/>
      <c r="I53" s="2566" t="s">
        <v>2445</v>
      </c>
      <c r="J53" s="2567">
        <f ca="1">IF(M47="住宅",J51,MIN(J51,L48))</f>
        <v>27.62</v>
      </c>
      <c r="K53" s="3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9"/>
      <c r="O53" s="2583" t="s">
        <v>2453</v>
      </c>
      <c r="P53" s="2593" t="s">
        <v>2471</v>
      </c>
      <c r="Q53" s="2584">
        <f ca="1">Q47+Q48</f>
        <v>727006457</v>
      </c>
      <c r="R53" s="2584" t="s">
        <v>2454</v>
      </c>
    </row>
    <row r="54" spans="1:18" s="1454" customFormat="1" ht="16.5" thickBot="1">
      <c r="A54" s="2427"/>
      <c r="B54" s="2821" t="s">
        <v>2691</v>
      </c>
      <c r="C54" s="2411"/>
      <c r="D54" s="2630"/>
      <c r="E54" s="2774"/>
      <c r="F54" s="2536"/>
      <c r="I54" s="2408"/>
      <c r="J54" s="2565"/>
      <c r="K54" s="2565"/>
      <c r="L54" s="2565"/>
      <c r="M54" s="1458"/>
      <c r="O54" s="2587" t="s">
        <v>2478</v>
      </c>
      <c r="P54" s="1295"/>
      <c r="Q54" s="1295"/>
      <c r="R54" s="1295"/>
    </row>
    <row r="55" spans="1:18" s="1454" customFormat="1" ht="15.75" thickBot="1">
      <c r="A55" s="2666" t="s">
        <v>2540</v>
      </c>
      <c r="B55" s="2667" t="s">
        <v>2528</v>
      </c>
      <c r="C55" s="2668"/>
      <c r="D55" s="2630"/>
      <c r="E55" s="2713"/>
      <c r="F55" s="2536"/>
      <c r="I55" s="3314" t="s">
        <v>2421</v>
      </c>
      <c r="J55" s="3313">
        <f ca="1">ROUND(IF(J47="钢混",J57/J50,1-(1-2%)*(J50-J57)/J50),3)</f>
        <v>0.54</v>
      </c>
      <c r="K55" s="2547" t="s">
        <v>2422</v>
      </c>
      <c r="L55" s="2569"/>
      <c r="O55" s="2590" t="s">
        <v>2462</v>
      </c>
      <c r="P55" s="2591" t="s">
        <v>2463</v>
      </c>
      <c r="Q55" s="2592" t="s">
        <v>2461</v>
      </c>
      <c r="R55" s="2592" t="s">
        <v>2464</v>
      </c>
    </row>
    <row r="56" spans="1:18" s="1454" customFormat="1" ht="44.25" thickTop="1" thickBot="1">
      <c r="A56" s="2405">
        <v>2</v>
      </c>
      <c r="B56" s="2406" t="s">
        <v>921</v>
      </c>
      <c r="C56" s="608">
        <f ca="1">C13</f>
        <v>116750676</v>
      </c>
      <c r="D56" s="2694"/>
      <c r="E56" s="2407"/>
      <c r="F56" s="2536"/>
      <c r="I56" s="2539" t="s">
        <v>2423</v>
      </c>
      <c r="J56" s="2568" t="s">
        <v>41</v>
      </c>
      <c r="K56" s="2540" t="s">
        <v>2427</v>
      </c>
      <c r="L56" s="2164" t="str">
        <f ca="1">IF(L48&lt;J51,"——",L48-J51)</f>
        <v>——</v>
      </c>
      <c r="O56" s="2583" t="s">
        <v>2447</v>
      </c>
      <c r="P56" s="2593" t="s">
        <v>2465</v>
      </c>
      <c r="Q56" s="2584">
        <f ca="1">C40+J29</f>
        <v>662011235</v>
      </c>
      <c r="R56" s="2584" t="s">
        <v>2466</v>
      </c>
    </row>
    <row r="57" spans="1:18" s="1454" customFormat="1" ht="29.25" thickBot="1">
      <c r="A57" s="2537"/>
      <c r="B57" s="2398" t="s">
        <v>970</v>
      </c>
      <c r="C57" s="614">
        <f ca="1">C29</f>
        <v>120361522</v>
      </c>
      <c r="D57" s="2409"/>
      <c r="E57" s="2410"/>
      <c r="F57" s="2538"/>
      <c r="I57" s="2541" t="s">
        <v>2444</v>
      </c>
      <c r="J57" s="2545">
        <f ca="1">IF(OR(M47="住宅",J51&lt;L48,J56="是"),"——",J51-L48)</f>
        <v>32.379999999999995</v>
      </c>
      <c r="K57" s="2540" t="s">
        <v>2437</v>
      </c>
      <c r="L57" s="2164" t="str">
        <f ca="1">IF(L48&lt;J51,"——",IF(L55="比较法",L49,IF(L55="基准地价",L50,L51)))</f>
        <v>——</v>
      </c>
      <c r="O57" s="2583" t="s">
        <v>2448</v>
      </c>
      <c r="P57" s="2593" t="s">
        <v>2472</v>
      </c>
      <c r="Q57" s="2584">
        <f ca="1">L60</f>
        <v>0</v>
      </c>
      <c r="R57" s="2584" t="s">
        <v>2487</v>
      </c>
    </row>
    <row r="58" spans="1:18" s="1454" customFormat="1" ht="29.25" thickBot="1">
      <c r="A58" s="697" t="s">
        <v>2336</v>
      </c>
      <c r="B58" s="2406" t="s">
        <v>928</v>
      </c>
      <c r="C58" s="698">
        <f ca="1">ROUND(C59+C64+C65+C66,0)</f>
        <v>3082284</v>
      </c>
      <c r="D58" s="2412" t="s">
        <v>929</v>
      </c>
      <c r="E58" s="2413"/>
      <c r="F58" s="2414"/>
      <c r="I58" s="2541" t="s">
        <v>2424</v>
      </c>
      <c r="J58" s="3315">
        <f ca="1">IF(J55&lt;0.4,0.4,J55)</f>
        <v>0.54</v>
      </c>
      <c r="K58" s="2564" t="s">
        <v>2446</v>
      </c>
      <c r="L58" s="2164">
        <f ca="1">IF(ISERROR(POWER(1+L52,L47-L48)*(POWER(1+L52,L48)-1)/(POWER(1+L52,L47)-1)),0,POWER(1+L52,L47-L48)*(POWER(1+L52,L48)-1)/(POWER(1+L52,L47)-1))</f>
        <v>0</v>
      </c>
      <c r="O58" s="2585" t="s">
        <v>2449</v>
      </c>
      <c r="P58" s="2593" t="s">
        <v>2479</v>
      </c>
      <c r="Q58" s="2584">
        <f>IF(L55="比较法",L49,IF(L55="基准地价",L50,0))</f>
        <v>0</v>
      </c>
      <c r="R58" s="2584" t="s">
        <v>2466</v>
      </c>
    </row>
    <row r="59" spans="1:18" s="1454" customFormat="1" ht="29.25" thickBot="1">
      <c r="A59" s="2434" t="s">
        <v>2371</v>
      </c>
      <c r="B59" s="2398" t="s">
        <v>361</v>
      </c>
      <c r="C59" s="313">
        <f ca="1">ROUND(IF(项目基本情况!B11="自然人",C48*F59,C60+C61+C62),0)</f>
        <v>1043360</v>
      </c>
      <c r="D59" s="2415" t="s">
        <v>932</v>
      </c>
      <c r="E59" s="2416" t="s">
        <v>933</v>
      </c>
      <c r="F59" s="708" t="str">
        <f ca="1">IF(项目基本情况!B11="企业","",IF(INDIRECT("'数据-取费表'!c"&amp;$G$1)="住宅",5%,IF(F49*F50*F51/12/(1+'数据-取费表'!C42)&gt;20000,12%,7%)))</f>
        <v/>
      </c>
      <c r="I59" s="2541" t="s">
        <v>2425</v>
      </c>
      <c r="J59" s="2545">
        <f ca="1">IF(OR(M47="住宅",J51&lt;L48,J56="是"),"——",ROUND(C29*J58,0))</f>
        <v>64995222</v>
      </c>
      <c r="K59" s="2564" t="s">
        <v>2434</v>
      </c>
      <c r="L59" s="2164">
        <f ca="1">IF(ISERROR(POWER(1+L52,L47-J51)*(POWER(1+L52,J51)-1)/(POWER(1+L52,L47)-1)),0,POWER(1+L52,L47-J51)*(POWER(1+L52,J51)-1)/(POWER(1+L52,L47)-1))</f>
        <v>0</v>
      </c>
      <c r="O59" s="2585" t="s">
        <v>2450</v>
      </c>
      <c r="P59" s="2593" t="s">
        <v>2480</v>
      </c>
      <c r="Q59" s="2586">
        <f>L52</f>
        <v>0</v>
      </c>
      <c r="R59" s="2584"/>
    </row>
    <row r="60" spans="1:18" s="1454" customFormat="1" ht="20.25" thickBot="1">
      <c r="A60" s="2434" t="s">
        <v>2368</v>
      </c>
      <c r="B60" s="2398" t="s">
        <v>934</v>
      </c>
      <c r="C60" s="313">
        <f ca="1">IF(项目基本情况!B11="自然人","——",ROUND(C48*F60/(1+'数据-取费表'!C42),0))</f>
        <v>0</v>
      </c>
      <c r="D60" s="2416" t="s">
        <v>935</v>
      </c>
      <c r="E60" s="2398" t="s">
        <v>363</v>
      </c>
      <c r="F60" s="717">
        <f t="shared" ref="F60:F66" si="0">F32</f>
        <v>5.6000000000000001E-2</v>
      </c>
      <c r="I60" s="2542" t="s">
        <v>2426</v>
      </c>
      <c r="J60" s="2546">
        <f ca="1">IF(OR(M47="住宅",J51&lt;L48,J56="是"),"0",ROUND(J59/(1+J52)^J53,0))</f>
        <v>64995222</v>
      </c>
      <c r="K60" s="2548" t="s">
        <v>2429</v>
      </c>
      <c r="L60" s="2546">
        <f ca="1">IF(OR(M47="住宅",L48&lt;J51),0,ROUND(L57*(L58/L59-1),0))</f>
        <v>0</v>
      </c>
      <c r="O60" s="2585" t="s">
        <v>2451</v>
      </c>
      <c r="P60" s="2593" t="s">
        <v>2481</v>
      </c>
      <c r="Q60" s="2584">
        <f ca="1">L58</f>
        <v>0</v>
      </c>
      <c r="R60" s="2584" t="s">
        <v>2456</v>
      </c>
    </row>
    <row r="61" spans="1:18" s="1454" customFormat="1" ht="20.25" thickBot="1">
      <c r="A61" s="2434" t="s">
        <v>2369</v>
      </c>
      <c r="B61" s="2398" t="s">
        <v>937</v>
      </c>
      <c r="C61" s="313">
        <f ca="1">IF(项目基本情况!B11="自然人","——",IF(D61="按租金收入计税",ROUND(C48*F61,0),IF(D61="按房产原值计税",ROUND(C57*F61*0.7,0),INDIRECT("'数据-取费表'!Aj"&amp;$G$1))))</f>
        <v>1011037</v>
      </c>
      <c r="D61" s="1300" t="s">
        <v>2411</v>
      </c>
      <c r="E61" s="2398" t="s">
        <v>363</v>
      </c>
      <c r="F61" s="707">
        <f t="shared" si="0"/>
        <v>1.2E-2</v>
      </c>
      <c r="I61" s="2408"/>
      <c r="J61" s="2408"/>
      <c r="K61" s="2408"/>
      <c r="L61" s="2408"/>
      <c r="O61" s="2585" t="s">
        <v>2452</v>
      </c>
      <c r="P61" s="2593" t="s">
        <v>2482</v>
      </c>
      <c r="Q61" s="2584">
        <f ca="1">L59</f>
        <v>0</v>
      </c>
      <c r="R61" s="2584" t="s">
        <v>2457</v>
      </c>
    </row>
    <row r="62" spans="1:18" s="1454" customFormat="1" ht="15.75" thickBot="1">
      <c r="A62" s="2434" t="s">
        <v>2370</v>
      </c>
      <c r="B62" s="2397" t="s">
        <v>939</v>
      </c>
      <c r="C62" s="314">
        <f ca="1">IF(项目基本情况!B11="自然人","——",ROUND(F62*F63,0))</f>
        <v>32323</v>
      </c>
      <c r="D62" s="2417" t="s">
        <v>940</v>
      </c>
      <c r="E62" s="2398" t="s">
        <v>941</v>
      </c>
      <c r="F62" s="711">
        <f t="shared" si="0"/>
        <v>4</v>
      </c>
      <c r="I62" s="2543" t="s">
        <v>2416</v>
      </c>
      <c r="J62" s="2544" t="s">
        <v>2417</v>
      </c>
      <c r="K62" s="2544" t="s">
        <v>2418</v>
      </c>
      <c r="L62" s="2544" t="s">
        <v>2414</v>
      </c>
      <c r="M62" s="3316" t="s">
        <v>3031</v>
      </c>
      <c r="O62" s="2583" t="s">
        <v>2453</v>
      </c>
      <c r="P62" s="2593" t="s">
        <v>2471</v>
      </c>
      <c r="Q62" s="2584">
        <f ca="1">Q56+Q57</f>
        <v>662011235</v>
      </c>
      <c r="R62" s="2584" t="s">
        <v>2454</v>
      </c>
    </row>
    <row r="63" spans="1:18" s="1454" customFormat="1" ht="16.5" thickBot="1">
      <c r="A63" s="712"/>
      <c r="B63" s="2404"/>
      <c r="C63" s="318"/>
      <c r="D63" s="2418"/>
      <c r="E63" s="2398" t="s">
        <v>945</v>
      </c>
      <c r="F63" s="685">
        <f t="shared" ca="1" si="0"/>
        <v>8080.7</v>
      </c>
      <c r="I63" s="2543" t="s">
        <v>2430</v>
      </c>
      <c r="J63" s="3319">
        <v>70</v>
      </c>
      <c r="K63" s="3319">
        <v>50</v>
      </c>
      <c r="L63" s="3319">
        <v>80</v>
      </c>
      <c r="M63" s="3317">
        <v>0.02</v>
      </c>
      <c r="O63" s="2587" t="s">
        <v>2485</v>
      </c>
      <c r="P63" s="1295"/>
      <c r="Q63" s="1295"/>
      <c r="R63" s="1295"/>
    </row>
    <row r="64" spans="1:18" s="1454" customFormat="1" ht="15.75" thickBot="1">
      <c r="A64" s="2434" t="s">
        <v>2378</v>
      </c>
      <c r="B64" s="2398" t="s">
        <v>947</v>
      </c>
      <c r="C64" s="313">
        <f ca="1">ROUND(C57*F64,0)</f>
        <v>1805423</v>
      </c>
      <c r="D64" s="2416" t="s">
        <v>977</v>
      </c>
      <c r="E64" s="2398" t="s">
        <v>363</v>
      </c>
      <c r="F64" s="714">
        <f t="shared" ca="1" si="0"/>
        <v>1.4999999999999999E-2</v>
      </c>
      <c r="I64" s="2543" t="s">
        <v>105</v>
      </c>
      <c r="J64" s="3319">
        <v>50</v>
      </c>
      <c r="K64" s="3319">
        <v>35</v>
      </c>
      <c r="L64" s="3319">
        <v>60</v>
      </c>
      <c r="M64" s="3318">
        <v>0</v>
      </c>
      <c r="O64" s="2590" t="s">
        <v>2462</v>
      </c>
      <c r="P64" s="2591" t="s">
        <v>2463</v>
      </c>
      <c r="Q64" s="2592" t="s">
        <v>2461</v>
      </c>
      <c r="R64" s="2592" t="s">
        <v>2464</v>
      </c>
    </row>
    <row r="65" spans="1:18" s="1454" customFormat="1" ht="15.75" thickBot="1">
      <c r="A65" s="2434" t="s">
        <v>2372</v>
      </c>
      <c r="B65" s="2398" t="s">
        <v>366</v>
      </c>
      <c r="C65" s="313">
        <f ca="1">ROUND(C56*F65,0)</f>
        <v>233501</v>
      </c>
      <c r="D65" s="2416" t="s">
        <v>367</v>
      </c>
      <c r="E65" s="2398" t="s">
        <v>363</v>
      </c>
      <c r="F65" s="716">
        <f t="shared" ca="1" si="0"/>
        <v>2E-3</v>
      </c>
      <c r="I65" s="2543" t="s">
        <v>2432</v>
      </c>
      <c r="J65" s="3319">
        <v>40</v>
      </c>
      <c r="K65" s="3319">
        <v>30</v>
      </c>
      <c r="L65" s="3319">
        <v>50</v>
      </c>
      <c r="M65" s="3317">
        <v>0.02</v>
      </c>
      <c r="O65" s="2583" t="s">
        <v>2447</v>
      </c>
      <c r="P65" s="2593" t="s">
        <v>2465</v>
      </c>
      <c r="Q65" s="2584">
        <f ca="1">C40+J29</f>
        <v>662011235</v>
      </c>
      <c r="R65" s="2584" t="s">
        <v>2466</v>
      </c>
    </row>
    <row r="66" spans="1:18" s="1454" customFormat="1" ht="20.25" thickBot="1">
      <c r="A66" s="2434" t="s">
        <v>2373</v>
      </c>
      <c r="B66" s="2398" t="s">
        <v>365</v>
      </c>
      <c r="C66" s="313">
        <f ca="1">ROUND(C48*F66,0)</f>
        <v>0</v>
      </c>
      <c r="D66" s="2416" t="s">
        <v>369</v>
      </c>
      <c r="E66" s="2398" t="s">
        <v>363</v>
      </c>
      <c r="F66" s="694">
        <f t="shared" ca="1" si="0"/>
        <v>0.01</v>
      </c>
      <c r="O66" s="2583" t="s">
        <v>2448</v>
      </c>
      <c r="P66" s="2593" t="s">
        <v>2472</v>
      </c>
      <c r="Q66" s="2584">
        <f ca="1">L60</f>
        <v>0</v>
      </c>
      <c r="R66" s="2584" t="s">
        <v>2455</v>
      </c>
    </row>
    <row r="67" spans="1:18" s="1454" customFormat="1" ht="24.75" thickBot="1">
      <c r="A67" s="2405" t="s">
        <v>2351</v>
      </c>
      <c r="B67" s="2419" t="s">
        <v>375</v>
      </c>
      <c r="C67" s="698">
        <f ca="1">C48-C58</f>
        <v>-3082284</v>
      </c>
      <c r="D67" s="2415" t="s">
        <v>376</v>
      </c>
      <c r="E67" s="2420"/>
      <c r="F67" s="2421"/>
      <c r="O67" s="2585" t="s">
        <v>2449</v>
      </c>
      <c r="P67" s="2593" t="s">
        <v>2479</v>
      </c>
      <c r="Q67" s="2588">
        <f ca="1">L51</f>
        <v>269845859</v>
      </c>
      <c r="R67" s="2589" t="s">
        <v>2489</v>
      </c>
    </row>
    <row r="68" spans="1:18" s="1454" customFormat="1" ht="20.25" thickBot="1">
      <c r="A68" s="2395" t="s">
        <v>2354</v>
      </c>
      <c r="B68" s="2396" t="s">
        <v>377</v>
      </c>
      <c r="C68" s="683">
        <f ca="1">ROUND(C67*(1-((1+F70)/(1+F68))^F69)/(F68-F70),0)</f>
        <v>-16152188</v>
      </c>
      <c r="D68" s="2417" t="s">
        <v>371</v>
      </c>
      <c r="E68" s="2398" t="s">
        <v>372</v>
      </c>
      <c r="F68" s="694">
        <f ca="1">F40</f>
        <v>5.5E-2</v>
      </c>
      <c r="O68" s="2585" t="s">
        <v>2450</v>
      </c>
      <c r="P68" s="2594" t="s">
        <v>2483</v>
      </c>
      <c r="Q68" s="2584">
        <f ca="1">ROUND(Q69-Q70*Q71,0)</f>
        <v>17260650</v>
      </c>
      <c r="R68" s="2584" t="s">
        <v>2488</v>
      </c>
    </row>
    <row r="69" spans="1:18" s="1454" customFormat="1" ht="15.75" thickBot="1">
      <c r="A69" s="2399"/>
      <c r="B69" s="2400"/>
      <c r="C69" s="688"/>
      <c r="D69" s="2422" t="s">
        <v>962</v>
      </c>
      <c r="E69" s="2398" t="s">
        <v>379</v>
      </c>
      <c r="F69" s="719">
        <f ca="1">F41</f>
        <v>6.35</v>
      </c>
      <c r="O69" s="2585" t="s">
        <v>2458</v>
      </c>
      <c r="P69" s="2594" t="s">
        <v>2473</v>
      </c>
      <c r="Q69" s="2584">
        <f ca="1">C39</f>
        <v>24265691</v>
      </c>
      <c r="R69" s="2584" t="s">
        <v>2466</v>
      </c>
    </row>
    <row r="70" spans="1:18" s="1454" customFormat="1" ht="15.75" thickBot="1">
      <c r="A70" s="2402"/>
      <c r="B70" s="2403"/>
      <c r="C70" s="692"/>
      <c r="D70" s="2418"/>
      <c r="E70" s="2398" t="s">
        <v>380</v>
      </c>
      <c r="F70" s="2528">
        <f ca="1">F42</f>
        <v>0</v>
      </c>
      <c r="O70" s="2585" t="s">
        <v>2459</v>
      </c>
      <c r="P70" s="2594" t="s">
        <v>2474</v>
      </c>
      <c r="Q70" s="2584">
        <f ca="1">C13</f>
        <v>116750676</v>
      </c>
      <c r="R70" s="2584" t="s">
        <v>2466</v>
      </c>
    </row>
    <row r="71" spans="1:18" s="1454" customFormat="1" ht="15.75" thickBot="1">
      <c r="A71" s="2423" t="s">
        <v>2361</v>
      </c>
      <c r="B71" s="2424" t="s">
        <v>381</v>
      </c>
      <c r="C71" s="722">
        <f ca="1">ROUND(C68/F71,0)</f>
        <v>-404</v>
      </c>
      <c r="D71" s="2425" t="s">
        <v>382</v>
      </c>
      <c r="E71" s="2426" t="s">
        <v>383</v>
      </c>
      <c r="F71" s="725">
        <f ca="1">F43</f>
        <v>39946.129999999997</v>
      </c>
      <c r="I71" s="2393"/>
      <c r="K71" s="2393"/>
      <c r="O71" s="2585" t="s">
        <v>2460</v>
      </c>
      <c r="P71" s="2594" t="s">
        <v>2486</v>
      </c>
      <c r="Q71" s="2586">
        <f ca="1">C76</f>
        <v>0.06</v>
      </c>
      <c r="R71" s="2584"/>
    </row>
    <row r="72" spans="1:18" s="1454" customFormat="1" ht="15.75" thickBot="1">
      <c r="B72" s="1459"/>
      <c r="C72" s="1459"/>
      <c r="I72" s="2393"/>
      <c r="O72" s="2585" t="s">
        <v>2451</v>
      </c>
      <c r="P72" s="2593" t="s">
        <v>2480</v>
      </c>
      <c r="Q72" s="2586">
        <f>L52</f>
        <v>0</v>
      </c>
      <c r="R72" s="2584"/>
    </row>
    <row r="73" spans="1:18" ht="20.25" thickBot="1">
      <c r="A73" s="1454"/>
      <c r="B73" s="1459"/>
      <c r="C73" s="1459"/>
      <c r="D73" s="1454"/>
      <c r="E73" s="1454"/>
      <c r="F73" s="1454"/>
      <c r="I73" s="2579"/>
      <c r="O73" s="2585" t="s">
        <v>2452</v>
      </c>
      <c r="P73" s="2593" t="s">
        <v>2481</v>
      </c>
      <c r="Q73" s="2584">
        <f ca="1">L58</f>
        <v>0</v>
      </c>
      <c r="R73" s="2584" t="s">
        <v>2456</v>
      </c>
    </row>
    <row r="74" spans="1:18" ht="20.25" thickBot="1">
      <c r="A74" s="1454"/>
      <c r="B74" s="727" t="s">
        <v>384</v>
      </c>
      <c r="C74" s="728"/>
      <c r="D74" s="1454"/>
      <c r="E74" s="1454"/>
      <c r="F74" s="1454"/>
      <c r="O74" s="2585" t="s">
        <v>2490</v>
      </c>
      <c r="P74" s="2593" t="s">
        <v>2482</v>
      </c>
      <c r="Q74" s="2584">
        <f ca="1">L59</f>
        <v>0</v>
      </c>
      <c r="R74" s="2584" t="s">
        <v>2457</v>
      </c>
    </row>
    <row r="75" spans="1:18" ht="15.75" thickBot="1">
      <c r="A75" s="1454"/>
      <c r="B75" s="729" t="s">
        <v>975</v>
      </c>
      <c r="C75" s="730">
        <f ca="1">ROUND(C13*C76,0)</f>
        <v>7005041</v>
      </c>
      <c r="D75" s="1454"/>
      <c r="E75" s="1454"/>
      <c r="F75" s="1454"/>
      <c r="K75" s="1455"/>
      <c r="L75" s="1454"/>
      <c r="O75" s="2583" t="s">
        <v>2453</v>
      </c>
      <c r="P75" s="2593" t="s">
        <v>2471</v>
      </c>
      <c r="Q75" s="2584">
        <f ca="1">Q65+Q66</f>
        <v>662011235</v>
      </c>
      <c r="R75" s="2584" t="s">
        <v>2454</v>
      </c>
    </row>
    <row r="76" spans="1:18">
      <c r="B76" s="731" t="s">
        <v>976</v>
      </c>
      <c r="C76" s="732">
        <f ca="1">INDIRECT("'数据-取费表'!j"&amp;$G$1)</f>
        <v>0.06</v>
      </c>
      <c r="I76" s="1454"/>
      <c r="J76" s="1454"/>
      <c r="K76" s="1455"/>
      <c r="L76" s="1454"/>
    </row>
    <row r="77" spans="1:18">
      <c r="B77" s="733" t="s">
        <v>979</v>
      </c>
      <c r="C77" s="734"/>
      <c r="I77" s="1454"/>
      <c r="J77" s="1454"/>
      <c r="K77" s="1455"/>
      <c r="L77" s="1454"/>
    </row>
    <row r="78" spans="1:18">
      <c r="B78" s="646" t="s">
        <v>965</v>
      </c>
      <c r="C78" s="735"/>
    </row>
    <row r="79" spans="1:18">
      <c r="B79" s="2869" t="s">
        <v>2698</v>
      </c>
      <c r="C79" s="650">
        <f ca="1">1-C80</f>
        <v>0.71100000000000008</v>
      </c>
    </row>
    <row r="80" spans="1:18">
      <c r="B80" s="2869" t="s">
        <v>2699</v>
      </c>
      <c r="C80" s="650">
        <f ca="1">ROUND(C75/C39,3)</f>
        <v>0.28899999999999998</v>
      </c>
    </row>
    <row r="81" spans="2:3">
      <c r="B81" s="646" t="s">
        <v>385</v>
      </c>
      <c r="C81" s="647"/>
    </row>
    <row r="82" spans="2:3">
      <c r="B82" s="2868" t="s">
        <v>2696</v>
      </c>
      <c r="C82" s="651">
        <f ca="1">1-C83</f>
        <v>8.1999999999999962E-2</v>
      </c>
    </row>
    <row r="83" spans="2:3">
      <c r="B83" s="2868" t="s">
        <v>2695</v>
      </c>
      <c r="C83" s="650">
        <f ca="1">ROUND(C13/C40,3)</f>
        <v>0.91800000000000004</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RowHeight="12.75"/>
  <cols>
    <col min="1" max="1" width="11.5" style="470" customWidth="1"/>
    <col min="2" max="2" width="10.37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7" t="s">
        <v>2380</v>
      </c>
      <c r="C1" s="3833" t="s">
        <v>2381</v>
      </c>
      <c r="D1" s="3834"/>
      <c r="E1" s="3834"/>
      <c r="F1" s="3834"/>
      <c r="G1" s="3834"/>
      <c r="H1" s="3834"/>
      <c r="I1" s="3834"/>
      <c r="J1" s="3834"/>
      <c r="K1" s="3834"/>
      <c r="L1" s="3834"/>
      <c r="M1" s="3834"/>
      <c r="N1" s="3834"/>
      <c r="O1" s="3834"/>
      <c r="P1" s="3834"/>
      <c r="Q1" s="3834"/>
      <c r="R1" s="3834"/>
      <c r="S1" s="3835"/>
      <c r="T1" s="2437" t="s">
        <v>2382</v>
      </c>
    </row>
    <row r="2" spans="1:45" s="1115" customFormat="1" ht="25.5">
      <c r="A2" s="2438"/>
      <c r="B2" s="1111" t="s">
        <v>2383</v>
      </c>
      <c r="C2" s="1112" t="str">
        <f t="shared" ref="C2:L2" si="0">C3&amp;"(含)"&amp;"-"&amp;D3</f>
        <v>0(含)-30000</v>
      </c>
      <c r="D2" s="1113" t="str">
        <f t="shared" si="0"/>
        <v>30000(含)-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39"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0"/>
      <c r="B3" s="1116"/>
      <c r="C3" s="1117">
        <v>0</v>
      </c>
      <c r="D3" s="1118">
        <v>30000</v>
      </c>
      <c r="E3" s="1118"/>
      <c r="F3" s="3204"/>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48"/>
      <c r="B5" s="3302" t="s">
        <v>3025</v>
      </c>
      <c r="C5" s="2449"/>
      <c r="D5" s="2450"/>
      <c r="E5" s="2450"/>
      <c r="F5" s="3211"/>
      <c r="G5" s="3211"/>
      <c r="H5" s="3211"/>
      <c r="I5" s="3211"/>
      <c r="J5" s="3211"/>
      <c r="K5" s="3211"/>
      <c r="L5" s="3212"/>
      <c r="M5" s="3213"/>
      <c r="N5" s="3213"/>
      <c r="O5" s="3211"/>
      <c r="P5" s="3211"/>
      <c r="Q5" s="3211"/>
      <c r="R5" s="3211"/>
      <c r="S5" s="3214"/>
      <c r="T5" s="2452"/>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8"/>
      <c r="B7" s="3303" t="s">
        <v>3024</v>
      </c>
      <c r="C7" s="2204"/>
      <c r="D7" s="2198"/>
      <c r="E7" s="2198"/>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8"/>
      <c r="B9" s="3303" t="s">
        <v>3023</v>
      </c>
      <c r="C9" s="2204"/>
      <c r="D9" s="2198"/>
      <c r="E9" s="2198"/>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8"/>
      <c r="B11" s="3302" t="s">
        <v>3022</v>
      </c>
      <c r="C11" s="2449"/>
      <c r="D11" s="2450"/>
      <c r="E11" s="2450"/>
      <c r="F11" s="2450"/>
      <c r="G11" s="2450"/>
      <c r="H11" s="2450"/>
      <c r="I11" s="2450"/>
      <c r="J11" s="2450"/>
      <c r="K11" s="2450"/>
      <c r="L11" s="2450"/>
      <c r="M11" s="2451"/>
      <c r="N11" s="2455"/>
      <c r="O11" s="2456"/>
      <c r="P11" s="2457"/>
      <c r="Q11" s="2458"/>
      <c r="R11" s="2459"/>
      <c r="S11" s="2460"/>
      <c r="T11" s="2452"/>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8"/>
      <c r="B13" s="3302" t="s">
        <v>3021</v>
      </c>
      <c r="C13" s="2449"/>
      <c r="D13" s="2450"/>
      <c r="E13" s="2450"/>
      <c r="F13" s="2450"/>
      <c r="G13" s="2450"/>
      <c r="H13" s="2450"/>
      <c r="I13" s="2450"/>
      <c r="J13" s="2450"/>
      <c r="K13" s="2450"/>
      <c r="L13" s="2450"/>
      <c r="M13" s="2451"/>
      <c r="N13" s="2455"/>
      <c r="O13" s="2456"/>
      <c r="P13" s="2457"/>
      <c r="Q13" s="2458"/>
      <c r="R13" s="2459"/>
      <c r="S13" s="2460"/>
      <c r="T13" s="2461"/>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8"/>
      <c r="B15" s="3302" t="s">
        <v>3020</v>
      </c>
      <c r="C15" s="2449">
        <v>1</v>
      </c>
      <c r="D15" s="2450">
        <v>2</v>
      </c>
      <c r="E15" s="2450">
        <v>3</v>
      </c>
      <c r="F15" s="2450">
        <v>4</v>
      </c>
      <c r="G15" s="2450"/>
      <c r="H15" s="2450"/>
      <c r="I15" s="2450"/>
      <c r="J15" s="2450"/>
      <c r="K15" s="2450"/>
      <c r="L15" s="2450"/>
      <c r="M15" s="2451"/>
      <c r="N15" s="2455"/>
      <c r="O15" s="2456"/>
      <c r="P15" s="2457"/>
      <c r="Q15" s="2458"/>
      <c r="R15" s="2459"/>
      <c r="S15" s="2460"/>
      <c r="T15" s="2461"/>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8"/>
      <c r="B16" s="2442"/>
      <c r="C16" s="2443">
        <v>100</v>
      </c>
      <c r="D16" s="2444">
        <v>60</v>
      </c>
      <c r="E16" s="2444">
        <v>50</v>
      </c>
      <c r="F16" s="2444">
        <v>40</v>
      </c>
      <c r="G16" s="2444"/>
      <c r="H16" s="2444"/>
      <c r="I16" s="2444"/>
      <c r="J16" s="2444"/>
      <c r="K16" s="2444"/>
      <c r="L16" s="2444"/>
      <c r="M16" s="2445"/>
      <c r="N16" s="2445"/>
      <c r="O16" s="2444"/>
      <c r="P16" s="2444"/>
      <c r="Q16" s="2444"/>
      <c r="R16" s="2444"/>
      <c r="S16" s="2446"/>
      <c r="T16" s="2447"/>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0" t="s">
        <v>2384</v>
      </c>
      <c r="B17" s="2481" t="s">
        <v>2385</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3"/>
      <c r="AS17" s="1463"/>
    </row>
    <row r="18" spans="1:45" s="1115"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3"/>
      <c r="AS18" s="1463"/>
    </row>
    <row r="19" spans="1:45">
      <c r="A19" s="469"/>
      <c r="B19" s="500"/>
      <c r="C19" s="500"/>
      <c r="D19" s="3353" t="s">
        <v>3058</v>
      </c>
      <c r="E19" s="3348"/>
      <c r="F19" s="3348"/>
      <c r="G19" s="3348"/>
      <c r="H19" s="2534"/>
      <c r="I19" s="500"/>
      <c r="J19" s="500"/>
      <c r="K19" s="500"/>
      <c r="L19" s="500"/>
      <c r="M19" s="500"/>
      <c r="N19" s="500"/>
      <c r="O19" s="500"/>
      <c r="P19" s="500"/>
      <c r="Q19" s="500"/>
      <c r="R19" s="1415"/>
      <c r="S19" s="469"/>
    </row>
    <row r="20" spans="1:45" ht="16.5" thickBot="1">
      <c r="A20" s="1123" t="s">
        <v>519</v>
      </c>
      <c r="B20" s="673">
        <f>IF(D20="——",S22,S22-F20)</f>
        <v>134224</v>
      </c>
      <c r="C20" s="500"/>
      <c r="D20" s="3349" t="s">
        <v>529</v>
      </c>
      <c r="E20" s="3350"/>
      <c r="F20" s="2437" t="e">
        <f ca="1">SUMIF(INDIRECT("'"&amp;H20&amp;"'"&amp;"!A:A"),"承租人权益价值",INDIRECT("'"&amp;H20&amp;"'"&amp;"!c:c"))</f>
        <v>#REF!</v>
      </c>
      <c r="G20" s="3351" t="s">
        <v>3046</v>
      </c>
      <c r="H20" s="3352"/>
      <c r="I20" s="500"/>
      <c r="J20" s="500"/>
      <c r="K20" s="500"/>
      <c r="L20" s="500"/>
      <c r="M20" s="500"/>
      <c r="N20" s="500"/>
      <c r="O20" s="500"/>
      <c r="P20" s="500"/>
      <c r="Q20" s="500"/>
      <c r="R20" s="1415"/>
      <c r="S20" s="469"/>
    </row>
    <row r="21" spans="1:45" ht="15.75">
      <c r="A21" s="1123" t="s">
        <v>520</v>
      </c>
      <c r="B21" s="673">
        <f>R22</f>
        <v>21769</v>
      </c>
      <c r="C21" s="500"/>
      <c r="D21" s="500"/>
      <c r="E21" s="500"/>
      <c r="F21" s="500"/>
      <c r="G21" s="500"/>
      <c r="H21" s="500"/>
      <c r="I21" s="500"/>
      <c r="J21" s="500"/>
      <c r="K21" s="500"/>
      <c r="L21" s="500"/>
      <c r="M21" s="500"/>
      <c r="N21" s="500"/>
      <c r="O21" s="500"/>
      <c r="P21" s="500"/>
      <c r="Q21" s="500"/>
      <c r="R21" s="1415"/>
      <c r="S21" s="469"/>
    </row>
    <row r="22" spans="1:45">
      <c r="A22" s="698" t="s">
        <v>521</v>
      </c>
      <c r="B22" s="313">
        <f>SUM(B24:B10000)</f>
        <v>61657.18</v>
      </c>
      <c r="C22" s="3830" t="s">
        <v>167</v>
      </c>
      <c r="D22" s="3831"/>
      <c r="E22" s="3831"/>
      <c r="F22" s="3831"/>
      <c r="G22" s="3831"/>
      <c r="H22" s="3831"/>
      <c r="I22" s="3831"/>
      <c r="J22" s="3831"/>
      <c r="K22" s="3831"/>
      <c r="L22" s="3831"/>
      <c r="M22" s="3831"/>
      <c r="N22" s="3831"/>
      <c r="O22" s="3831"/>
      <c r="P22" s="3831"/>
      <c r="Q22" s="3832"/>
      <c r="R22" s="1124">
        <f>ROUND(S22*10000/B22,0)</f>
        <v>21769</v>
      </c>
      <c r="S22" s="313">
        <f>SUM(S24:S10000)</f>
        <v>134224</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3553">
        <f>商业!C43</f>
        <v>28288</v>
      </c>
      <c r="C24" s="1127">
        <v>1</v>
      </c>
      <c r="D24" s="1128"/>
      <c r="E24" s="1127">
        <v>1</v>
      </c>
      <c r="F24" s="1128"/>
      <c r="G24" s="1127">
        <v>1</v>
      </c>
      <c r="H24" s="1128"/>
      <c r="I24" s="1127">
        <v>1</v>
      </c>
      <c r="J24" s="1128"/>
      <c r="K24" s="1127">
        <v>1</v>
      </c>
      <c r="L24" s="1128"/>
      <c r="M24" s="1127">
        <v>1</v>
      </c>
      <c r="N24" s="1128">
        <v>1</v>
      </c>
      <c r="O24" s="1127">
        <v>1</v>
      </c>
      <c r="P24" s="1128"/>
      <c r="Q24" s="1127">
        <v>1</v>
      </c>
      <c r="R24" s="1129">
        <f>'比较法-商业'!C49</f>
        <v>28483</v>
      </c>
      <c r="S24" s="1127">
        <f t="shared" ref="S24:S54" si="11">ROUND(R24*B24/10000,0)</f>
        <v>80573</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553">
        <f>商业!D43</f>
        <v>23728.07</v>
      </c>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v>2</v>
      </c>
      <c r="O25" s="313">
        <f>(SUMIF($15:$15,N25,$16:$16)-SUMIF($15:$15,$N$24,$16:$16)+100)/100</f>
        <v>0.6</v>
      </c>
      <c r="P25" s="1128"/>
      <c r="Q25" s="313">
        <f>(SUMIF($17:$17,P25,$18:$18)-SUMIF($17:$17,$P$24,$18:$18)+100)/100</f>
        <v>1</v>
      </c>
      <c r="R25" s="1124">
        <f>IF(B25="",0,ROUND($R$24*C25*E25*G25*I25*K25*M25*O25*Q25,0))</f>
        <v>17090</v>
      </c>
      <c r="S25" s="698">
        <f t="shared" si="11"/>
        <v>40551</v>
      </c>
    </row>
    <row r="26" spans="1:45">
      <c r="A26" s="491"/>
      <c r="B26" s="3553">
        <f>商业!E43</f>
        <v>7426.54</v>
      </c>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v>3</v>
      </c>
      <c r="O26" s="313">
        <f t="shared" ref="O26:O89" si="18">(SUMIF($15:$15,N26,$16:$16)-SUMIF($15:$15,$N$24,$16:$16)+100)/100</f>
        <v>0.5</v>
      </c>
      <c r="P26" s="1128"/>
      <c r="Q26" s="313">
        <f t="shared" ref="Q26:Q89" si="19">(SUMIF($17:$17,P26,$18:$18)-SUMIF($17:$17,$P$24,$18:$18)+100)/100</f>
        <v>1</v>
      </c>
      <c r="R26" s="1124">
        <f t="shared" ref="R26:R89" si="20">IF(B26="",0,ROUND($R$24*C26*E26*G26*I26*K26*M26*O26*Q26,0))</f>
        <v>14242</v>
      </c>
      <c r="S26" s="698">
        <f t="shared" si="11"/>
        <v>10577</v>
      </c>
    </row>
    <row r="27" spans="1:45">
      <c r="A27" s="491"/>
      <c r="B27" s="3553">
        <f>商业!F43</f>
        <v>2214.5700000000002</v>
      </c>
      <c r="C27" s="313">
        <f t="shared" si="12"/>
        <v>1</v>
      </c>
      <c r="D27" s="1128"/>
      <c r="E27" s="313">
        <f t="shared" si="13"/>
        <v>1</v>
      </c>
      <c r="F27" s="1128"/>
      <c r="G27" s="313">
        <f t="shared" si="14"/>
        <v>1</v>
      </c>
      <c r="H27" s="1128"/>
      <c r="I27" s="313">
        <f t="shared" si="15"/>
        <v>1</v>
      </c>
      <c r="J27" s="1128"/>
      <c r="K27" s="313">
        <f t="shared" si="16"/>
        <v>1</v>
      </c>
      <c r="L27" s="1128"/>
      <c r="M27" s="313">
        <f t="shared" si="17"/>
        <v>1</v>
      </c>
      <c r="N27" s="1128">
        <v>4</v>
      </c>
      <c r="O27" s="313">
        <f t="shared" si="18"/>
        <v>0.4</v>
      </c>
      <c r="P27" s="1128"/>
      <c r="Q27" s="313">
        <f t="shared" si="19"/>
        <v>1</v>
      </c>
      <c r="R27" s="1124">
        <f t="shared" si="20"/>
        <v>11393</v>
      </c>
      <c r="S27" s="698">
        <f t="shared" si="11"/>
        <v>2523</v>
      </c>
    </row>
    <row r="28" spans="1:45">
      <c r="A28" s="491"/>
      <c r="B28" s="3553"/>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0</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0</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0</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0</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0</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0</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0</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0</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0</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0</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0</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0</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0</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0</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0</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0</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0</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0</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0</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0</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0</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0</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0</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0</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0</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0</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0</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0</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0</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0</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0</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0</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0</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0</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0</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0</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0</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0</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0</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0</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0</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0</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0</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0</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0</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0</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0</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0</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0</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0</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0</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0</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0</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0</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0</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0</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0</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0</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0</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0</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0</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0</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0</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0</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0</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0</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0</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0</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0</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0</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0</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0</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0</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0</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0</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0</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0</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0</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0</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0</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0</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0</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0</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0</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0</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0</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0</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0</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0</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0</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0</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0</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0</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0</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0</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0</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0</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0</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0</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0</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0</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0</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0</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0</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0</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0</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0</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0</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0</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0</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0</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0</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0</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0</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0</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0</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0</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0</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0</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0</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0</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0</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0</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0</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0</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0</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0</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0</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0</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0</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0</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0</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0</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0</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0</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0</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0</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0</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0</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0</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0</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0</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0</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0</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0</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0</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0</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0</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0</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0</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0</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0</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0</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0</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0</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0</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0</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0</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0</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0</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0</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0</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0</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0</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0</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0</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0</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0</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0</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0</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0</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0</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0</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0</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0</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0</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0</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0</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0</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0</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0</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0</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0</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0</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0</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0</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0</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0</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0</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0</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0</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0</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0</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0</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0</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0</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0</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0</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0</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0</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0</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0</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0</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0</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0</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0</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0</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0</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0</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0</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0</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0</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0</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0</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0</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0</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0</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0</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0</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0</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0</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0</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0</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0</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0</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0</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0</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0</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0</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0</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0</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0</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0</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0</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0</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0</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0</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0</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0</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0</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0</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0</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0</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0</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0</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0</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0</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0</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0</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0</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0</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0</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0</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0</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0</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0</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0</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0</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0</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0</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0</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0</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0</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0</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0</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0</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0</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0</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0</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0</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0</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0</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0</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0</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0</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0</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0</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0</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0</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0</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0</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0</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0</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0</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0</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0</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0</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0</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0</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0</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0</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0</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0</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0</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0</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0</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0</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0</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0</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0</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0</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0</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0</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0</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0</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0</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0</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0</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0</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0</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0</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0</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0</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0</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0</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0</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0</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0</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0</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0</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0</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0</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0</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0</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0</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0</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0</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0</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0</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0</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0</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0</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0</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0</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0</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0</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0</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0</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0</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0</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0</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0</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0</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0</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0</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0</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0</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0</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0</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0</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0</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0</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0</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0</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0</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0</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0</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0</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0</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0</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0</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0</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0</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0</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0</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0</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0</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0</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0</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0</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0</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0</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0</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0</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0</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0</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0</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0</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0</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0</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0</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0</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0</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0</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0</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0</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0</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0</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0</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0</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0</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0</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0</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0</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0</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0</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0</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0</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0</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0</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0</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0</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0</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0</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0</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0</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0</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0</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0</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0</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0</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0</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0</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0</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0</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0</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0</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0</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0</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0</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0</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0</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0</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0</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0</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0</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0</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0</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0</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0</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0</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0</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0</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0</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0</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0</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0</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0</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0</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0</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0</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0</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0</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0</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0</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0</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0</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0</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0</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0</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0</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0</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0</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0</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0</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0</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0</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0</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0</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0</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0</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0</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0</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0</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0</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0</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0</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0</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0</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0</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0</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0</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0</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0</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0</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0</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0</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0</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0</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0</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0</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0</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0</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0</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0</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0</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0</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0</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0</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0</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0</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0</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0</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0</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0</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0</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0</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2" t="s">
        <v>2006</v>
      </c>
    </row>
    <row r="2" spans="1:1">
      <c r="A2" s="1943"/>
    </row>
    <row r="3" spans="1:1" ht="18.75">
      <c r="A3" s="2882" t="str">
        <f>项目基本情况!B5&amp;"："</f>
        <v>中山市悦创房地产投资有限公司、中山市悦恒商业管理有限公司：</v>
      </c>
    </row>
    <row r="4" spans="1:1" ht="37.5">
      <c r="A4" s="1944" t="str">
        <f>"受贵公司委托，我公司对"&amp;项目基本情况!S1&amp;"进行了预评估。"</f>
        <v>受贵公司委托，我公司对广东省中山市中山市南区永安一路9号悦盈新成花园房地产市场价值进行了预评估。</v>
      </c>
    </row>
    <row r="5" spans="1:1" ht="18.75">
      <c r="A5" s="1945" t="s">
        <v>2007</v>
      </c>
    </row>
    <row r="6" spans="1:1" ht="18.75">
      <c r="A6" s="3048" t="s">
        <v>2865</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中山市中山市南区永安一路9号悦盈新成花园房地产，为所有。根据《国有土地使用证》[中府国用（2015）第易2602655号等]、，估价对象（分摊）出让国有建设用地使用权面积为33478.69平方米，建筑面积为165498.45平方米。</v>
      </c>
    </row>
    <row r="8" spans="1:1" ht="56.25">
      <c r="A8" s="1987" t="s">
        <v>2859</v>
      </c>
    </row>
    <row r="9" spans="1:1" ht="18.75">
      <c r="A9" s="3048" t="s">
        <v>2866</v>
      </c>
    </row>
    <row r="10" spans="1:1" ht="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中山市中山市南区永安一路9号悦盈新成花园房地产,属开发建设的居住项目，该项目尚在开发建设中。根据《国有土地使用证》[中府国用（2015）第易2602655号等]、，估价对象（分摊）出让国有建设用地使用权面积为33478.69平方米，规划建筑面积为165498.45平方米。</v>
      </c>
    </row>
    <row r="11" spans="1:1" ht="75">
      <c r="A11" s="1987" t="s">
        <v>2900</v>
      </c>
    </row>
    <row r="12" spans="1:1" ht="18.75">
      <c r="A12" s="1945" t="s">
        <v>2008</v>
      </c>
    </row>
    <row r="13" spans="1:1" ht="38.25" customHeight="1">
      <c r="A13" s="1946" t="str">
        <f>IF(项目基本情况!B8="抵押",IF(项目基本情况!B5=项目基本情况!B6,定义!C51,定义!B51),定义!D51)</f>
        <v>为估价委托人了解估价对象房地产市场价值提供参考依据。</v>
      </c>
    </row>
    <row r="14" spans="1:1" ht="18.75">
      <c r="A14" s="1947" t="s">
        <v>2009</v>
      </c>
    </row>
    <row r="15" spans="1:1" ht="18.75">
      <c r="A15" s="1948" t="str">
        <f>TEXT(项目基本情况!D3,"yyyy年m月d日;;")&amp;IF(项目基本情况!D3=项目基本情况!B3,"（评估专业人员实地查勘之日）","")</f>
        <v>2017年8月23日（评估专业人员实地查勘之日）</v>
      </c>
    </row>
    <row r="16" spans="1:1" ht="18.75">
      <c r="A16" s="1947" t="s">
        <v>2011</v>
      </c>
    </row>
    <row r="17" spans="1:1" ht="75">
      <c r="A17" s="1944" t="s">
        <v>2860</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23日，估价对象规划用途为商业、办公、地下车库，土地取得方式为出让，出让国有建设用地使用权剩余土地使用年限为商业27.6年，办公37.6年，地下车库37.6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红线内场地平整条件下，剩余土地使用年限为商业27.6年，办公37.6年，地下车库37.6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4" t="str">
        <f>IF(项目基本情况!B9="房地产市场价值","——",IF(项目基本情况!E8="房地产抵押价值",定义!C54,IF(项目基本情况!E8="已注销",定义!C55,定义!C56)))</f>
        <v>——</v>
      </c>
    </row>
    <row r="21" spans="1:1" ht="18.7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4" t="str">
        <f>IF(项目基本情况!B9="房地产市场价值","——",IF(项目基本情况!E9="——","",定义!C57))</f>
        <v>——</v>
      </c>
    </row>
    <row r="23" spans="1:1" ht="18.75">
      <c r="A23" s="1947" t="s">
        <v>2026</v>
      </c>
    </row>
    <row r="24" spans="1:1" ht="18.75">
      <c r="A24" s="1950" t="str">
        <f>"本次评估采用的主估价方法为"&amp;结果表!K4&amp;"和"&amp;结果表!L4&amp;"。"</f>
        <v>本次评估采用的主估价方法为收益法和基准地价系数修正法。</v>
      </c>
    </row>
    <row r="25" spans="1:1" ht="18.75">
      <c r="A25" s="1950"/>
    </row>
    <row r="26" spans="1:1" ht="18.75">
      <c r="A26" s="2079" t="s">
        <v>2105</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F11" sqref="F11"/>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4" t="s">
        <v>139</v>
      </c>
      <c r="D1" s="1242"/>
      <c r="E1" s="1242"/>
      <c r="F1" s="2078" t="s">
        <v>2104</v>
      </c>
      <c r="G1" s="2051" t="s">
        <v>3105</v>
      </c>
      <c r="H1" s="2107" t="str">
        <f>IF(G1="现房","——","估价对象范围")</f>
        <v>——</v>
      </c>
      <c r="I1" s="2084" t="s">
        <v>3906</v>
      </c>
    </row>
    <row r="2" spans="1:12" ht="21.75" customHeight="1" thickBot="1">
      <c r="A2" s="3728" t="str">
        <f>项目基本情况!S2</f>
        <v>广东省中山市中山市南区永安一路9号悦盈新成花园房地产</v>
      </c>
      <c r="B2" s="3729"/>
      <c r="C2" s="3729"/>
      <c r="D2" s="3729"/>
      <c r="E2" s="3729"/>
      <c r="F2" s="3729"/>
      <c r="G2" s="3729"/>
      <c r="H2" s="3729"/>
      <c r="I2" s="3730"/>
    </row>
    <row r="3" spans="1:12" ht="12">
      <c r="A3" s="3732" t="s">
        <v>10</v>
      </c>
      <c r="B3" s="3733"/>
      <c r="C3" s="3733"/>
      <c r="D3" s="3733"/>
      <c r="E3" s="3733"/>
      <c r="F3" s="3733"/>
      <c r="G3" s="3733"/>
      <c r="H3" s="3733"/>
      <c r="I3" s="3733"/>
    </row>
    <row r="4" spans="1:12" ht="13.5">
      <c r="A4" s="429" t="s">
        <v>11</v>
      </c>
      <c r="B4" s="430" t="s">
        <v>12</v>
      </c>
      <c r="C4" s="431" t="s">
        <v>3982</v>
      </c>
      <c r="D4" s="431" t="s">
        <v>3984</v>
      </c>
      <c r="E4" s="3737" t="s">
        <v>763</v>
      </c>
      <c r="F4" s="3738"/>
      <c r="G4" s="3738"/>
      <c r="H4" s="3738"/>
      <c r="I4" s="3739"/>
      <c r="K4" s="2180" t="str">
        <f>IF(ISNUMBER(FIND("比较法",'结果表 (2)'!C4)),"比较法",IF(ISNUMBER(FIND("成本法",'结果表 (2)'!C4)),"成本法",IF(ISNUMBER(FIND("假设开发法",'结果表 (2)'!C4)),"假设开发法",IF(ISNUMBER(FIND("收益法",'结果表 (2)'!C4)),"收益法","基准地价系数修正法"))))</f>
        <v>收益法</v>
      </c>
      <c r="L4" s="2180" t="str">
        <f>IF(ISNUMBER(FIND("比较法",'结果表 (2)'!D4)),"比较法",IF(ISNUMBER(FIND("成本法",'结果表 (2)'!D4)),"成本法",IF(ISNUMBER(FIND("假设开发法",'结果表 (2)'!D4)),"假设开发法",IF(ISNUMBER(FIND("收益法",'结果表 (2)'!D4)),"收益法","基准地价系数修正法"))))</f>
        <v>比较法</v>
      </c>
    </row>
    <row r="5" spans="1:12" ht="12.75">
      <c r="A5" s="3703" t="s">
        <v>13</v>
      </c>
      <c r="B5" s="3731">
        <v>25</v>
      </c>
      <c r="C5" s="3734"/>
      <c r="D5" s="3721"/>
      <c r="E5" s="471" t="s">
        <v>807</v>
      </c>
      <c r="F5" s="432"/>
      <c r="G5" s="432"/>
      <c r="H5" s="432"/>
      <c r="I5" s="433"/>
    </row>
    <row r="6" spans="1:12" ht="12.75">
      <c r="A6" s="3703"/>
      <c r="B6" s="3731"/>
      <c r="C6" s="3736"/>
      <c r="D6" s="3721"/>
      <c r="E6" s="471" t="s">
        <v>808</v>
      </c>
      <c r="F6" s="432"/>
      <c r="G6" s="432"/>
      <c r="H6" s="432"/>
      <c r="I6" s="433"/>
    </row>
    <row r="7" spans="1:12" ht="12.75">
      <c r="A7" s="3703"/>
      <c r="B7" s="3731"/>
      <c r="C7" s="3735"/>
      <c r="D7" s="3721"/>
      <c r="E7" s="471" t="s">
        <v>809</v>
      </c>
      <c r="F7" s="432"/>
      <c r="G7" s="432"/>
      <c r="H7" s="432"/>
      <c r="I7" s="433"/>
    </row>
    <row r="8" spans="1:12" ht="12.75">
      <c r="A8" s="3703" t="s">
        <v>14</v>
      </c>
      <c r="B8" s="3731">
        <v>15</v>
      </c>
      <c r="C8" s="3734"/>
      <c r="D8" s="3721"/>
      <c r="E8" s="471" t="s">
        <v>810</v>
      </c>
      <c r="F8" s="432"/>
      <c r="G8" s="432"/>
      <c r="H8" s="432"/>
      <c r="I8" s="433"/>
    </row>
    <row r="9" spans="1:12" ht="12.75">
      <c r="A9" s="3703"/>
      <c r="B9" s="3731"/>
      <c r="C9" s="3735"/>
      <c r="D9" s="3721"/>
      <c r="E9" s="471" t="s">
        <v>811</v>
      </c>
      <c r="F9" s="432"/>
      <c r="G9" s="432"/>
      <c r="H9" s="432"/>
      <c r="I9" s="433"/>
    </row>
    <row r="10" spans="1:12" ht="12.75">
      <c r="A10" s="3703" t="s">
        <v>15</v>
      </c>
      <c r="B10" s="3731">
        <v>15</v>
      </c>
      <c r="C10" s="3734"/>
      <c r="D10" s="3721"/>
      <c r="E10" s="471" t="s">
        <v>812</v>
      </c>
      <c r="F10" s="432"/>
      <c r="G10" s="432"/>
      <c r="H10" s="432"/>
      <c r="I10" s="433"/>
    </row>
    <row r="11" spans="1:12" ht="12.75">
      <c r="A11" s="3703"/>
      <c r="B11" s="3731"/>
      <c r="C11" s="3735"/>
      <c r="D11" s="3721"/>
      <c r="E11" s="471" t="s">
        <v>813</v>
      </c>
      <c r="F11" s="432"/>
      <c r="G11" s="432"/>
      <c r="H11" s="432"/>
      <c r="I11" s="433"/>
    </row>
    <row r="12" spans="1:12" ht="12.75">
      <c r="A12" s="3703" t="s">
        <v>16</v>
      </c>
      <c r="B12" s="3731">
        <v>15</v>
      </c>
      <c r="C12" s="3734"/>
      <c r="D12" s="3721"/>
      <c r="E12" s="471" t="s">
        <v>814</v>
      </c>
      <c r="F12" s="432"/>
      <c r="G12" s="432"/>
      <c r="H12" s="432"/>
      <c r="I12" s="433"/>
    </row>
    <row r="13" spans="1:12" ht="12.75">
      <c r="A13" s="3703"/>
      <c r="B13" s="3731"/>
      <c r="C13" s="3735"/>
      <c r="D13" s="3721"/>
      <c r="E13" s="471" t="s">
        <v>815</v>
      </c>
      <c r="F13" s="432"/>
      <c r="G13" s="432"/>
      <c r="H13" s="432"/>
      <c r="I13" s="433"/>
    </row>
    <row r="14" spans="1:12" ht="12.75">
      <c r="A14" s="3703" t="s">
        <v>17</v>
      </c>
      <c r="B14" s="3731">
        <v>30</v>
      </c>
      <c r="C14" s="3734">
        <v>4</v>
      </c>
      <c r="D14" s="3721">
        <v>6</v>
      </c>
      <c r="E14" s="471" t="s">
        <v>816</v>
      </c>
      <c r="F14" s="432"/>
      <c r="G14" s="432"/>
      <c r="H14" s="432"/>
      <c r="I14" s="433"/>
    </row>
    <row r="15" spans="1:12" ht="12.75">
      <c r="A15" s="3703"/>
      <c r="B15" s="3731"/>
      <c r="C15" s="3736"/>
      <c r="D15" s="3721"/>
      <c r="E15" s="471" t="s">
        <v>817</v>
      </c>
      <c r="F15" s="432"/>
      <c r="G15" s="432"/>
      <c r="H15" s="432"/>
      <c r="I15" s="433"/>
    </row>
    <row r="16" spans="1:12" ht="12.75">
      <c r="A16" s="3703"/>
      <c r="B16" s="3731"/>
      <c r="C16" s="3735"/>
      <c r="D16" s="3721"/>
      <c r="E16" s="471" t="s">
        <v>818</v>
      </c>
      <c r="F16" s="432"/>
      <c r="G16" s="432"/>
      <c r="H16" s="432"/>
      <c r="I16" s="433"/>
    </row>
    <row r="17" spans="1:35" ht="14.25">
      <c r="A17" s="434" t="s">
        <v>18</v>
      </c>
      <c r="B17" s="38"/>
      <c r="C17" s="472">
        <f>SUM(C5:C16)</f>
        <v>4</v>
      </c>
      <c r="D17" s="472">
        <f>SUM(D5:D16)</f>
        <v>6</v>
      </c>
      <c r="E17" s="2273"/>
      <c r="F17" s="2273"/>
      <c r="G17" s="2273"/>
      <c r="H17" s="2273"/>
      <c r="I17" s="2273"/>
      <c r="K17" s="2180"/>
      <c r="L17" s="2181" t="s">
        <v>2312</v>
      </c>
      <c r="M17" s="2181" t="s">
        <v>2313</v>
      </c>
    </row>
    <row r="18" spans="1:35" ht="15" thickBot="1">
      <c r="A18" s="435" t="s">
        <v>19</v>
      </c>
      <c r="B18" s="18"/>
      <c r="C18" s="473">
        <f>ROUND(C17/SUM(C17:D17),2)</f>
        <v>0.4</v>
      </c>
      <c r="D18" s="473">
        <f>1-C18</f>
        <v>0.6</v>
      </c>
      <c r="E18" s="2273"/>
      <c r="F18" s="2273"/>
      <c r="G18" s="2273"/>
      <c r="H18" s="2273"/>
      <c r="I18" s="2273"/>
      <c r="K18" s="2180" t="s">
        <v>2126</v>
      </c>
      <c r="L18" s="2180">
        <f>IF(C1="",'数据-汇总表'!E3,SUMIF(项目类型,C1,'数据-汇总表'!E17:E26)+SUMIF(项目类型,C1,'数据-汇总表'!I17:I26))</f>
        <v>16940.830000000002</v>
      </c>
      <c r="M18" s="2180">
        <f>IF(C1="",'数据-汇总表'!E3,SUMIF(项目类型,C1,'数据-汇总表'!E17:E26))</f>
        <v>16940.830000000002</v>
      </c>
    </row>
    <row r="19" spans="1:35" ht="14.25">
      <c r="A19" s="436" t="s">
        <v>178</v>
      </c>
      <c r="B19" s="437" t="s">
        <v>20</v>
      </c>
      <c r="C19" s="474">
        <f ca="1">SUMIF(INDIRECT("'"&amp;C4&amp;"'"&amp;"!A:A"),'结果表 (2)'!B19,INDIRECT("'"&amp;C4&amp;"'"&amp;"!B:B"))</f>
        <v>20968</v>
      </c>
      <c r="D19" s="475">
        <f ca="1">SUMIF(INDIRECT("'"&amp;D4&amp;"'"&amp;"!A:A"),'结果表 (2)'!B19,INDIRECT("'"&amp;D4&amp;"'"&amp;"!B:B"))</f>
        <v>28572</v>
      </c>
      <c r="E19" s="436" t="s">
        <v>177</v>
      </c>
      <c r="F19" s="437" t="s">
        <v>20</v>
      </c>
      <c r="G19" s="476">
        <f ca="1">ROUND(C19*$C$18+D19*$D$18,0)</f>
        <v>25530</v>
      </c>
      <c r="H19" s="438" t="s">
        <v>226</v>
      </c>
      <c r="I19" s="2273"/>
      <c r="K19" s="2180" t="s">
        <v>2127</v>
      </c>
      <c r="L19" s="2180">
        <f>IF(C1="",'数据-汇总表'!D3,SUMIF(项目类型,C1,'数据-汇总表'!D17:D26)+SUMIF(项目类型,C1,'数据-汇总表'!H17:H27))</f>
        <v>3426.96</v>
      </c>
      <c r="M19" s="2180">
        <f>IF(C1="",'数据-汇总表'!D3,SUMIF(项目类型,C1,'数据-汇总表'!D17:D26))</f>
        <v>3426.96</v>
      </c>
    </row>
    <row r="20" spans="1:35" ht="14.25">
      <c r="A20" s="439"/>
      <c r="B20" s="440" t="s">
        <v>21</v>
      </c>
      <c r="C20" s="477">
        <f ca="1">SUMIF(INDIRECT("'"&amp;C4&amp;"'"&amp;"!A:A"),'结果表 (2)'!B20,INDIRECT("'"&amp;C4&amp;"'"&amp;"!B:B"))</f>
        <v>12377</v>
      </c>
      <c r="D20" s="478">
        <f ca="1">SUMIF(INDIRECT("'"&amp;D4&amp;"'"&amp;"!A:A"),'结果表 (2)'!B20,INDIRECT("'"&amp;D4&amp;"'"&amp;"!B:B"))</f>
        <v>16866</v>
      </c>
      <c r="E20" s="439"/>
      <c r="F20" s="440" t="s">
        <v>21</v>
      </c>
      <c r="G20" s="479">
        <f ca="1">ROUND(C20*$C$18+D20*$D$18,0)</f>
        <v>15070</v>
      </c>
      <c r="H20" s="441" t="s">
        <v>225</v>
      </c>
      <c r="I20" s="2273"/>
    </row>
    <row r="21" spans="1:35" ht="15" customHeight="1" thickBot="1">
      <c r="A21" s="443"/>
      <c r="B21" s="444" t="s">
        <v>22</v>
      </c>
      <c r="C21" s="1421">
        <f ca="1">ROUND(C19*10000/L19,0)</f>
        <v>61185</v>
      </c>
      <c r="D21" s="1422">
        <f ca="1">ROUND(D19*10000/L19,0)</f>
        <v>83374</v>
      </c>
      <c r="E21" s="443"/>
      <c r="F21" s="444" t="s">
        <v>22</v>
      </c>
      <c r="G21" s="480">
        <f ca="1">ROUND(G19*10000/L19,0)</f>
        <v>74498</v>
      </c>
      <c r="H21" s="445" t="s">
        <v>225</v>
      </c>
      <c r="I21" s="2273"/>
    </row>
    <row r="22" spans="1:35" ht="15" thickBot="1">
      <c r="A22" s="275" t="s">
        <v>179</v>
      </c>
      <c r="B22" s="1423"/>
      <c r="C22" s="1424"/>
      <c r="D22" s="1425">
        <f ca="1">IF(C19&lt;D19,D19/C19-1,C19/D19-1)</f>
        <v>0.36264784433422359</v>
      </c>
      <c r="E22" s="2273"/>
      <c r="F22" s="2273"/>
      <c r="G22" s="2273"/>
      <c r="H22" s="2273"/>
      <c r="I22" s="2273"/>
    </row>
    <row r="23" spans="1:35" ht="12.75" thickBot="1">
      <c r="A23" s="1242"/>
      <c r="B23" s="1242"/>
      <c r="C23" s="1242"/>
      <c r="D23" s="1242"/>
      <c r="E23" s="2273"/>
      <c r="F23" s="2273"/>
      <c r="G23" s="2273"/>
      <c r="H23" s="2273"/>
      <c r="I23" s="2273"/>
    </row>
    <row r="24" spans="1:35" ht="14.25">
      <c r="A24" s="3746" t="s">
        <v>175</v>
      </c>
      <c r="B24" s="437" t="s">
        <v>20</v>
      </c>
      <c r="C24" s="476">
        <f>IF(B30=0,0,D30)</f>
        <v>0</v>
      </c>
      <c r="D24" s="446"/>
      <c r="E24" s="2273"/>
      <c r="F24" s="2273"/>
      <c r="G24" s="2273"/>
      <c r="H24" s="2273"/>
      <c r="I24" s="2273"/>
    </row>
    <row r="25" spans="1:35" ht="14.25">
      <c r="A25" s="3747"/>
      <c r="B25" s="440" t="s">
        <v>21</v>
      </c>
      <c r="C25" s="481">
        <f>IF(B30=0,0,C30)</f>
        <v>0</v>
      </c>
      <c r="D25" s="447"/>
      <c r="E25" s="2273"/>
      <c r="F25" s="2273"/>
      <c r="G25" s="2273"/>
      <c r="H25" s="2273"/>
      <c r="I25" s="2273"/>
    </row>
    <row r="26" spans="1:35" ht="13.5" customHeight="1">
      <c r="A26" s="448" t="s">
        <v>176</v>
      </c>
      <c r="B26" s="449" t="s">
        <v>118</v>
      </c>
      <c r="C26" s="449" t="s">
        <v>119</v>
      </c>
      <c r="D26" s="450" t="s">
        <v>120</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174</v>
      </c>
      <c r="B30" s="484">
        <f>SUM(B27:B29)</f>
        <v>0</v>
      </c>
      <c r="C30" s="484" t="e">
        <f>ROUND(D30*10000/B30,0)</f>
        <v>#DIV/0!</v>
      </c>
      <c r="D30" s="484">
        <f>SUM(D27:D29)</f>
        <v>0</v>
      </c>
      <c r="E30" s="2273"/>
      <c r="F30" s="2273"/>
      <c r="G30" s="2273"/>
      <c r="H30" s="2273"/>
      <c r="I30" s="2273"/>
    </row>
    <row r="31" spans="1:35" s="1244" customFormat="1" ht="14.25" thickBot="1">
      <c r="A31" s="452"/>
      <c r="B31" s="452"/>
      <c r="C31" s="452"/>
      <c r="D31" s="452"/>
      <c r="E31" s="2273"/>
      <c r="F31" s="2273"/>
      <c r="G31" s="2273"/>
      <c r="H31" s="2273"/>
      <c r="I31" s="2273"/>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173</v>
      </c>
      <c r="B32" s="454"/>
      <c r="C32" s="485">
        <f ca="1">IF(D32="总价",G19-C24,G20-C25)</f>
        <v>25530</v>
      </c>
      <c r="D32" s="2088" t="s">
        <v>208</v>
      </c>
      <c r="E32" s="2273"/>
      <c r="F32" s="2273"/>
      <c r="G32" s="2273"/>
      <c r="H32" s="2273"/>
      <c r="I32" s="2273"/>
    </row>
    <row r="33" spans="1:15" ht="13.5">
      <c r="A33" s="457" t="s">
        <v>764</v>
      </c>
      <c r="B33" s="2087"/>
      <c r="C33" s="2870"/>
      <c r="D33" s="2873"/>
      <c r="E33" s="2085" t="s">
        <v>2106</v>
      </c>
      <c r="F33" s="3380" t="str">
        <f>IF(D32="楼面单价","取值（单价）","取值（总价）")</f>
        <v>取值（总价）</v>
      </c>
      <c r="G33" s="2273"/>
      <c r="H33" s="2273"/>
      <c r="I33" s="2273"/>
    </row>
    <row r="34" spans="1:15" ht="15">
      <c r="A34" s="458"/>
      <c r="B34" s="459" t="s">
        <v>767</v>
      </c>
      <c r="C34" s="489" t="e">
        <f ca="1">IF(C33="自定义",F34,C32-C35)</f>
        <v>#REF!</v>
      </c>
      <c r="D34" s="2089" t="e">
        <f ca="1">IF(C33="自定义",ROUND(C34/C32,3),IF(C33="收益比率",SUMIF(INDIRECT("'"&amp;D33&amp;"'"&amp;"!b:b"),"土地收益比率",INDIRECT("'"&amp;D33&amp;"'"&amp;"!c:c")),SUMIF(INDIRECT("'"&amp;D33&amp;"'"&amp;"!b:b"),"土地成本比率",INDIRECT("'"&amp;D33&amp;"'"&amp;"!c:c"))))</f>
        <v>#REF!</v>
      </c>
      <c r="E34" s="2871" t="s">
        <v>2107</v>
      </c>
      <c r="F34" s="3245"/>
      <c r="G34" s="2273"/>
      <c r="H34" s="2273"/>
      <c r="I34" s="2273"/>
    </row>
    <row r="35" spans="1:15" ht="15.75" thickBot="1">
      <c r="A35" s="461"/>
      <c r="B35" s="2874" t="s">
        <v>769</v>
      </c>
      <c r="C35" s="2875" t="e">
        <f ca="1">IF(C33="自定义",F35,ROUND(C32*D35,0))</f>
        <v>#REF!</v>
      </c>
      <c r="D35" s="2876" t="e">
        <f ca="1">IF(C33="自定义",ROUND(C35/C32,3),IF(C33="收益比率",SUMIF(INDIRECT("'"&amp;D33&amp;"'"&amp;"!b:b"),"建筑物收益比率",INDIRECT("'"&amp;D33&amp;"'"&amp;"!c:c")),SUMIF(INDIRECT("'"&amp;D33&amp;"'"&amp;"!b:b"),"建筑物成本比率",INDIRECT("'"&amp;D33&amp;"'"&amp;"!c:c"))))</f>
        <v>#REF!</v>
      </c>
      <c r="E35" s="2872" t="s">
        <v>2108</v>
      </c>
      <c r="F35" s="495"/>
      <c r="G35" s="2273"/>
      <c r="H35" s="2273"/>
      <c r="I35" s="2273"/>
    </row>
    <row r="36" spans="1:15" ht="15.75" thickBot="1">
      <c r="A36" s="3722" t="s">
        <v>765</v>
      </c>
      <c r="B36" s="455" t="s">
        <v>766</v>
      </c>
      <c r="C36" s="486"/>
      <c r="D36" s="456"/>
      <c r="E36" s="1245"/>
      <c r="F36" s="2274"/>
      <c r="G36" s="2273"/>
      <c r="H36" s="2273"/>
      <c r="I36" s="2273"/>
    </row>
    <row r="37" spans="1:15" ht="15.75" thickBot="1">
      <c r="A37" s="3723"/>
      <c r="B37" s="13" t="s">
        <v>768</v>
      </c>
      <c r="C37" s="488"/>
      <c r="D37" s="2222"/>
      <c r="E37" s="2222"/>
      <c r="F37" s="2274"/>
      <c r="G37" s="2273"/>
      <c r="H37" s="2273"/>
      <c r="I37" s="2273"/>
    </row>
    <row r="38" spans="1:15" ht="15.75" thickBot="1">
      <c r="A38" s="3724"/>
      <c r="B38" s="460" t="s">
        <v>770</v>
      </c>
      <c r="C38" s="1136"/>
      <c r="D38" s="1246" t="s">
        <v>771</v>
      </c>
      <c r="E38" s="2222"/>
      <c r="F38" s="2274"/>
      <c r="G38" s="2273"/>
      <c r="H38" s="2273"/>
      <c r="I38" s="2273"/>
    </row>
    <row r="39" spans="1:15" ht="13.5">
      <c r="A39" s="439" t="s">
        <v>772</v>
      </c>
      <c r="B39" s="462" t="s">
        <v>118</v>
      </c>
      <c r="C39" s="463" t="s">
        <v>119</v>
      </c>
      <c r="D39" s="463" t="s">
        <v>775</v>
      </c>
      <c r="E39" s="464" t="s">
        <v>120</v>
      </c>
      <c r="F39" s="2274"/>
      <c r="G39" s="2273"/>
      <c r="H39" s="2273"/>
      <c r="I39" s="2273"/>
    </row>
    <row r="40" spans="1:15" ht="13.5">
      <c r="A40" s="1247" t="s">
        <v>777</v>
      </c>
      <c r="B40" s="490"/>
      <c r="C40" s="491"/>
      <c r="D40" s="491"/>
      <c r="E40" s="492"/>
      <c r="F40" s="2274"/>
      <c r="G40" s="2273"/>
      <c r="H40" s="2273"/>
      <c r="I40" s="2273"/>
    </row>
    <row r="41" spans="1:15" ht="13.5">
      <c r="A41" s="1247" t="s">
        <v>778</v>
      </c>
      <c r="B41" s="490"/>
      <c r="C41" s="491"/>
      <c r="D41" s="491"/>
      <c r="E41" s="492"/>
      <c r="F41" s="2274"/>
      <c r="G41" s="2273"/>
      <c r="H41" s="2273"/>
      <c r="I41" s="2273"/>
    </row>
    <row r="42" spans="1:15" ht="14.25" thickBot="1">
      <c r="A42" s="1248"/>
      <c r="B42" s="493"/>
      <c r="C42" s="494"/>
      <c r="D42" s="494"/>
      <c r="E42" s="495"/>
      <c r="F42" s="2274"/>
      <c r="G42" s="2273"/>
      <c r="H42" s="2273"/>
      <c r="I42" s="2273"/>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62" t="s">
        <v>212</v>
      </c>
      <c r="K44" s="3263"/>
      <c r="L44" s="3263"/>
      <c r="M44" s="3263"/>
      <c r="N44" s="3263"/>
      <c r="O44" s="3263"/>
    </row>
    <row r="45" spans="1:15" ht="14.25" customHeight="1" thickBot="1">
      <c r="A45" s="3743" t="s">
        <v>799</v>
      </c>
      <c r="B45" s="3744"/>
      <c r="C45" s="3745"/>
      <c r="D45" s="496">
        <f ca="1">ROUND(H101*F45,0)</f>
        <v>25530</v>
      </c>
      <c r="E45" s="497" t="s">
        <v>800</v>
      </c>
      <c r="F45" s="498">
        <v>1</v>
      </c>
      <c r="G45" s="499" t="s">
        <v>801</v>
      </c>
      <c r="H45" s="2273"/>
      <c r="I45" s="2273"/>
      <c r="J45" s="3653" t="s">
        <v>213</v>
      </c>
      <c r="K45" s="3653"/>
      <c r="L45" s="3653"/>
      <c r="M45" s="3653"/>
      <c r="N45" s="3653"/>
      <c r="O45" s="3653"/>
    </row>
    <row r="46" spans="1:15" ht="14.25" customHeight="1">
      <c r="A46" s="3740" t="s">
        <v>285</v>
      </c>
      <c r="B46" s="3741"/>
      <c r="C46" s="3741"/>
      <c r="D46" s="3741"/>
      <c r="E46" s="3741"/>
      <c r="F46" s="3741"/>
      <c r="G46" s="3742"/>
      <c r="H46" s="2275"/>
      <c r="I46" s="2228"/>
      <c r="J46" s="3386">
        <v>1</v>
      </c>
      <c r="K46" s="3653" t="s">
        <v>214</v>
      </c>
      <c r="L46" s="3653"/>
      <c r="M46" s="3654"/>
      <c r="N46" s="3654"/>
      <c r="O46" s="3654"/>
    </row>
    <row r="47" spans="1:15" ht="12" customHeight="1">
      <c r="A47" s="501" t="s">
        <v>286</v>
      </c>
      <c r="B47" s="502"/>
      <c r="C47" s="503"/>
      <c r="D47" s="504" t="s">
        <v>287</v>
      </c>
      <c r="E47" s="313" t="s">
        <v>288</v>
      </c>
      <c r="F47" s="505" t="s">
        <v>802</v>
      </c>
      <c r="G47" s="506" t="s">
        <v>803</v>
      </c>
      <c r="H47" s="2275"/>
      <c r="I47" s="2228"/>
      <c r="J47" s="3386">
        <v>2</v>
      </c>
      <c r="K47" s="3653" t="s">
        <v>215</v>
      </c>
      <c r="L47" s="3653"/>
      <c r="M47" s="3655">
        <f>'数据-取费表'!B2</f>
        <v>42970</v>
      </c>
      <c r="N47" s="3655"/>
      <c r="O47" s="3655"/>
    </row>
    <row r="48" spans="1:15" ht="25.5">
      <c r="A48" s="3726" t="s">
        <v>289</v>
      </c>
      <c r="B48" s="3727"/>
      <c r="C48" s="3727"/>
      <c r="D48" s="471">
        <f>IF(H48="情况1",0,IF(H48="情况2",D52,IF(H48="情况3",D53,IF(H48="情况4",D54))))</f>
        <v>0</v>
      </c>
      <c r="E48" s="3394" t="str">
        <f>IF(H48="情况4","(销售额-原购置价)×税（费）率","销售额×税（费）率")</f>
        <v>销售额×税（费）率</v>
      </c>
      <c r="F48" s="507" t="str">
        <f>IF(H48="情况1","免征",'数据-取费表'!B41)</f>
        <v>免征</v>
      </c>
      <c r="G48" s="465" t="s">
        <v>168</v>
      </c>
      <c r="H48" s="1431" t="s">
        <v>2409</v>
      </c>
      <c r="I48" s="2275"/>
      <c r="J48" s="3386">
        <v>3</v>
      </c>
      <c r="K48" s="3653" t="s">
        <v>781</v>
      </c>
      <c r="L48" s="3653"/>
      <c r="M48" s="3656">
        <f ca="1">H101</f>
        <v>25530</v>
      </c>
      <c r="N48" s="3656"/>
      <c r="O48" s="3656"/>
    </row>
    <row r="49" spans="1:35" ht="25.5" customHeight="1">
      <c r="A49" s="508" t="s">
        <v>290</v>
      </c>
      <c r="B49" s="3706" t="s">
        <v>805</v>
      </c>
      <c r="C49" s="3706"/>
      <c r="D49" s="509">
        <v>0</v>
      </c>
      <c r="E49" s="312" t="s">
        <v>291</v>
      </c>
      <c r="F49" s="317" t="s">
        <v>169</v>
      </c>
      <c r="G49" s="3685"/>
      <c r="H49" s="2273"/>
      <c r="I49" s="2276"/>
      <c r="J49" s="3386">
        <v>4</v>
      </c>
      <c r="K49" s="3653" t="str">
        <f>IF(项目基本情况!E8="房地产抵押价值","房地产抵押价值","抵押担保权已注销时的房地产抵押价值")</f>
        <v>抵押担保权已注销时的房地产抵押价值</v>
      </c>
      <c r="L49" s="3653"/>
      <c r="M49" s="3656" t="str">
        <f>IF(项目基本情况!E8="房地产抵押价值",H107,H109)</f>
        <v>——</v>
      </c>
      <c r="N49" s="3656"/>
      <c r="O49" s="3656"/>
    </row>
    <row r="50" spans="1:35" ht="25.5" customHeight="1">
      <c r="A50" s="510"/>
      <c r="B50" s="3706" t="s">
        <v>292</v>
      </c>
      <c r="C50" s="3706"/>
      <c r="D50" s="511"/>
      <c r="E50" s="320"/>
      <c r="F50" s="512"/>
      <c r="G50" s="3686"/>
      <c r="H50" s="2273"/>
      <c r="I50" s="2276"/>
      <c r="J50" s="3653" t="s">
        <v>216</v>
      </c>
      <c r="K50" s="3653"/>
      <c r="L50" s="3653"/>
      <c r="M50" s="3653"/>
      <c r="N50" s="3653"/>
      <c r="O50" s="3653"/>
    </row>
    <row r="51" spans="1:35" ht="12" customHeight="1">
      <c r="A51" s="513"/>
      <c r="B51" s="3706" t="s">
        <v>293</v>
      </c>
      <c r="C51" s="3706"/>
      <c r="D51" s="514"/>
      <c r="E51" s="319"/>
      <c r="F51" s="512"/>
      <c r="G51" s="3687"/>
      <c r="H51" s="2273"/>
      <c r="I51" s="2276"/>
      <c r="J51" s="3382" t="s">
        <v>217</v>
      </c>
      <c r="K51" s="3653" t="s">
        <v>218</v>
      </c>
      <c r="L51" s="3653"/>
      <c r="M51" s="3382" t="s">
        <v>2993</v>
      </c>
      <c r="N51" s="3382" t="s">
        <v>219</v>
      </c>
      <c r="O51" s="3382" t="s">
        <v>220</v>
      </c>
    </row>
    <row r="52" spans="1:35" ht="24" customHeight="1">
      <c r="A52" s="515" t="s">
        <v>294</v>
      </c>
      <c r="B52" s="3706" t="s">
        <v>295</v>
      </c>
      <c r="C52" s="3706"/>
      <c r="D52" s="514">
        <f ca="1">ROUND(D45*'数据-取费表'!B41/(1+'数据-取费表'!C42),0)</f>
        <v>1362</v>
      </c>
      <c r="E52" s="299" t="s">
        <v>296</v>
      </c>
      <c r="F52" s="516">
        <f>'数据-取费表'!B41</f>
        <v>5.6000000000000001E-2</v>
      </c>
      <c r="G52" s="466"/>
      <c r="H52" s="2273"/>
      <c r="I52" s="2276"/>
      <c r="J52" s="3386">
        <v>1</v>
      </c>
      <c r="K52" s="3679" t="s">
        <v>782</v>
      </c>
      <c r="L52" s="3679"/>
      <c r="M52" s="3265">
        <f>D48</f>
        <v>0</v>
      </c>
      <c r="N52" s="3385" t="str">
        <f>E48</f>
        <v>销售额×税（费）率</v>
      </c>
      <c r="O52" s="3266" t="str">
        <f>F48</f>
        <v>免征</v>
      </c>
    </row>
    <row r="53" spans="1:35" ht="12" customHeight="1">
      <c r="A53" s="515" t="s">
        <v>297</v>
      </c>
      <c r="B53" s="3707" t="s">
        <v>298</v>
      </c>
      <c r="C53" s="3708"/>
      <c r="D53" s="514">
        <f ca="1">ROUND(D45*'数据-取费表'!B41/(1+'数据-取费表'!C42),0)</f>
        <v>1362</v>
      </c>
      <c r="E53" s="299" t="s">
        <v>296</v>
      </c>
      <c r="F53" s="516">
        <f>'数据-取费表'!B41</f>
        <v>5.6000000000000001E-2</v>
      </c>
      <c r="G53" s="466"/>
      <c r="H53" s="2273"/>
      <c r="I53" s="2276"/>
      <c r="J53" s="3386">
        <v>2</v>
      </c>
      <c r="K53" s="3679" t="s">
        <v>783</v>
      </c>
      <c r="L53" s="3679"/>
      <c r="M53" s="3265">
        <f t="shared" ref="M53:O54" ca="1" si="0">D55</f>
        <v>13</v>
      </c>
      <c r="N53" s="3385" t="str">
        <f t="shared" si="0"/>
        <v>销售额×税（费）率</v>
      </c>
      <c r="O53" s="3266">
        <f t="shared" si="0"/>
        <v>5.0000000000000001E-4</v>
      </c>
    </row>
    <row r="54" spans="1:35" ht="12" customHeight="1">
      <c r="A54" s="515" t="s">
        <v>299</v>
      </c>
      <c r="B54" s="3707" t="s">
        <v>300</v>
      </c>
      <c r="C54" s="3708"/>
      <c r="D54" s="514">
        <f ca="1">C68</f>
        <v>1362</v>
      </c>
      <c r="E54" s="319" t="s">
        <v>301</v>
      </c>
      <c r="F54" s="516">
        <f>'数据-取费表'!B41</f>
        <v>5.6000000000000001E-2</v>
      </c>
      <c r="G54" s="466"/>
      <c r="H54" s="2277"/>
      <c r="I54" s="2276"/>
      <c r="J54" s="3386">
        <v>3</v>
      </c>
      <c r="K54" s="3679" t="s">
        <v>784</v>
      </c>
      <c r="L54" s="3679"/>
      <c r="M54" s="3265">
        <f t="shared" ca="1" si="0"/>
        <v>14450</v>
      </c>
      <c r="N54" s="3385" t="str">
        <f t="shared" si="0"/>
        <v>增值额×税（费）率</v>
      </c>
      <c r="O54" s="3267" t="str">
        <f t="shared" si="0"/>
        <v>——</v>
      </c>
    </row>
    <row r="55" spans="1:35" ht="24" customHeight="1">
      <c r="A55" s="3749" t="s">
        <v>302</v>
      </c>
      <c r="B55" s="3727"/>
      <c r="C55" s="3727"/>
      <c r="D55" s="517">
        <f ca="1">IF(H55="个人住宅",0,ROUND(D45*I55,0))</f>
        <v>13</v>
      </c>
      <c r="E55" s="299" t="s">
        <v>303</v>
      </c>
      <c r="F55" s="516">
        <f>IF(H55="正常",I55,"免征")</f>
        <v>5.0000000000000001E-4</v>
      </c>
      <c r="G55" s="466"/>
      <c r="H55" s="1431" t="s">
        <v>153</v>
      </c>
      <c r="I55" s="518">
        <f>'数据-取费表'!B49</f>
        <v>5.0000000000000001E-4</v>
      </c>
      <c r="J55" s="3386" t="str">
        <f>IF(H59="非个人房产","",4)</f>
        <v/>
      </c>
      <c r="K55" s="3679" t="str">
        <f>IF(H59="非个人房产","——","个人所得税")</f>
        <v>——</v>
      </c>
      <c r="L55" s="3679"/>
      <c r="M55" s="3268" t="str">
        <f>D59</f>
        <v>——</v>
      </c>
      <c r="N55" s="3269" t="str">
        <f>E59</f>
        <v>——</v>
      </c>
      <c r="O55" s="3270" t="str">
        <f>F59</f>
        <v>——</v>
      </c>
    </row>
    <row r="56" spans="1:35" ht="24.75">
      <c r="A56" s="3749" t="s">
        <v>304</v>
      </c>
      <c r="B56" s="3727"/>
      <c r="C56" s="3727"/>
      <c r="D56" s="517">
        <f ca="1">IF(H56="个人住宅",D57,D58)</f>
        <v>14450</v>
      </c>
      <c r="E56" s="299" t="s">
        <v>305</v>
      </c>
      <c r="F56" s="516" t="str">
        <f>IF(H56="正常",F58,"免征")</f>
        <v>——</v>
      </c>
      <c r="G56" s="1255" t="s">
        <v>168</v>
      </c>
      <c r="H56" s="1430" t="s">
        <v>153</v>
      </c>
      <c r="I56" s="2278"/>
      <c r="J56" s="3386" t="str">
        <f>IF(项目基本情况!K6="上海银行",IF(J55="",4,J55+1),"")</f>
        <v/>
      </c>
      <c r="K56" s="3659" t="str">
        <f>IF(项目基本情况!K6="上海银行","其他处置费用","")</f>
        <v/>
      </c>
      <c r="L56" s="3660"/>
      <c r="M56" s="3265" t="str">
        <f>IF(项目基本情况!K6="上海银行",M69,"")</f>
        <v/>
      </c>
      <c r="N56" s="3662" t="str">
        <f>IF(项目基本情况!K6="上海银行","包含处置中涉及的律师、诉讼、拍卖、评估等费用","")</f>
        <v/>
      </c>
      <c r="O56" s="3663"/>
    </row>
    <row r="57" spans="1:35" ht="12.75">
      <c r="A57" s="515" t="s">
        <v>290</v>
      </c>
      <c r="B57" s="3712" t="s">
        <v>306</v>
      </c>
      <c r="C57" s="3713"/>
      <c r="D57" s="519">
        <v>0</v>
      </c>
      <c r="E57" s="312" t="s">
        <v>291</v>
      </c>
      <c r="F57" s="487"/>
      <c r="G57" s="466"/>
      <c r="H57" s="2278"/>
      <c r="I57" s="2278"/>
      <c r="J57" s="3691">
        <f>IF(AND(J55="",J56=""),4,IF(项目基本情况!K6="上海银行",'结果表 (2)'!J56+1,'结果表 (2)'!J55+1))</f>
        <v>4</v>
      </c>
      <c r="K57" s="3679" t="s">
        <v>174</v>
      </c>
      <c r="L57" s="3271" t="s">
        <v>221</v>
      </c>
      <c r="M57" s="3272"/>
      <c r="N57" s="3273">
        <f ca="1">SUMIF(M52:M56,"&lt;9e307")</f>
        <v>14463</v>
      </c>
      <c r="O57" s="3274"/>
      <c r="P57" s="3261" t="e">
        <f ca="1">N57/M49</f>
        <v>#VALUE!</v>
      </c>
    </row>
    <row r="58" spans="1:35" ht="24.75">
      <c r="A58" s="515" t="s">
        <v>294</v>
      </c>
      <c r="B58" s="3712" t="s">
        <v>307</v>
      </c>
      <c r="C58" s="3725"/>
      <c r="D58" s="517">
        <f ca="1">IF(H58="转让取得",C81,C97)</f>
        <v>14450</v>
      </c>
      <c r="E58" s="299" t="s">
        <v>305</v>
      </c>
      <c r="F58" s="313" t="s">
        <v>169</v>
      </c>
      <c r="G58" s="466"/>
      <c r="H58" s="1430" t="s">
        <v>1133</v>
      </c>
      <c r="I58" s="2278"/>
      <c r="J58" s="3691"/>
      <c r="K58" s="3679"/>
      <c r="L58" s="3271" t="s">
        <v>222</v>
      </c>
      <c r="M58" s="3275"/>
      <c r="N58" s="3276" t="str">
        <f ca="1">NUMBERSTRING(INT(N57*10000),2)&amp;"元整"</f>
        <v>壹亿肆仟肆佰陆拾叁万元整</v>
      </c>
      <c r="O58" s="3277"/>
    </row>
    <row r="59" spans="1:35" ht="24.75" thickBot="1">
      <c r="A59" s="3683" t="s">
        <v>308</v>
      </c>
      <c r="B59" s="3684"/>
      <c r="C59" s="3684"/>
      <c r="D59" s="520" t="str">
        <f>IF(H59="非个人房产","——",IF(H59="个人住宅",0,ROUND(D45*I59,0)))</f>
        <v>——</v>
      </c>
      <c r="E59" s="521" t="str">
        <f>IF(H59="非个人房产","——","销售额×税（费）率")</f>
        <v>——</v>
      </c>
      <c r="F59" s="522" t="str">
        <f>IF(H59="非个人房产","——",IF(H59="个人住宅","免征",I59))</f>
        <v>——</v>
      </c>
      <c r="G59" s="1256" t="s">
        <v>168</v>
      </c>
      <c r="H59" s="1430" t="s">
        <v>1132</v>
      </c>
      <c r="I59" s="523">
        <v>0.01</v>
      </c>
      <c r="J59" s="3681">
        <f>J57+1</f>
        <v>5</v>
      </c>
      <c r="K59" s="3679" t="s">
        <v>170</v>
      </c>
      <c r="L59" s="3385" t="s">
        <v>221</v>
      </c>
      <c r="M59" s="3278"/>
      <c r="N59" s="3279" t="e">
        <f ca="1">M49-N57</f>
        <v>#VALUE!</v>
      </c>
      <c r="O59" s="3280"/>
    </row>
    <row r="60" spans="1:35" ht="12" customHeight="1">
      <c r="A60" s="1257"/>
      <c r="B60" s="1242"/>
      <c r="C60" s="1242"/>
      <c r="D60" s="1242"/>
      <c r="E60" s="229"/>
      <c r="F60" s="2278"/>
      <c r="G60" s="2278"/>
      <c r="H60" s="2279"/>
      <c r="I60" s="2273"/>
      <c r="J60" s="3682"/>
      <c r="K60" s="3679"/>
      <c r="L60" s="3271" t="s">
        <v>222</v>
      </c>
      <c r="M60" s="3275"/>
      <c r="N60" s="3276" t="e">
        <f ca="1">NUMBERSTRING(INT(N59*10000),2)&amp;"元整"</f>
        <v>#VALUE!</v>
      </c>
      <c r="O60" s="3277"/>
    </row>
    <row r="61" spans="1:35" ht="13.5" thickBot="1">
      <c r="A61" s="3748" t="s">
        <v>309</v>
      </c>
      <c r="B61" s="3748"/>
      <c r="C61" s="3748"/>
      <c r="D61" s="3748"/>
      <c r="E61" s="3748"/>
      <c r="F61" s="2278"/>
      <c r="G61" s="2278"/>
      <c r="H61" s="2279"/>
      <c r="I61" s="2273"/>
      <c r="J61" s="3386">
        <f>J59+1</f>
        <v>6</v>
      </c>
      <c r="K61" s="3679" t="s">
        <v>223</v>
      </c>
      <c r="L61" s="3679"/>
      <c r="M61" s="3281"/>
      <c r="N61" s="3282" t="e">
        <f ca="1">ROUND(N59*10000/'数据-汇总表'!E3,0)</f>
        <v>#VALUE!</v>
      </c>
      <c r="O61" s="3283"/>
    </row>
    <row r="62" spans="1:35" ht="12.75">
      <c r="A62" s="3700" t="s">
        <v>310</v>
      </c>
      <c r="B62" s="3701"/>
      <c r="C62" s="3390"/>
      <c r="D62" s="3390" t="s">
        <v>318</v>
      </c>
      <c r="E62" s="524" t="s">
        <v>319</v>
      </c>
      <c r="F62" s="2278"/>
      <c r="G62" s="2278"/>
      <c r="H62" s="2279"/>
      <c r="I62" s="2273"/>
    </row>
    <row r="63" spans="1:35" ht="12.75">
      <c r="A63" s="535" t="s">
        <v>1895</v>
      </c>
      <c r="B63" s="525" t="s">
        <v>311</v>
      </c>
      <c r="C63" s="526">
        <f ca="1">ROUND((C64+C65)/(1+'数据-取费表'!C42),0)</f>
        <v>24314</v>
      </c>
      <c r="D63" s="527"/>
      <c r="E63" s="528"/>
      <c r="F63" s="2278"/>
      <c r="G63" s="2278"/>
      <c r="H63" s="2279"/>
      <c r="I63" s="2273"/>
      <c r="J63" s="3661" t="s">
        <v>2986</v>
      </c>
      <c r="K63" s="3383" t="s">
        <v>2987</v>
      </c>
      <c r="L63" s="3258" t="e">
        <f>IF(M49&gt;10000,M49*0.5%,IF(AND(M49&gt;1000,M49&lt;=10000),M49*1%,IF(AND(M49&gt;100,M49&lt;=1000),M49*3%,IF(AND(M49&gt;10,M49&lt;=100),M49*5%,M49*8%))))</f>
        <v>#VALUE!</v>
      </c>
      <c r="M63" s="313" t="e">
        <f>ROUND(L63,1)</f>
        <v>#VALUE!</v>
      </c>
      <c r="Z63" s="1433"/>
      <c r="AI63" s="1243"/>
    </row>
    <row r="64" spans="1:35" ht="14.25" customHeight="1">
      <c r="A64" s="529" t="s">
        <v>1890</v>
      </c>
      <c r="B64" s="530" t="s">
        <v>312</v>
      </c>
      <c r="C64" s="531">
        <f ca="1">D45</f>
        <v>25530</v>
      </c>
      <c r="D64" s="532" t="s">
        <v>165</v>
      </c>
      <c r="E64" s="533"/>
      <c r="F64" s="2278"/>
      <c r="G64" s="2278"/>
      <c r="H64" s="2279"/>
      <c r="I64" s="2273"/>
      <c r="J64" s="3661"/>
      <c r="K64" s="3383" t="s">
        <v>2988</v>
      </c>
      <c r="L64" s="3258"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2994</v>
      </c>
      <c r="Z64" s="1433"/>
      <c r="AI64" s="1243"/>
    </row>
    <row r="65" spans="1:35" ht="14.25" customHeight="1">
      <c r="A65" s="529" t="s">
        <v>1891</v>
      </c>
      <c r="B65" s="530" t="s">
        <v>313</v>
      </c>
      <c r="C65" s="534"/>
      <c r="D65" s="532"/>
      <c r="E65" s="533"/>
      <c r="F65" s="2278"/>
      <c r="G65" s="2278"/>
      <c r="H65" s="2279"/>
      <c r="I65" s="2273"/>
      <c r="J65" s="3661"/>
      <c r="K65" s="3383" t="s">
        <v>2989</v>
      </c>
      <c r="L65" s="3258" t="e">
        <f>IF(M49&gt;1000,M49*0.1%,IF(AND(M49&gt;500,M49&lt;=1000),M49*0.5%,IF(AND(M49&gt;50,M49&lt;=500),M49*1%,IF(AND(M49&gt;1,M49&lt;=50),M49*1.5%))))</f>
        <v>#VALUE!</v>
      </c>
      <c r="M65" s="313" t="e">
        <f t="shared" si="1"/>
        <v>#VALUE!</v>
      </c>
      <c r="N65" s="469" t="s">
        <v>2994</v>
      </c>
      <c r="Z65" s="1433"/>
      <c r="AI65" s="1243"/>
    </row>
    <row r="66" spans="1:35" ht="14.25" customHeight="1">
      <c r="A66" s="535" t="s">
        <v>1892</v>
      </c>
      <c r="B66" s="536" t="s">
        <v>314</v>
      </c>
      <c r="C66" s="537"/>
      <c r="D66" s="538" t="s">
        <v>165</v>
      </c>
      <c r="E66" s="3312" t="s">
        <v>3030</v>
      </c>
      <c r="F66" s="2278"/>
      <c r="G66" s="2278"/>
      <c r="H66" s="2279"/>
      <c r="I66" s="2273"/>
      <c r="J66" s="3661"/>
      <c r="K66" s="3383" t="s">
        <v>2990</v>
      </c>
      <c r="L66" s="3258" t="e">
        <f>M49*0.5%</f>
        <v>#VALUE!</v>
      </c>
      <c r="M66" s="313" t="e">
        <f>IF(L66&gt;0.5,0.5,ROUND(L66,0))</f>
        <v>#VALUE!</v>
      </c>
      <c r="N66" s="469" t="s">
        <v>2996</v>
      </c>
      <c r="Z66" s="1433"/>
      <c r="AI66" s="1243"/>
    </row>
    <row r="67" spans="1:35" ht="14.25" customHeight="1">
      <c r="A67" s="535" t="s">
        <v>1893</v>
      </c>
      <c r="B67" s="536" t="s">
        <v>315</v>
      </c>
      <c r="C67" s="539">
        <f ca="1">C63-C66</f>
        <v>24314</v>
      </c>
      <c r="D67" s="532" t="s">
        <v>165</v>
      </c>
      <c r="E67" s="533"/>
      <c r="F67" s="2278"/>
      <c r="G67" s="2278"/>
      <c r="H67" s="2279"/>
      <c r="I67" s="2273"/>
      <c r="J67" s="3661"/>
      <c r="K67" s="3383" t="s">
        <v>2991</v>
      </c>
      <c r="L67" s="3258"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3"/>
      <c r="AI67" s="1243"/>
    </row>
    <row r="68" spans="1:35" ht="14.25" customHeight="1" thickBot="1">
      <c r="A68" s="540" t="s">
        <v>1894</v>
      </c>
      <c r="B68" s="541" t="s">
        <v>316</v>
      </c>
      <c r="C68" s="542">
        <f ca="1">IF(C67&lt;=0,0,ROUND(C67*D68,0))</f>
        <v>1362</v>
      </c>
      <c r="D68" s="543">
        <f>'数据-取费表'!B41</f>
        <v>5.6000000000000001E-2</v>
      </c>
      <c r="E68" s="544"/>
      <c r="F68" s="2278"/>
      <c r="G68" s="2278"/>
      <c r="H68" s="2279"/>
      <c r="I68" s="2273"/>
      <c r="J68" s="3661"/>
      <c r="K68" s="3383" t="s">
        <v>2992</v>
      </c>
      <c r="L68" s="3258" t="e">
        <f>IF(M49&gt;10000,M49*0.5%,IF(AND(M49&gt;5000,M49&lt;=10000),M49*1%,IF(AND(M49&gt;1000,M49&lt;=5000),M49*2%,IF(AND(M49&gt;200,M49&lt;=1000),M49*3%,M49*5%))))</f>
        <v>#VALUE!</v>
      </c>
      <c r="M68" s="313" t="e">
        <f>ROUND(L68,1)</f>
        <v>#VALUE!</v>
      </c>
      <c r="Z68" s="1433"/>
      <c r="AI68" s="1243"/>
    </row>
    <row r="69" spans="1:35" s="1244" customFormat="1" ht="16.5" customHeight="1">
      <c r="A69" s="1258"/>
      <c r="B69" s="1259"/>
      <c r="C69" s="1260"/>
      <c r="D69" s="1261"/>
      <c r="E69" s="1262"/>
      <c r="F69" s="229"/>
      <c r="G69" s="229"/>
      <c r="H69" s="241"/>
      <c r="I69" s="1242"/>
      <c r="J69" s="3661"/>
      <c r="K69" s="3383" t="s">
        <v>185</v>
      </c>
      <c r="L69" s="3259"/>
      <c r="M69" s="313" t="e">
        <f>ROUND(SUM(M63:M68),0)</f>
        <v>#VALUE!</v>
      </c>
      <c r="N69" s="3261" t="e">
        <f>M69/M49</f>
        <v>#VALUE!</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710" t="s">
        <v>317</v>
      </c>
      <c r="B70" s="3711"/>
      <c r="C70" s="3711"/>
      <c r="D70" s="3711"/>
      <c r="E70" s="3711"/>
      <c r="F70" s="3711"/>
      <c r="G70" s="3711"/>
      <c r="H70" s="3711"/>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c r="A71" s="3700" t="s">
        <v>310</v>
      </c>
      <c r="B71" s="3701"/>
      <c r="C71" s="3390"/>
      <c r="D71" s="3390" t="s">
        <v>318</v>
      </c>
      <c r="E71" s="545" t="s">
        <v>319</v>
      </c>
      <c r="F71" s="546"/>
      <c r="G71" s="546"/>
      <c r="H71" s="547"/>
      <c r="I71" s="2280"/>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c r="A72" s="535" t="s">
        <v>1895</v>
      </c>
      <c r="B72" s="536" t="s">
        <v>320</v>
      </c>
      <c r="C72" s="539">
        <f ca="1">ROUND(D45/(1+'数据-取费表'!C42),0)</f>
        <v>24314</v>
      </c>
      <c r="D72" s="532" t="s">
        <v>165</v>
      </c>
      <c r="E72" s="3392"/>
      <c r="F72" s="3391"/>
      <c r="G72" s="3391"/>
      <c r="H72" s="548"/>
      <c r="I72" s="2280"/>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c r="A73" s="535" t="s">
        <v>1892</v>
      </c>
      <c r="B73" s="505" t="s">
        <v>321</v>
      </c>
      <c r="C73" s="539">
        <f ca="1">C74+C78</f>
        <v>146</v>
      </c>
      <c r="D73" s="532" t="s">
        <v>165</v>
      </c>
      <c r="E73" s="3392"/>
      <c r="F73" s="3391"/>
      <c r="G73" s="3391"/>
      <c r="H73" s="548"/>
      <c r="I73" s="2280"/>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c r="A74" s="549" t="s">
        <v>1890</v>
      </c>
      <c r="B74" s="530" t="s">
        <v>322</v>
      </c>
      <c r="C74" s="532">
        <f>ROUND(IF(G77="2016年5月1日后购买",C75/(1+'数据-取费表'!C42)+C76+C77,C75+C76+C77),0)</f>
        <v>0</v>
      </c>
      <c r="D74" s="532" t="s">
        <v>165</v>
      </c>
      <c r="E74" s="3392"/>
      <c r="F74" s="3391"/>
      <c r="G74" s="3391"/>
      <c r="H74" s="548"/>
      <c r="I74" s="2280"/>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c r="A75" s="549" t="s">
        <v>1897</v>
      </c>
      <c r="B75" s="530" t="s">
        <v>323</v>
      </c>
      <c r="C75" s="550"/>
      <c r="D75" s="532" t="s">
        <v>165</v>
      </c>
      <c r="E75" s="551" t="s">
        <v>324</v>
      </c>
      <c r="F75" s="1426" t="s">
        <v>2410</v>
      </c>
      <c r="G75" s="551" t="s">
        <v>796</v>
      </c>
      <c r="H75" s="552"/>
      <c r="I75" s="2281"/>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customHeight="1">
      <c r="A76" s="549" t="s">
        <v>1899</v>
      </c>
      <c r="B76" s="553" t="s">
        <v>325</v>
      </c>
      <c r="C76" s="532">
        <f>IF(F75="购房发票",ROUND(C75*H75*D76,0),0)</f>
        <v>0</v>
      </c>
      <c r="D76" s="554">
        <v>0.05</v>
      </c>
      <c r="E76" s="3707" t="s">
        <v>326</v>
      </c>
      <c r="F76" s="3706"/>
      <c r="G76" s="3706"/>
      <c r="H76" s="3709"/>
      <c r="I76" s="2280"/>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customHeight="1">
      <c r="A77" s="549" t="s">
        <v>1900</v>
      </c>
      <c r="B77" s="530" t="s">
        <v>327</v>
      </c>
      <c r="C77" s="532">
        <f>ROUND(IF(G77="个人住宅",0,IF(G77="2016年5月1日前购买",C75*D77,C75*D77/(1+'数据-取费表'!C42))),0)</f>
        <v>0</v>
      </c>
      <c r="D77" s="555">
        <f>'数据-取费表'!B48+'数据-取费表'!B49</f>
        <v>3.0499999999999999E-2</v>
      </c>
      <c r="E77" s="303" t="s">
        <v>797</v>
      </c>
      <c r="F77" s="556"/>
      <c r="G77" s="1427" t="s">
        <v>2501</v>
      </c>
      <c r="H77" s="3393"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customHeight="1">
      <c r="A78" s="549" t="s">
        <v>1898</v>
      </c>
      <c r="B78" s="530" t="s">
        <v>328</v>
      </c>
      <c r="C78" s="557">
        <f ca="1">ROUND(D45*D78/(1+'数据-取费表'!C42),0)</f>
        <v>146</v>
      </c>
      <c r="D78" s="558">
        <f>'数据-取费表'!B43</f>
        <v>6.000000000000001E-3</v>
      </c>
      <c r="E78" s="3702" t="s">
        <v>2502</v>
      </c>
      <c r="F78" s="3698"/>
      <c r="G78" s="3698"/>
      <c r="H78" s="3699"/>
      <c r="I78" s="2282"/>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c r="A79" s="1796" t="s">
        <v>1893</v>
      </c>
      <c r="B79" s="536" t="s">
        <v>329</v>
      </c>
      <c r="C79" s="539">
        <f ca="1">C72-C73</f>
        <v>24168</v>
      </c>
      <c r="D79" s="532" t="s">
        <v>165</v>
      </c>
      <c r="E79" s="3392"/>
      <c r="F79" s="3391"/>
      <c r="G79" s="3391"/>
      <c r="H79" s="548"/>
      <c r="I79" s="2280"/>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c r="A80" s="1796" t="s">
        <v>1902</v>
      </c>
      <c r="B80" s="536" t="s">
        <v>330</v>
      </c>
      <c r="C80" s="559">
        <f ca="1">IF(C79&lt;=0,0,C79/C73)</f>
        <v>165.53424657534248</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91"/>
      <c r="G80" s="3391"/>
      <c r="H80" s="548"/>
      <c r="I80" s="2280"/>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thickBot="1">
      <c r="A81" s="1797" t="s">
        <v>1903</v>
      </c>
      <c r="B81" s="541" t="s">
        <v>331</v>
      </c>
      <c r="C81" s="560">
        <f ca="1">ROUND(IF(C79&lt;=0,0,IF(C80&gt;=200%,C79*60%-C73*35%,IF(C80&gt;=100%,C79*50%-C73*15%,IF(C80&gt;=50%,C79*40%-C73*5%,IF(C80&lt;50%,C79*30%,0))))),0)</f>
        <v>14450</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2"/>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thickBot="1">
      <c r="A83" s="3710" t="s">
        <v>332</v>
      </c>
      <c r="B83" s="3711"/>
      <c r="C83" s="3711"/>
      <c r="D83" s="3711"/>
      <c r="E83" s="3711"/>
      <c r="F83" s="3711"/>
      <c r="G83" s="3711"/>
      <c r="H83" s="3711"/>
      <c r="I83" s="2281"/>
      <c r="J83" s="2131"/>
      <c r="K83" s="2131"/>
      <c r="L83" s="2131"/>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c r="A84" s="3700" t="s">
        <v>310</v>
      </c>
      <c r="B84" s="3701"/>
      <c r="C84" s="3390"/>
      <c r="D84" s="3390" t="s">
        <v>318</v>
      </c>
      <c r="E84" s="545" t="s">
        <v>319</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c r="A85" s="535" t="s">
        <v>1895</v>
      </c>
      <c r="B85" s="536" t="s">
        <v>320</v>
      </c>
      <c r="C85" s="539">
        <f ca="1">ROUND(D45/(1+'数据-取费表'!C42),0)</f>
        <v>24314</v>
      </c>
      <c r="D85" s="532" t="s">
        <v>165</v>
      </c>
      <c r="E85" s="3392"/>
      <c r="F85" s="3391"/>
      <c r="G85" s="3391"/>
      <c r="H85" s="566"/>
      <c r="I85" s="2281"/>
      <c r="J85" s="2131"/>
      <c r="K85" s="2131"/>
      <c r="L85" s="2131"/>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c r="A86" s="535" t="s">
        <v>1892</v>
      </c>
      <c r="B86" s="505" t="s">
        <v>321</v>
      </c>
      <c r="C86" s="539">
        <f ca="1">IF(H88="仅含出让金",C87+C90+C91+C92+C93+C94,C87+C91+C92+C93+C94)</f>
        <v>146</v>
      </c>
      <c r="D86" s="567"/>
      <c r="E86" s="3392"/>
      <c r="F86" s="3391"/>
      <c r="G86" s="3391"/>
      <c r="H86" s="566"/>
      <c r="I86" s="2281"/>
      <c r="J86" s="2131"/>
      <c r="K86" s="2131"/>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c r="A87" s="549" t="s">
        <v>1890</v>
      </c>
      <c r="B87" s="530" t="s">
        <v>333</v>
      </c>
      <c r="C87" s="557">
        <f>C88+C89</f>
        <v>0</v>
      </c>
      <c r="D87" s="558"/>
      <c r="E87" s="3387"/>
      <c r="F87" s="3388"/>
      <c r="G87" s="3388"/>
      <c r="H87" s="3389"/>
      <c r="I87" s="2281"/>
      <c r="J87" s="2131"/>
      <c r="K87" s="2131"/>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c r="A88" s="549" t="s">
        <v>1897</v>
      </c>
      <c r="B88" s="530" t="s">
        <v>334</v>
      </c>
      <c r="C88" s="568"/>
      <c r="D88" s="558"/>
      <c r="E88" s="569" t="s">
        <v>335</v>
      </c>
      <c r="F88" s="3388"/>
      <c r="G88" s="570" t="s">
        <v>336</v>
      </c>
      <c r="H88" s="1428"/>
      <c r="I88" s="2281"/>
      <c r="J88" s="2131"/>
      <c r="K88" s="2131"/>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c r="A89" s="549" t="s">
        <v>1899</v>
      </c>
      <c r="B89" s="530" t="s">
        <v>327</v>
      </c>
      <c r="C89" s="557">
        <f>ROUND(C88*D89,0)</f>
        <v>0</v>
      </c>
      <c r="D89" s="558">
        <f>'数据-取费表'!B48+'数据-取费表'!B49</f>
        <v>3.0499999999999999E-2</v>
      </c>
      <c r="E89" s="569" t="s">
        <v>337</v>
      </c>
      <c r="F89" s="3388"/>
      <c r="G89" s="3388"/>
      <c r="H89" s="3389"/>
      <c r="I89" s="2281"/>
      <c r="J89" s="2131"/>
      <c r="K89" s="2131"/>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c r="A90" s="549" t="s">
        <v>1898</v>
      </c>
      <c r="B90" s="530" t="s">
        <v>338</v>
      </c>
      <c r="C90" s="568"/>
      <c r="D90" s="558"/>
      <c r="E90" s="569" t="str">
        <f>IF(H88="-","土地取得成本中已包含该笔费用"," ")</f>
        <v xml:space="preserve"> </v>
      </c>
      <c r="F90" s="3388"/>
      <c r="G90" s="3388"/>
      <c r="H90" s="3389"/>
      <c r="I90" s="2281"/>
      <c r="J90" s="2131"/>
      <c r="K90" s="2131"/>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customHeight="1">
      <c r="A91" s="1798" t="s">
        <v>1904</v>
      </c>
      <c r="B91" s="530" t="s">
        <v>339</v>
      </c>
      <c r="C91" s="557">
        <f>IF(H91="——",成本法!C33,I91)</f>
        <v>0</v>
      </c>
      <c r="D91" s="558"/>
      <c r="E91" s="3697" t="s">
        <v>798</v>
      </c>
      <c r="F91" s="3698"/>
      <c r="G91" s="3698"/>
      <c r="H91" s="1429" t="s">
        <v>2311</v>
      </c>
      <c r="I91" s="2178"/>
      <c r="J91" s="2131"/>
      <c r="K91" s="2131"/>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customHeight="1">
      <c r="A92" s="1798" t="s">
        <v>1905</v>
      </c>
      <c r="B92" s="530" t="s">
        <v>340</v>
      </c>
      <c r="C92" s="557">
        <f>ROUND((C87+C90+C91)*D92,0)</f>
        <v>0</v>
      </c>
      <c r="D92" s="558">
        <v>0.1</v>
      </c>
      <c r="E92" s="3697" t="s">
        <v>341</v>
      </c>
      <c r="F92" s="3698"/>
      <c r="G92" s="3698"/>
      <c r="H92" s="3699"/>
      <c r="I92" s="2281"/>
      <c r="J92" s="2131"/>
      <c r="K92" s="2131"/>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customHeight="1">
      <c r="A93" s="1798" t="s">
        <v>1906</v>
      </c>
      <c r="B93" s="530" t="s">
        <v>328</v>
      </c>
      <c r="C93" s="557">
        <f ca="1">ROUND(D45*D93/(1+'数据-取费表'!C42),0)</f>
        <v>146</v>
      </c>
      <c r="D93" s="558">
        <f>'数据-取费表'!B43</f>
        <v>6.000000000000001E-3</v>
      </c>
      <c r="E93" s="3702" t="s">
        <v>2502</v>
      </c>
      <c r="F93" s="3698"/>
      <c r="G93" s="3698"/>
      <c r="H93" s="3699"/>
      <c r="I93" s="2281"/>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36.75" customHeight="1">
      <c r="A94" s="1798" t="s">
        <v>1907</v>
      </c>
      <c r="B94" s="530" t="s">
        <v>342</v>
      </c>
      <c r="C94" s="568">
        <f>ROUND((C87+C90+C91)*D94,0)</f>
        <v>0</v>
      </c>
      <c r="D94" s="558">
        <v>0.2</v>
      </c>
      <c r="E94" s="3750" t="s">
        <v>3045</v>
      </c>
      <c r="F94" s="3751"/>
      <c r="G94" s="3751"/>
      <c r="H94" s="3752"/>
      <c r="I94" s="2281"/>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c r="A95" s="1796" t="s">
        <v>1893</v>
      </c>
      <c r="B95" s="536" t="s">
        <v>329</v>
      </c>
      <c r="C95" s="539">
        <f ca="1">ROUND(C85-C86,0)</f>
        <v>24168</v>
      </c>
      <c r="D95" s="532" t="s">
        <v>165</v>
      </c>
      <c r="E95" s="3392"/>
      <c r="F95" s="3391"/>
      <c r="G95" s="3391"/>
      <c r="H95" s="566"/>
      <c r="I95" s="2281"/>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c r="A96" s="1796" t="s">
        <v>1902</v>
      </c>
      <c r="B96" s="536" t="s">
        <v>330</v>
      </c>
      <c r="C96" s="559">
        <f ca="1">IF(C95&lt;=0,0,C95/C86)</f>
        <v>165.53424657534248</v>
      </c>
      <c r="D96" s="532"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91"/>
      <c r="G96" s="3391"/>
      <c r="H96" s="566"/>
      <c r="I96" s="2281"/>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thickBot="1">
      <c r="A97" s="1797" t="s">
        <v>1903</v>
      </c>
      <c r="B97" s="541" t="s">
        <v>331</v>
      </c>
      <c r="C97" s="560">
        <f ca="1">ROUND(IF(C95&lt;=0,0,IF(C96&gt;=200%,C95*60%-C86*35%,IF(C96&gt;=100%,C95*50%-C86*15%,IF(C96&gt;=50%,C95*40%-C86*5%,IF(C96&lt;50%,C95*30%,0))))),0)</f>
        <v>14450</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3"/>
    </row>
    <row r="99" spans="1:35" ht="21.75" customHeight="1" thickBot="1">
      <c r="A99" s="1251" t="s">
        <v>227</v>
      </c>
      <c r="B99" s="1242"/>
      <c r="C99" s="1242"/>
      <c r="D99" s="1242"/>
      <c r="E99" s="229"/>
      <c r="F99" s="229"/>
      <c r="G99" s="229"/>
      <c r="H99" s="241"/>
      <c r="I99" s="2273"/>
    </row>
    <row r="100" spans="1:35" ht="18.75" customHeight="1">
      <c r="A100" s="3645" t="s">
        <v>228</v>
      </c>
      <c r="B100" s="3646"/>
      <c r="C100" s="3646"/>
      <c r="D100" s="3680"/>
      <c r="E100" s="3646" t="s">
        <v>2899</v>
      </c>
      <c r="F100" s="3646"/>
      <c r="G100" s="3646"/>
      <c r="H100" s="3680"/>
      <c r="I100" s="2273"/>
    </row>
    <row r="101" spans="1:35" ht="18.75" customHeight="1">
      <c r="A101" s="3688" t="s">
        <v>206</v>
      </c>
      <c r="B101" s="3689"/>
      <c r="C101" s="1265" t="str">
        <f>C4</f>
        <v>收益法 (3)</v>
      </c>
      <c r="D101" s="1266" t="str">
        <f>D4</f>
        <v>比较法-办公</v>
      </c>
      <c r="E101" s="3657" t="s">
        <v>1909</v>
      </c>
      <c r="F101" s="3658"/>
      <c r="G101" s="1267" t="s">
        <v>208</v>
      </c>
      <c r="H101" s="1981">
        <f ca="1">H118</f>
        <v>25530</v>
      </c>
      <c r="I101" s="2273"/>
    </row>
    <row r="102" spans="1:35" ht="18.75" customHeight="1">
      <c r="A102" s="3690" t="s">
        <v>207</v>
      </c>
      <c r="B102" s="1267" t="s">
        <v>208</v>
      </c>
      <c r="C102" s="1234">
        <f ca="1">C19</f>
        <v>20968</v>
      </c>
      <c r="D102" s="1235">
        <f ca="1">D19</f>
        <v>28572</v>
      </c>
      <c r="E102" s="3657"/>
      <c r="F102" s="3658"/>
      <c r="G102" s="1267" t="s">
        <v>209</v>
      </c>
      <c r="H102" s="711">
        <f ca="1">I118</f>
        <v>15070</v>
      </c>
      <c r="I102" s="2273"/>
    </row>
    <row r="103" spans="1:35" ht="42.75" customHeight="1">
      <c r="A103" s="3690"/>
      <c r="B103" s="1267" t="s">
        <v>209</v>
      </c>
      <c r="C103" s="1236">
        <f ca="1">C20</f>
        <v>12377</v>
      </c>
      <c r="D103" s="1237">
        <f ca="1">D20</f>
        <v>16866</v>
      </c>
      <c r="E103" s="3651" t="s">
        <v>3009</v>
      </c>
      <c r="F103" s="3652"/>
      <c r="G103" s="1268" t="s">
        <v>211</v>
      </c>
      <c r="H103" s="1981">
        <f>IF(D36="正常操作",H104+H105+H106,H105+H106)</f>
        <v>0</v>
      </c>
      <c r="I103" s="2273"/>
    </row>
    <row r="104" spans="1:35" ht="18.75" customHeight="1">
      <c r="A104" s="3690" t="s">
        <v>210</v>
      </c>
      <c r="B104" s="1269" t="s">
        <v>208</v>
      </c>
      <c r="C104" s="1238">
        <f ca="1">H118</f>
        <v>25530</v>
      </c>
      <c r="D104" s="1239"/>
      <c r="E104" s="13" t="s">
        <v>1908</v>
      </c>
      <c r="F104" s="6"/>
      <c r="G104" s="1268" t="s">
        <v>211</v>
      </c>
      <c r="H104" s="1982">
        <f>IF(D36="同一抵押权人同一抵押物续贷",C36&amp;"（未扣减，详见特别提示）",C36)</f>
        <v>0</v>
      </c>
      <c r="I104" s="2273"/>
    </row>
    <row r="105" spans="1:35" ht="18.75" customHeight="1" thickBot="1">
      <c r="A105" s="3704"/>
      <c r="B105" s="1270" t="s">
        <v>209</v>
      </c>
      <c r="C105" s="1240">
        <f ca="1">I118</f>
        <v>15070</v>
      </c>
      <c r="D105" s="1241"/>
      <c r="E105" s="13" t="s">
        <v>1910</v>
      </c>
      <c r="F105" s="6"/>
      <c r="G105" s="1268" t="s">
        <v>211</v>
      </c>
      <c r="H105" s="1982">
        <f>C37</f>
        <v>0</v>
      </c>
      <c r="I105" s="2273"/>
    </row>
    <row r="106" spans="1:35" ht="18.75" customHeight="1">
      <c r="A106" s="1242" t="s">
        <v>2002</v>
      </c>
      <c r="B106" s="1242"/>
      <c r="C106" s="1242"/>
      <c r="D106" s="1242"/>
      <c r="E106" s="467" t="s">
        <v>1911</v>
      </c>
      <c r="F106" s="6"/>
      <c r="G106" s="1268" t="s">
        <v>211</v>
      </c>
      <c r="H106" s="1982">
        <f>C38</f>
        <v>0</v>
      </c>
      <c r="I106" s="2273"/>
    </row>
    <row r="107" spans="1:35" ht="18.75" customHeight="1">
      <c r="A107" s="2273"/>
      <c r="B107" s="2273"/>
      <c r="C107" s="2273"/>
      <c r="D107" s="2273"/>
      <c r="E107" s="3692" t="str">
        <f>IF(项目基本情况!E8="已注销","——","3.房地产抵押价值")</f>
        <v>3.房地产抵押价值</v>
      </c>
      <c r="F107" s="3658"/>
      <c r="G107" s="1267" t="s">
        <v>208</v>
      </c>
      <c r="H107" s="1981">
        <f ca="1">IF(E107="——","——",H101-H103)</f>
        <v>25530</v>
      </c>
      <c r="I107" s="2273"/>
    </row>
    <row r="108" spans="1:35" ht="18.75" customHeight="1">
      <c r="A108" s="2273"/>
      <c r="B108" s="2273"/>
      <c r="C108" s="2273"/>
      <c r="D108" s="2273"/>
      <c r="E108" s="3692"/>
      <c r="F108" s="3658"/>
      <c r="G108" s="1267" t="s">
        <v>209</v>
      </c>
      <c r="H108" s="711">
        <f ca="1">ROUND(H107*10000/'数据-汇总表'!E3,0)</f>
        <v>1543</v>
      </c>
      <c r="I108" s="2273"/>
    </row>
    <row r="109" spans="1:35" ht="18.75" customHeight="1">
      <c r="A109" s="2273"/>
      <c r="B109" s="2273"/>
      <c r="C109" s="2273"/>
      <c r="D109" s="2273"/>
      <c r="E109" s="3692" t="str">
        <f>IF(项目基本情况!E8="已注销及未注销","4.抵押担保权已注销时的房地产抵押价值",IF(项目基本情况!E8="已注销","3.抵押担保权已注销时的房地产抵押价值","——"))</f>
        <v>——</v>
      </c>
      <c r="F109" s="3658"/>
      <c r="G109" s="1267" t="s">
        <v>208</v>
      </c>
      <c r="H109" s="685" t="str">
        <f>IF(E109="——","——",H101-H105-H106)</f>
        <v>——</v>
      </c>
      <c r="I109" s="2273"/>
    </row>
    <row r="110" spans="1:35" ht="18.75" customHeight="1">
      <c r="A110" s="2273"/>
      <c r="B110" s="2273"/>
      <c r="C110" s="2273"/>
      <c r="D110" s="2273"/>
      <c r="E110" s="3692"/>
      <c r="F110" s="3658"/>
      <c r="G110" s="1267" t="s">
        <v>209</v>
      </c>
      <c r="H110" s="711" t="str">
        <f>IF(H109="——","——",ROUND(H109*10000/'数据-汇总表'!E3,0))</f>
        <v>——</v>
      </c>
      <c r="I110" s="2273"/>
    </row>
    <row r="111" spans="1:35" ht="18.75" customHeight="1">
      <c r="A111" s="2273"/>
      <c r="B111" s="2273"/>
      <c r="C111" s="2273"/>
      <c r="D111" s="2273"/>
      <c r="E111" s="3693" t="str">
        <f>IF(项目基本情况!E9="抵押净值",IF(OR(项目基本情况!E8="已注销",项目基本情况!E8="房地产抵押价值"),"4.抵押净值","5.抵押净值"),"——")</f>
        <v>——</v>
      </c>
      <c r="F111" s="3694"/>
      <c r="G111" s="1267" t="s">
        <v>208</v>
      </c>
      <c r="H111" s="1981" t="str">
        <f>IF(E111="——","——",N59)</f>
        <v>——</v>
      </c>
      <c r="I111" s="2273"/>
    </row>
    <row r="112" spans="1:35" ht="18.75" customHeight="1" thickBot="1">
      <c r="A112" s="2273"/>
      <c r="B112" s="2273"/>
      <c r="C112" s="2273"/>
      <c r="D112" s="2273"/>
      <c r="E112" s="3695"/>
      <c r="F112" s="3696"/>
      <c r="G112" s="1271" t="s">
        <v>209</v>
      </c>
      <c r="H112" s="1422" t="str">
        <f>IF(E111="——","——",N61)</f>
        <v>——</v>
      </c>
      <c r="I112" s="2273"/>
    </row>
    <row r="113" spans="1:11" ht="18.75" customHeight="1">
      <c r="A113" s="2273"/>
      <c r="B113" s="2273"/>
      <c r="C113" s="2273"/>
      <c r="D113" s="2273"/>
      <c r="E113" s="3705" t="s">
        <v>2002</v>
      </c>
      <c r="F113" s="3705"/>
      <c r="G113" s="3705"/>
      <c r="H113" s="3705"/>
      <c r="I113" s="2273"/>
    </row>
    <row r="114" spans="1:11" ht="3.75" customHeight="1">
      <c r="A114" s="1242"/>
      <c r="B114" s="1242"/>
      <c r="C114" s="1242"/>
      <c r="D114" s="1242"/>
      <c r="E114" s="1257"/>
      <c r="F114" s="1257"/>
      <c r="G114" s="1257"/>
      <c r="H114" s="1257"/>
      <c r="I114" s="1242"/>
    </row>
    <row r="115" spans="1:11" ht="18.75" customHeight="1">
      <c r="A115" s="3718" t="s">
        <v>224</v>
      </c>
      <c r="B115" s="3719"/>
      <c r="C115" s="3719"/>
      <c r="D115" s="3719"/>
      <c r="E115" s="3719"/>
      <c r="F115" s="3719"/>
      <c r="G115" s="3719"/>
      <c r="H115" s="3719"/>
      <c r="I115" s="3720"/>
    </row>
    <row r="116" spans="1:11" ht="27" customHeight="1">
      <c r="A116" s="3625" t="s">
        <v>5</v>
      </c>
      <c r="B116" s="3667" t="s">
        <v>787</v>
      </c>
      <c r="C116" s="3667" t="s">
        <v>788</v>
      </c>
      <c r="D116" s="3676" t="s">
        <v>204</v>
      </c>
      <c r="E116" s="3677"/>
      <c r="F116" s="3714" t="s">
        <v>2379</v>
      </c>
      <c r="G116" s="3714"/>
      <c r="H116" s="3625" t="s">
        <v>6</v>
      </c>
      <c r="I116" s="3625"/>
    </row>
    <row r="117" spans="1:11" ht="18.75" customHeight="1">
      <c r="A117" s="3625"/>
      <c r="B117" s="3668"/>
      <c r="C117" s="3668"/>
      <c r="D117" s="3381" t="s">
        <v>7</v>
      </c>
      <c r="E117" s="3381" t="s">
        <v>789</v>
      </c>
      <c r="F117" s="3381" t="s">
        <v>7</v>
      </c>
      <c r="G117" s="3381" t="s">
        <v>8</v>
      </c>
      <c r="H117" s="3381" t="s">
        <v>7</v>
      </c>
      <c r="I117" s="3381" t="s">
        <v>8</v>
      </c>
    </row>
    <row r="118" spans="1:11" ht="24.75" customHeight="1">
      <c r="A118" s="2028" t="str">
        <f>项目基本情况!S2</f>
        <v>广东省中山市中山市南区永安一路9号悦盈新成花园房地产</v>
      </c>
      <c r="B118" s="3395">
        <f>M18</f>
        <v>16940.830000000002</v>
      </c>
      <c r="C118" s="3395">
        <f>M19</f>
        <v>3426.96</v>
      </c>
      <c r="D118" s="3395" t="e">
        <f ca="1">ROUND(IF(D32="总价",C34,E118*B118/10000),0)</f>
        <v>#REF!</v>
      </c>
      <c r="E118" s="3395" t="e">
        <f ca="1">ROUND(IF(C33="自定义",IF(D32="楼面单价",C34,D118*10000/B118),I118-G118),0)</f>
        <v>#REF!</v>
      </c>
      <c r="F118" s="3395" t="e">
        <f ca="1">ROUND(IF(D32="总价",C35,G118*B118/10000),0)</f>
        <v>#REF!</v>
      </c>
      <c r="G118" s="3395" t="e">
        <f ca="1">ROUND(IF(D32="楼面单价",C35,F118*10000/B118),0)</f>
        <v>#REF!</v>
      </c>
      <c r="H118" s="3395">
        <f ca="1">ROUND(IF(D32="总价",C32,I118*B118/10000),0)</f>
        <v>25530</v>
      </c>
      <c r="I118" s="3395">
        <f ca="1">ROUND(IF(D32="楼面单价",C32,H118*10000/B118),0)</f>
        <v>15070</v>
      </c>
    </row>
    <row r="119" spans="1:11" ht="18.75" customHeight="1">
      <c r="A119" s="3625" t="s">
        <v>9</v>
      </c>
      <c r="B119" s="3625"/>
      <c r="C119" s="3625"/>
      <c r="D119" s="3669" t="e">
        <f ca="1">NUMBERSTRING(INT(D118*10000),2)&amp;"元整"</f>
        <v>#REF!</v>
      </c>
      <c r="E119" s="3670"/>
      <c r="F119" s="3669" t="e">
        <f ca="1">NUMBERSTRING(INT(F118*10000),2)&amp;"元整"</f>
        <v>#REF!</v>
      </c>
      <c r="G119" s="3670"/>
      <c r="H119" s="3669" t="str">
        <f ca="1">NUMBERSTRING(INT(H118*10000),2)&amp;"元整"</f>
        <v>贰亿伍仟伍佰叁拾万元整</v>
      </c>
      <c r="I119" s="3670"/>
    </row>
    <row r="120" spans="1:11" ht="18.75" customHeight="1">
      <c r="A120" s="3671" t="str">
        <f>IF(项目基本情况!B9="房地产市场价值","",MID(E103,3,LEN(E103)-2))</f>
        <v/>
      </c>
      <c r="B120" s="3672"/>
      <c r="C120" s="3673"/>
      <c r="D120" s="3664">
        <f>H103</f>
        <v>0</v>
      </c>
      <c r="E120" s="3665"/>
      <c r="F120" s="3665"/>
      <c r="G120" s="3665"/>
      <c r="H120" s="3665"/>
      <c r="I120" s="3666"/>
      <c r="K120" s="1433" t="str">
        <f>IF(D120=0,"故，本次评估不存在"&amp;A120,"故，本次评估"&amp;A120&amp;"为人民币"&amp;D120&amp;"万元整。")</f>
        <v>故，本次评估不存在</v>
      </c>
    </row>
    <row r="121" spans="1:11" ht="18.75" customHeight="1">
      <c r="A121" s="3715" t="s">
        <v>9</v>
      </c>
      <c r="B121" s="3716"/>
      <c r="C121" s="3717"/>
      <c r="D121" s="3669" t="str">
        <f>IF(D120=0,"零元整",NUMBERSTRING(INT(D120*10000),2)&amp;"元整")</f>
        <v>零元整</v>
      </c>
      <c r="E121" s="3674"/>
      <c r="F121" s="3674"/>
      <c r="G121" s="3674"/>
      <c r="H121" s="3674"/>
      <c r="I121" s="3670"/>
    </row>
    <row r="122" spans="1:11" ht="18.75" customHeight="1">
      <c r="A122" s="3678" t="str">
        <f>IF(项目基本情况!B9="房地产市场价值","",MID(E107,3,LEN(E107)-2))</f>
        <v/>
      </c>
      <c r="B122" s="3678"/>
      <c r="C122" s="3678"/>
      <c r="D122" s="3664">
        <f ca="1">H107</f>
        <v>25530</v>
      </c>
      <c r="E122" s="3665"/>
      <c r="F122" s="3665"/>
      <c r="G122" s="3665"/>
      <c r="H122" s="3665"/>
      <c r="I122" s="3666"/>
    </row>
    <row r="123" spans="1:11" ht="18.75" customHeight="1">
      <c r="A123" s="3625" t="s">
        <v>9</v>
      </c>
      <c r="B123" s="3625"/>
      <c r="C123" s="3625"/>
      <c r="D123" s="3669" t="str">
        <f ca="1">NUMBERSTRING(INT(D122*10000),2)&amp;"元整"</f>
        <v>贰亿伍仟伍佰叁拾万元整</v>
      </c>
      <c r="E123" s="3674"/>
      <c r="F123" s="3674"/>
      <c r="G123" s="3674"/>
      <c r="H123" s="3674"/>
      <c r="I123" s="3670"/>
    </row>
    <row r="124" spans="1:11" ht="18.75" customHeight="1">
      <c r="A124" s="3678" t="str">
        <f>IF(项目基本情况!B9="房地产市场价值","",MID(E109,3,LEN(E109)-2))</f>
        <v/>
      </c>
      <c r="B124" s="3678"/>
      <c r="C124" s="3678"/>
      <c r="D124" s="3664" t="str">
        <f>H109</f>
        <v>——</v>
      </c>
      <c r="E124" s="3665"/>
      <c r="F124" s="3665"/>
      <c r="G124" s="3665"/>
      <c r="H124" s="3665"/>
      <c r="I124" s="3666"/>
    </row>
    <row r="125" spans="1:11" ht="18.75" customHeight="1">
      <c r="A125" s="3625" t="s">
        <v>9</v>
      </c>
      <c r="B125" s="3625"/>
      <c r="C125" s="3625"/>
      <c r="D125" s="3669" t="e">
        <f>NUMBERSTRING(INT(D124*10000),2)&amp;"元整"</f>
        <v>#VALUE!</v>
      </c>
      <c r="E125" s="3674"/>
      <c r="F125" s="3674"/>
      <c r="G125" s="3674"/>
      <c r="H125" s="3674"/>
      <c r="I125" s="3670"/>
    </row>
    <row r="126" spans="1:11" ht="18.75" customHeight="1">
      <c r="A126" s="3678" t="str">
        <f>IF(项目基本情况!B9="房地产市场价值","",MID(E111,3,LEN(E111)-2))</f>
        <v/>
      </c>
      <c r="B126" s="3678"/>
      <c r="C126" s="3678"/>
      <c r="D126" s="3664" t="str">
        <f>H111</f>
        <v>——</v>
      </c>
      <c r="E126" s="3665"/>
      <c r="F126" s="3665"/>
      <c r="G126" s="3665"/>
      <c r="H126" s="3665"/>
      <c r="I126" s="3666"/>
    </row>
    <row r="127" spans="1:11" ht="18.75" customHeight="1">
      <c r="A127" s="3625" t="s">
        <v>9</v>
      </c>
      <c r="B127" s="3625"/>
      <c r="C127" s="3625"/>
      <c r="D127" s="3669" t="e">
        <f>NUMBERSTRING(INT(D126*10000),2)&amp;"元整"</f>
        <v>#VALUE!</v>
      </c>
      <c r="E127" s="3674"/>
      <c r="F127" s="3674"/>
      <c r="G127" s="3674"/>
      <c r="H127" s="3674"/>
      <c r="I127" s="3670"/>
    </row>
    <row r="128" spans="1:11" ht="21.75" customHeight="1">
      <c r="A128" s="3675" t="s">
        <v>2001</v>
      </c>
      <c r="B128" s="3675"/>
      <c r="C128" s="3675"/>
      <c r="D128" s="3675"/>
      <c r="E128" s="3675"/>
      <c r="F128" s="3675"/>
      <c r="G128" s="3675"/>
      <c r="H128" s="3675"/>
      <c r="I128" s="3675"/>
    </row>
    <row r="129" spans="1:35" ht="21.75" customHeight="1">
      <c r="A129" s="2023" t="s">
        <v>790</v>
      </c>
      <c r="B129" s="2024"/>
      <c r="C129" s="468" t="s">
        <v>148</v>
      </c>
      <c r="D129" s="2025"/>
      <c r="E129" s="2025"/>
      <c r="F129" s="2025"/>
      <c r="G129" s="2025"/>
      <c r="H129" s="2026"/>
      <c r="I129" s="2027"/>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sheetPr codeName="Sheet24">
    <tabColor rgb="FF92D050"/>
    <pageSetUpPr fitToPage="1"/>
  </sheetPr>
  <dimension ref="A1:AC133"/>
  <sheetViews>
    <sheetView topLeftCell="A18" zoomScale="90" zoomScaleNormal="90" workbookViewId="0">
      <selection activeCell="N15" sqref="N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1068</v>
      </c>
      <c r="B1" s="3114" t="s">
        <v>1069</v>
      </c>
      <c r="C1" s="3108" t="s">
        <v>1070</v>
      </c>
      <c r="D1" s="3099" t="s">
        <v>139</v>
      </c>
      <c r="E1" s="3104"/>
      <c r="F1" s="3101" t="s">
        <v>2692</v>
      </c>
      <c r="G1" s="3103" t="s">
        <v>1071</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1072</v>
      </c>
      <c r="B2" s="2840">
        <f>IF(C2="——",ROUND(C50*D3/10000,0),ROUND(C50*D3/10000,0)-D2)</f>
        <v>28572</v>
      </c>
      <c r="C2" s="3093" t="s">
        <v>529</v>
      </c>
      <c r="D2" s="2720" t="e">
        <f ca="1">SUMIF(INDIRECT("'"&amp;F2&amp;"'"&amp;"!A:A"),"承租人权益价值",INDIRECT("'"&amp;F2&amp;"'"&amp;"!c:c"))</f>
        <v>#REF!</v>
      </c>
      <c r="E2" s="3094" t="s">
        <v>869</v>
      </c>
      <c r="F2" s="3095"/>
      <c r="G2" s="2314"/>
      <c r="H2" s="2314"/>
      <c r="I2" s="2314"/>
      <c r="J2" s="2314"/>
      <c r="K2" s="2314"/>
      <c r="L2" s="2315"/>
      <c r="M2" s="2316"/>
      <c r="N2" s="2316"/>
      <c r="O2" s="2316"/>
      <c r="P2" s="1333"/>
      <c r="Q2" s="1333"/>
      <c r="R2" s="1333"/>
      <c r="S2" s="1333"/>
      <c r="T2" s="1333"/>
      <c r="U2" s="1333"/>
      <c r="V2" s="1333"/>
      <c r="W2" s="1333"/>
      <c r="X2" s="1333"/>
      <c r="Y2" s="1333"/>
      <c r="Z2" s="1333"/>
      <c r="AA2" s="1333"/>
      <c r="AB2" s="1333"/>
      <c r="AC2" s="1334"/>
    </row>
    <row r="3" spans="1:29" s="90" customFormat="1" ht="28.5" customHeight="1" thickBot="1">
      <c r="A3" s="87" t="s">
        <v>1073</v>
      </c>
      <c r="B3" s="951">
        <f>IF(C2="——",C50,ROUND(B2*10000/D3,0))</f>
        <v>16866</v>
      </c>
      <c r="C3" s="142" t="s">
        <v>1074</v>
      </c>
      <c r="D3" s="742">
        <f>IF(D1="",'数据-汇总表'!E3,SUMIF('数据-汇总表'!$C19:$C33,D1,'数据-汇总表'!$E19:$E33))</f>
        <v>16940.830000000002</v>
      </c>
      <c r="E3" s="2312"/>
      <c r="F3" s="2313"/>
      <c r="G3" s="2314"/>
      <c r="H3" s="2314"/>
      <c r="I3" s="2314"/>
      <c r="J3" s="2314"/>
      <c r="K3" s="2317"/>
      <c r="L3" s="2315"/>
      <c r="M3" s="2316"/>
      <c r="N3" s="2316"/>
      <c r="O3" s="2316"/>
      <c r="P3" s="1333"/>
      <c r="Q3" s="1333"/>
      <c r="R3" s="1333"/>
      <c r="S3" s="1333"/>
      <c r="T3" s="1333"/>
      <c r="U3" s="1333"/>
      <c r="V3" s="1333"/>
      <c r="W3" s="1333"/>
      <c r="X3" s="1333"/>
      <c r="Y3" s="1333"/>
      <c r="Z3" s="1333"/>
      <c r="AA3" s="1333"/>
      <c r="AB3" s="1333"/>
      <c r="AC3" s="1334"/>
    </row>
    <row r="4" spans="1:29">
      <c r="A4" s="143" t="s">
        <v>1075</v>
      </c>
      <c r="B4" s="144"/>
      <c r="C4" s="3802" t="s">
        <v>1076</v>
      </c>
      <c r="D4" s="3803"/>
      <c r="E4" s="3804" t="s">
        <v>1077</v>
      </c>
      <c r="F4" s="3805"/>
      <c r="G4" s="3802" t="s">
        <v>1078</v>
      </c>
      <c r="H4" s="3803"/>
      <c r="I4" s="3802" t="s">
        <v>1079</v>
      </c>
      <c r="J4" s="3803"/>
      <c r="K4" s="187" t="s">
        <v>1080</v>
      </c>
      <c r="L4" s="2291"/>
      <c r="M4" s="2292"/>
      <c r="N4" s="2292"/>
      <c r="O4" s="2292"/>
      <c r="P4" s="3842" t="s">
        <v>1075</v>
      </c>
      <c r="Q4" s="3843"/>
      <c r="R4" s="3837" t="s">
        <v>1077</v>
      </c>
      <c r="S4" s="3838"/>
      <c r="T4" s="3837" t="s">
        <v>1078</v>
      </c>
      <c r="U4" s="3838"/>
      <c r="V4" s="3846" t="s">
        <v>1079</v>
      </c>
      <c r="W4" s="3846"/>
      <c r="X4" s="2331"/>
      <c r="Y4" s="3837" t="s">
        <v>1075</v>
      </c>
      <c r="Z4" s="3838"/>
      <c r="AA4" s="3836" t="s">
        <v>1077</v>
      </c>
      <c r="AB4" s="3836" t="s">
        <v>1078</v>
      </c>
      <c r="AC4" s="3839" t="s">
        <v>1079</v>
      </c>
    </row>
    <row r="5" spans="1:29">
      <c r="A5" s="146"/>
      <c r="B5" s="147"/>
      <c r="C5" s="3795" t="s">
        <v>1081</v>
      </c>
      <c r="D5" s="3796"/>
      <c r="E5" s="3793" t="s">
        <v>3937</v>
      </c>
      <c r="F5" s="3794"/>
      <c r="G5" s="3795" t="s">
        <v>3977</v>
      </c>
      <c r="H5" s="3796"/>
      <c r="I5" s="3795" t="s">
        <v>3980</v>
      </c>
      <c r="J5" s="3796"/>
      <c r="K5" s="187"/>
      <c r="L5" s="2291"/>
      <c r="M5" s="2292"/>
      <c r="N5" s="2292"/>
      <c r="O5" s="2292"/>
      <c r="P5" s="3844"/>
      <c r="Q5" s="3809"/>
      <c r="R5" s="3791"/>
      <c r="S5" s="3792"/>
      <c r="T5" s="3791"/>
      <c r="U5" s="3792"/>
      <c r="V5" s="3814"/>
      <c r="W5" s="3814"/>
      <c r="X5" s="2217"/>
      <c r="Y5" s="3791"/>
      <c r="Z5" s="3792"/>
      <c r="AA5" s="3785"/>
      <c r="AB5" s="3785"/>
      <c r="AC5" s="3840"/>
    </row>
    <row r="6" spans="1:29" ht="14.25" thickBot="1">
      <c r="A6" s="148"/>
      <c r="B6" s="149"/>
      <c r="C6" s="3797" t="s">
        <v>1082</v>
      </c>
      <c r="D6" s="3798"/>
      <c r="E6" s="3799" t="s">
        <v>3938</v>
      </c>
      <c r="F6" s="3800"/>
      <c r="G6" s="3797" t="s">
        <v>3978</v>
      </c>
      <c r="H6" s="3798"/>
      <c r="I6" s="3797" t="s">
        <v>3981</v>
      </c>
      <c r="J6" s="3798"/>
      <c r="K6" s="187" t="s">
        <v>1083</v>
      </c>
      <c r="L6" s="2291"/>
      <c r="M6" s="2292"/>
      <c r="N6" s="2292"/>
      <c r="O6" s="2292"/>
      <c r="P6" s="3845"/>
      <c r="Q6" s="3811"/>
      <c r="R6" s="3791"/>
      <c r="S6" s="3792"/>
      <c r="T6" s="3812"/>
      <c r="U6" s="3813"/>
      <c r="V6" s="3814"/>
      <c r="W6" s="3814"/>
      <c r="X6" s="2217"/>
      <c r="Y6" s="3812"/>
      <c r="Z6" s="3813"/>
      <c r="AA6" s="3786"/>
      <c r="AB6" s="3786"/>
      <c r="AC6" s="3841"/>
    </row>
    <row r="7" spans="1:29" s="40" customFormat="1" ht="15" thickBot="1">
      <c r="A7" s="1013" t="s">
        <v>1084</v>
      </c>
      <c r="B7" s="1014"/>
      <c r="C7" s="753">
        <f>'数据-取费表'!B2</f>
        <v>42970</v>
      </c>
      <c r="D7" s="754">
        <v>100</v>
      </c>
      <c r="E7" s="1016">
        <v>42970</v>
      </c>
      <c r="F7" s="756">
        <f>SUMIF(59:59,YEAR(E7)&amp;"-"&amp;MONTH(E7),60:60)</f>
        <v>100</v>
      </c>
      <c r="G7" s="1016">
        <v>42970</v>
      </c>
      <c r="H7" s="754">
        <f>SUMIF(59:59,YEAR(G7)&amp;"-"&amp;MONTH(G7),60:60)</f>
        <v>100</v>
      </c>
      <c r="I7" s="1016">
        <v>42970</v>
      </c>
      <c r="J7" s="754">
        <f>SUMIF(59:59,YEAR(I7)&amp;"-"&amp;MONTH(I7),60:60)</f>
        <v>100</v>
      </c>
      <c r="K7" s="1018"/>
      <c r="L7" s="2293"/>
      <c r="M7" s="2255"/>
      <c r="N7" s="2255"/>
      <c r="O7" s="2255"/>
      <c r="P7" s="3847" t="s">
        <v>1084</v>
      </c>
      <c r="Q7" s="3815"/>
      <c r="R7" s="1341" t="s">
        <v>63</v>
      </c>
      <c r="S7" s="1342">
        <f t="shared" ref="S7:S15" si="0">F7</f>
        <v>100</v>
      </c>
      <c r="T7" s="1341" t="s">
        <v>63</v>
      </c>
      <c r="U7" s="1342">
        <f t="shared" ref="U7:U15" si="1">H7</f>
        <v>100</v>
      </c>
      <c r="V7" s="1341" t="s">
        <v>63</v>
      </c>
      <c r="W7" s="1342">
        <f t="shared" ref="W7:W15" si="2">J7</f>
        <v>100</v>
      </c>
      <c r="X7" s="287"/>
      <c r="Y7" s="3787" t="s">
        <v>1084</v>
      </c>
      <c r="Z7" s="3788"/>
      <c r="AA7" s="1343">
        <f>D7/F7</f>
        <v>1</v>
      </c>
      <c r="AB7" s="1343">
        <f>D7/H7</f>
        <v>1</v>
      </c>
      <c r="AC7" s="2332">
        <f>D7/J7</f>
        <v>1</v>
      </c>
    </row>
    <row r="8" spans="1:29" s="40" customFormat="1" ht="15" thickBot="1">
      <c r="A8" s="1013" t="s">
        <v>1085</v>
      </c>
      <c r="B8" s="1014"/>
      <c r="C8" s="1019" t="s">
        <v>1086</v>
      </c>
      <c r="D8" s="754">
        <v>100</v>
      </c>
      <c r="E8" s="1019" t="s">
        <v>153</v>
      </c>
      <c r="F8" s="756">
        <f>SUMIF(62:62,E8,63:63)-SUMIF(62:62,C8,63:63)+100</f>
        <v>100</v>
      </c>
      <c r="G8" s="1019" t="s">
        <v>153</v>
      </c>
      <c r="H8" s="754">
        <f>SUMIF(62:62,G8,63:63)-SUMIF(62:62,C8,63:63)+100</f>
        <v>100</v>
      </c>
      <c r="I8" s="1019" t="s">
        <v>153</v>
      </c>
      <c r="J8" s="754">
        <f>SUMIF(62:62,I8,63:63)-SUMIF(62:62,C8,63:63)+100</f>
        <v>100</v>
      </c>
      <c r="K8" s="1018"/>
      <c r="L8" s="2293"/>
      <c r="M8" s="2255"/>
      <c r="N8" s="2255"/>
      <c r="O8" s="2255"/>
      <c r="P8" s="3847" t="s">
        <v>1022</v>
      </c>
      <c r="Q8" s="3788"/>
      <c r="R8" s="1341" t="s">
        <v>63</v>
      </c>
      <c r="S8" s="1342">
        <f t="shared" si="0"/>
        <v>100</v>
      </c>
      <c r="T8" s="1341" t="s">
        <v>63</v>
      </c>
      <c r="U8" s="1342">
        <f t="shared" si="1"/>
        <v>100</v>
      </c>
      <c r="V8" s="1341" t="s">
        <v>63</v>
      </c>
      <c r="W8" s="1342">
        <f t="shared" si="2"/>
        <v>100</v>
      </c>
      <c r="X8" s="287"/>
      <c r="Y8" s="3787" t="s">
        <v>1022</v>
      </c>
      <c r="Z8" s="3788"/>
      <c r="AA8" s="1343">
        <f t="shared" ref="AA8:AA47" si="3">D8/F8</f>
        <v>1</v>
      </c>
      <c r="AB8" s="1343">
        <f t="shared" ref="AB8:AB47" si="4">D8/H8</f>
        <v>1</v>
      </c>
      <c r="AC8" s="2332">
        <f t="shared" ref="AC8:AC47" si="5">D8/J8</f>
        <v>1</v>
      </c>
    </row>
    <row r="9" spans="1:29" s="40" customFormat="1" ht="14.25">
      <c r="A9" s="1020" t="s">
        <v>1023</v>
      </c>
      <c r="B9" s="62" t="s">
        <v>1024</v>
      </c>
      <c r="C9" s="1345" t="s">
        <v>3939</v>
      </c>
      <c r="D9" s="425">
        <v>100</v>
      </c>
      <c r="E9" s="1347" t="s">
        <v>3940</v>
      </c>
      <c r="F9" s="425">
        <f>SUMIF(64:64,E9,65:65)-SUMIF(64:64,C9,65:65)+100</f>
        <v>95</v>
      </c>
      <c r="G9" s="1346" t="s">
        <v>3940</v>
      </c>
      <c r="H9" s="425">
        <f>SUMIF(64:64,G9,65:65)-SUMIF(64:64,C9,65:65)+100</f>
        <v>95</v>
      </c>
      <c r="I9" s="1346" t="s">
        <v>3940</v>
      </c>
      <c r="J9" s="425">
        <f>SUMIF(64:64,I9,65:65)-SUMIF(64:64,C9,65:65)+100</f>
        <v>95</v>
      </c>
      <c r="K9" s="1018"/>
      <c r="L9" s="2293"/>
      <c r="M9" s="2255"/>
      <c r="N9" s="2255"/>
      <c r="O9" s="2255"/>
      <c r="P9" s="3801" t="s">
        <v>65</v>
      </c>
      <c r="Q9" s="2208" t="str">
        <f t="shared" ref="Q9:Q15" si="6">B9</f>
        <v>用途</v>
      </c>
      <c r="R9" s="1341" t="s">
        <v>63</v>
      </c>
      <c r="S9" s="1342">
        <f t="shared" si="0"/>
        <v>95</v>
      </c>
      <c r="T9" s="1341" t="s">
        <v>63</v>
      </c>
      <c r="U9" s="1342">
        <f t="shared" si="1"/>
        <v>95</v>
      </c>
      <c r="V9" s="1341" t="s">
        <v>63</v>
      </c>
      <c r="W9" s="1342">
        <f t="shared" si="2"/>
        <v>95</v>
      </c>
      <c r="X9" s="287"/>
      <c r="Y9" s="3625" t="s">
        <v>65</v>
      </c>
      <c r="Z9" s="2207" t="str">
        <f t="shared" ref="Z9:Z15" si="7">Q9</f>
        <v>用途</v>
      </c>
      <c r="AA9" s="1343">
        <f t="shared" si="3"/>
        <v>1.0526315789473684</v>
      </c>
      <c r="AB9" s="1343">
        <f t="shared" si="4"/>
        <v>1.0526315789473684</v>
      </c>
      <c r="AC9" s="2332">
        <f t="shared" si="5"/>
        <v>1.0526315789473684</v>
      </c>
    </row>
    <row r="10" spans="1:29" s="92" customFormat="1" ht="27">
      <c r="A10" s="150"/>
      <c r="B10" s="12" t="s">
        <v>104</v>
      </c>
      <c r="C10" s="1348" t="s">
        <v>3894</v>
      </c>
      <c r="D10" s="426">
        <v>100</v>
      </c>
      <c r="E10" s="1348" t="s">
        <v>3942</v>
      </c>
      <c r="F10" s="426">
        <f>SUMIF(66:66,E10,67:67)-SUMIF(66:66,C10,67:67)+100</f>
        <v>105</v>
      </c>
      <c r="G10" s="1349" t="s">
        <v>3942</v>
      </c>
      <c r="H10" s="426">
        <f>SUMIF(66:66,G10,67:67)-SUMIF(66:66,C10,67:67)+100</f>
        <v>105</v>
      </c>
      <c r="I10" s="1348" t="s">
        <v>3942</v>
      </c>
      <c r="J10" s="426">
        <f>SUMIF(66:66,I10,67:67)-SUMIF(66:66,C10,67:67)+100</f>
        <v>105</v>
      </c>
      <c r="K10" s="954">
        <v>5</v>
      </c>
      <c r="L10" s="2294"/>
      <c r="M10" s="2295"/>
      <c r="N10" s="2295"/>
      <c r="O10" s="2295"/>
      <c r="P10" s="3801"/>
      <c r="Q10" s="2208" t="str">
        <f t="shared" si="6"/>
        <v>土地使用年限（年）</v>
      </c>
      <c r="R10" s="1341" t="s">
        <v>63</v>
      </c>
      <c r="S10" s="1342">
        <f t="shared" si="0"/>
        <v>105</v>
      </c>
      <c r="T10" s="1341" t="s">
        <v>63</v>
      </c>
      <c r="U10" s="1342">
        <f t="shared" si="1"/>
        <v>105</v>
      </c>
      <c r="V10" s="1341" t="s">
        <v>63</v>
      </c>
      <c r="W10" s="1342">
        <f t="shared" si="2"/>
        <v>105</v>
      </c>
      <c r="X10" s="287"/>
      <c r="Y10" s="3625"/>
      <c r="Z10" s="2207" t="str">
        <f t="shared" si="7"/>
        <v>土地使用年限（年）</v>
      </c>
      <c r="AA10" s="1343">
        <f t="shared" si="3"/>
        <v>0.95238095238095233</v>
      </c>
      <c r="AB10" s="1343">
        <f t="shared" si="4"/>
        <v>0.95238095238095233</v>
      </c>
      <c r="AC10" s="2332">
        <f t="shared" si="5"/>
        <v>0.95238095238095233</v>
      </c>
    </row>
    <row r="11" spans="1:29" ht="15.75" thickBot="1">
      <c r="A11" s="151"/>
      <c r="B11" s="12" t="s">
        <v>91</v>
      </c>
      <c r="C11" s="771">
        <f>'比较法-商业'!C11</f>
        <v>2.35</v>
      </c>
      <c r="D11" s="426">
        <v>100</v>
      </c>
      <c r="E11" s="771">
        <v>3.99</v>
      </c>
      <c r="F11" s="426">
        <f>LOOKUP(E11,69:69,70:70)-LOOKUP(C11,69:69,70:70)+100</f>
        <v>100</v>
      </c>
      <c r="G11" s="772">
        <v>2.5</v>
      </c>
      <c r="H11" s="426">
        <f>LOOKUP(G11,69:69,70:70)-LOOKUP(C11,69:69,70:70)+100</f>
        <v>100</v>
      </c>
      <c r="I11" s="771">
        <v>3.6</v>
      </c>
      <c r="J11" s="426">
        <f>LOOKUP(I11,69:69,70:70)-LOOKUP(C11,69:69,70:70)+100</f>
        <v>100</v>
      </c>
      <c r="K11" s="954">
        <v>1</v>
      </c>
      <c r="L11" s="2296"/>
      <c r="M11" s="2292"/>
      <c r="N11" s="2292"/>
      <c r="O11" s="2292"/>
      <c r="P11" s="3801"/>
      <c r="Q11" s="2208" t="str">
        <f t="shared" si="6"/>
        <v>容积率</v>
      </c>
      <c r="R11" s="1341" t="s">
        <v>63</v>
      </c>
      <c r="S11" s="1342">
        <f t="shared" si="0"/>
        <v>100</v>
      </c>
      <c r="T11" s="1341" t="s">
        <v>63</v>
      </c>
      <c r="U11" s="1342">
        <f t="shared" si="1"/>
        <v>100</v>
      </c>
      <c r="V11" s="1341" t="s">
        <v>63</v>
      </c>
      <c r="W11" s="1342">
        <f t="shared" si="2"/>
        <v>100</v>
      </c>
      <c r="X11" s="287"/>
      <c r="Y11" s="3625"/>
      <c r="Z11" s="2207" t="str">
        <f t="shared" si="7"/>
        <v>容积率</v>
      </c>
      <c r="AA11" s="1343">
        <f t="shared" si="3"/>
        <v>1</v>
      </c>
      <c r="AB11" s="1343">
        <f t="shared" si="4"/>
        <v>1</v>
      </c>
      <c r="AC11" s="2332">
        <f t="shared" si="5"/>
        <v>1</v>
      </c>
    </row>
    <row r="12" spans="1:29" s="40" customFormat="1" ht="14.25" hidden="1">
      <c r="A12" s="1029"/>
      <c r="B12" s="1030">
        <v>111</v>
      </c>
      <c r="C12" s="1023"/>
      <c r="D12" s="775">
        <v>100</v>
      </c>
      <c r="E12" s="1023"/>
      <c r="F12" s="426">
        <f>SUMIF(71:71,E12,72:72)-SUMIF(71:71,C12,72:72)+100</f>
        <v>100</v>
      </c>
      <c r="G12" s="1402"/>
      <c r="H12" s="426">
        <f>SUMIF(71:71,G12,72:72)-SUMIF(71:71,C12,72:72)+100</f>
        <v>100</v>
      </c>
      <c r="I12" s="1023"/>
      <c r="J12" s="426">
        <f>SUMIF(71:71,I12,72:72)-SUMIF(71:71,C12,72:72)+100</f>
        <v>100</v>
      </c>
      <c r="K12" s="188"/>
      <c r="L12" s="2293"/>
      <c r="M12" s="2255"/>
      <c r="N12" s="2255"/>
      <c r="O12" s="2255"/>
      <c r="P12" s="3801"/>
      <c r="Q12" s="2208">
        <f t="shared" si="6"/>
        <v>111</v>
      </c>
      <c r="R12" s="1341" t="s">
        <v>63</v>
      </c>
      <c r="S12" s="1342">
        <f t="shared" si="0"/>
        <v>100</v>
      </c>
      <c r="T12" s="1341" t="s">
        <v>63</v>
      </c>
      <c r="U12" s="1342">
        <f t="shared" si="1"/>
        <v>100</v>
      </c>
      <c r="V12" s="1341" t="s">
        <v>63</v>
      </c>
      <c r="W12" s="1342">
        <f t="shared" si="2"/>
        <v>100</v>
      </c>
      <c r="X12" s="287"/>
      <c r="Y12" s="3625"/>
      <c r="Z12" s="2207">
        <f t="shared" si="7"/>
        <v>111</v>
      </c>
      <c r="AA12" s="1343">
        <f>D12/F12</f>
        <v>1</v>
      </c>
      <c r="AB12" s="1343">
        <f>D12/H12</f>
        <v>1</v>
      </c>
      <c r="AC12" s="2332">
        <f>D12/J12</f>
        <v>1</v>
      </c>
    </row>
    <row r="13" spans="1:29" ht="14.25" hidden="1">
      <c r="A13" s="151"/>
      <c r="B13" s="1030">
        <v>111</v>
      </c>
      <c r="C13" s="93"/>
      <c r="D13" s="777">
        <v>100</v>
      </c>
      <c r="E13" s="1023"/>
      <c r="F13" s="426">
        <f>SUMIF(73:73,E13,74:74)-SUMIF(73:73,C13,74:74)+100</f>
        <v>100</v>
      </c>
      <c r="G13" s="1402"/>
      <c r="H13" s="777">
        <f>SUMIF(73:73,G13,74:74)-SUMIF(73:73,C13,74:74)+100</f>
        <v>100</v>
      </c>
      <c r="I13" s="1023"/>
      <c r="J13" s="777">
        <f>SUMIF(73:73,I13,74:74)-SUMIF(73:73,C13,74:74)+100</f>
        <v>100</v>
      </c>
      <c r="K13" s="188"/>
      <c r="L13" s="2297"/>
      <c r="M13" s="2292"/>
      <c r="N13" s="2292"/>
      <c r="O13" s="2292"/>
      <c r="P13" s="3801"/>
      <c r="Q13" s="2208">
        <f t="shared" si="6"/>
        <v>111</v>
      </c>
      <c r="R13" s="1341" t="s">
        <v>63</v>
      </c>
      <c r="S13" s="1342">
        <f t="shared" si="0"/>
        <v>100</v>
      </c>
      <c r="T13" s="1341" t="s">
        <v>63</v>
      </c>
      <c r="U13" s="1342">
        <f t="shared" si="1"/>
        <v>100</v>
      </c>
      <c r="V13" s="1341" t="s">
        <v>63</v>
      </c>
      <c r="W13" s="1342">
        <f t="shared" si="2"/>
        <v>100</v>
      </c>
      <c r="X13" s="287"/>
      <c r="Y13" s="3625"/>
      <c r="Z13" s="2207">
        <f t="shared" si="7"/>
        <v>111</v>
      </c>
      <c r="AA13" s="1343">
        <f t="shared" si="3"/>
        <v>1</v>
      </c>
      <c r="AB13" s="1343">
        <f t="shared" si="4"/>
        <v>1</v>
      </c>
      <c r="AC13" s="2332">
        <f t="shared" si="5"/>
        <v>1</v>
      </c>
    </row>
    <row r="14" spans="1:29" ht="15" hidden="1"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7"/>
      <c r="M14" s="2292"/>
      <c r="N14" s="2292"/>
      <c r="O14" s="2292"/>
      <c r="P14" s="3801"/>
      <c r="Q14" s="2208">
        <f t="shared" si="6"/>
        <v>111</v>
      </c>
      <c r="R14" s="1341" t="s">
        <v>63</v>
      </c>
      <c r="S14" s="1342">
        <f t="shared" si="0"/>
        <v>100</v>
      </c>
      <c r="T14" s="1341" t="s">
        <v>63</v>
      </c>
      <c r="U14" s="1342">
        <f t="shared" si="1"/>
        <v>100</v>
      </c>
      <c r="V14" s="1341" t="s">
        <v>63</v>
      </c>
      <c r="W14" s="1342">
        <f t="shared" si="2"/>
        <v>100</v>
      </c>
      <c r="X14" s="287"/>
      <c r="Y14" s="3625"/>
      <c r="Z14" s="2207">
        <f t="shared" si="7"/>
        <v>111</v>
      </c>
      <c r="AA14" s="1343">
        <f t="shared" si="3"/>
        <v>1</v>
      </c>
      <c r="AB14" s="1343">
        <f t="shared" si="4"/>
        <v>1</v>
      </c>
      <c r="AC14" s="2332">
        <f t="shared" si="5"/>
        <v>1</v>
      </c>
    </row>
    <row r="15" spans="1:29" ht="67.5">
      <c r="A15" s="155" t="s">
        <v>67</v>
      </c>
      <c r="B15" s="1032" t="s">
        <v>140</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7"/>
      <c r="M15" s="2292"/>
      <c r="N15" s="2292"/>
      <c r="O15" s="2292"/>
      <c r="P15" s="3828" t="s">
        <v>67</v>
      </c>
      <c r="Q15" s="2215" t="str">
        <f t="shared" si="6"/>
        <v>办公集聚程度</v>
      </c>
      <c r="R15" s="1351" t="s">
        <v>63</v>
      </c>
      <c r="S15" s="1352">
        <f t="shared" si="0"/>
        <v>100</v>
      </c>
      <c r="T15" s="1351" t="s">
        <v>63</v>
      </c>
      <c r="U15" s="1352">
        <f t="shared" si="1"/>
        <v>100</v>
      </c>
      <c r="V15" s="1351" t="s">
        <v>63</v>
      </c>
      <c r="W15" s="1352">
        <f t="shared" si="2"/>
        <v>100</v>
      </c>
      <c r="X15" s="2217"/>
      <c r="Y15" s="3821" t="s">
        <v>67</v>
      </c>
      <c r="Z15" s="2216" t="str">
        <f t="shared" si="7"/>
        <v>办公集聚程度</v>
      </c>
      <c r="AA15" s="1354">
        <f t="shared" si="3"/>
        <v>1</v>
      </c>
      <c r="AB15" s="1354">
        <f t="shared" si="4"/>
        <v>1</v>
      </c>
      <c r="AC15" s="2333">
        <f t="shared" si="5"/>
        <v>1</v>
      </c>
    </row>
    <row r="16" spans="1:29" ht="14.25">
      <c r="A16" s="151"/>
      <c r="B16" s="209"/>
      <c r="C16" s="192" t="s">
        <v>3861</v>
      </c>
      <c r="D16" s="790"/>
      <c r="E16" s="97" t="s">
        <v>3861</v>
      </c>
      <c r="F16" s="790"/>
      <c r="G16" s="192" t="s">
        <v>3861</v>
      </c>
      <c r="H16" s="792"/>
      <c r="I16" s="97" t="s">
        <v>3861</v>
      </c>
      <c r="J16" s="790"/>
      <c r="K16" s="189"/>
      <c r="L16" s="2297"/>
      <c r="M16" s="2292"/>
      <c r="N16" s="2292"/>
      <c r="O16" s="2292"/>
      <c r="P16" s="3829"/>
      <c r="Q16" s="2215"/>
      <c r="R16" s="1351"/>
      <c r="S16" s="1352"/>
      <c r="T16" s="1351"/>
      <c r="U16" s="1352"/>
      <c r="V16" s="1351"/>
      <c r="W16" s="1352"/>
      <c r="X16" s="2217"/>
      <c r="Y16" s="3822"/>
      <c r="Z16" s="2216"/>
      <c r="AA16" s="1354">
        <v>1</v>
      </c>
      <c r="AB16" s="1354">
        <v>1</v>
      </c>
      <c r="AC16" s="2333">
        <v>1</v>
      </c>
    </row>
    <row r="17" spans="1:29" ht="81">
      <c r="A17" s="151"/>
      <c r="B17" s="1033" t="s">
        <v>70</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96</v>
      </c>
      <c r="I17" s="100"/>
      <c r="J17" s="797">
        <f>SUMIF(79:79,I18,80:80)-SUMIF(79:79,C18,80:80)+100</f>
        <v>100</v>
      </c>
      <c r="K17" s="956">
        <v>2</v>
      </c>
      <c r="L17" s="2297"/>
      <c r="M17" s="2292"/>
      <c r="N17" s="2292"/>
      <c r="O17" s="2292"/>
      <c r="P17" s="3829"/>
      <c r="Q17" s="2215" t="str">
        <f>B17</f>
        <v>交通便捷度</v>
      </c>
      <c r="R17" s="1351" t="s">
        <v>63</v>
      </c>
      <c r="S17" s="1352">
        <f>F17</f>
        <v>100</v>
      </c>
      <c r="T17" s="1351" t="s">
        <v>63</v>
      </c>
      <c r="U17" s="1352">
        <f>H17</f>
        <v>96</v>
      </c>
      <c r="V17" s="1351" t="s">
        <v>63</v>
      </c>
      <c r="W17" s="1352">
        <f>J17</f>
        <v>100</v>
      </c>
      <c r="X17" s="2217"/>
      <c r="Y17" s="3822"/>
      <c r="Z17" s="2216" t="str">
        <f>Q17</f>
        <v>交通便捷度</v>
      </c>
      <c r="AA17" s="1354">
        <f t="shared" si="3"/>
        <v>1</v>
      </c>
      <c r="AB17" s="1354">
        <f t="shared" si="4"/>
        <v>1.0416666666666667</v>
      </c>
      <c r="AC17" s="2333">
        <f t="shared" si="5"/>
        <v>1</v>
      </c>
    </row>
    <row r="18" spans="1:29" ht="14.25">
      <c r="A18" s="151"/>
      <c r="B18" s="1034"/>
      <c r="C18" s="193" t="s">
        <v>3852</v>
      </c>
      <c r="D18" s="792"/>
      <c r="E18" s="104" t="s">
        <v>3852</v>
      </c>
      <c r="F18" s="792"/>
      <c r="G18" s="103" t="s">
        <v>3979</v>
      </c>
      <c r="H18" s="790"/>
      <c r="I18" s="103" t="s">
        <v>3852</v>
      </c>
      <c r="J18" s="790"/>
      <c r="K18" s="189"/>
      <c r="L18" s="2297"/>
      <c r="M18" s="2292"/>
      <c r="N18" s="2292"/>
      <c r="O18" s="2292"/>
      <c r="P18" s="3829"/>
      <c r="Q18" s="2215"/>
      <c r="R18" s="1351"/>
      <c r="S18" s="1352"/>
      <c r="T18" s="1351"/>
      <c r="U18" s="1352"/>
      <c r="V18" s="1351"/>
      <c r="W18" s="1352"/>
      <c r="X18" s="2217"/>
      <c r="Y18" s="3822"/>
      <c r="Z18" s="2216"/>
      <c r="AA18" s="1354">
        <v>1</v>
      </c>
      <c r="AB18" s="1354">
        <v>1</v>
      </c>
      <c r="AC18" s="2333">
        <v>1</v>
      </c>
    </row>
    <row r="19" spans="1:29" ht="40.5">
      <c r="A19" s="151"/>
      <c r="B19" s="1033" t="s">
        <v>2657</v>
      </c>
      <c r="C19" s="210" t="str">
        <f>估价对象房地状况!C7</f>
        <v>估价对象所在区域公共配套设施齐备情况</v>
      </c>
      <c r="D19" s="797">
        <v>100</v>
      </c>
      <c r="E19" s="106"/>
      <c r="F19" s="797">
        <f>SUMIF(81:81,E20,82:82)-SUMIF(81:81,C20,82:82)+100</f>
        <v>100</v>
      </c>
      <c r="G19" s="105"/>
      <c r="H19" s="792">
        <f>SUMIF(81:81,G20,82:82)-SUMIF(81:81,C20,82:82)+100</f>
        <v>98</v>
      </c>
      <c r="I19" s="105"/>
      <c r="J19" s="792">
        <f>SUMIF(81:81,I20,82:82)-SUMIF(81:81,C20,82:82)+100</f>
        <v>100</v>
      </c>
      <c r="K19" s="956">
        <v>2</v>
      </c>
      <c r="L19" s="2297"/>
      <c r="M19" s="2292"/>
      <c r="N19" s="2292"/>
      <c r="O19" s="2292"/>
      <c r="P19" s="3829"/>
      <c r="Q19" s="2215" t="str">
        <f>B19</f>
        <v>公共配套设施</v>
      </c>
      <c r="R19" s="1351" t="s">
        <v>63</v>
      </c>
      <c r="S19" s="1352">
        <f>F19</f>
        <v>100</v>
      </c>
      <c r="T19" s="1351" t="s">
        <v>63</v>
      </c>
      <c r="U19" s="1352">
        <f>H19</f>
        <v>98</v>
      </c>
      <c r="V19" s="1351" t="s">
        <v>63</v>
      </c>
      <c r="W19" s="1352">
        <f>J19</f>
        <v>100</v>
      </c>
      <c r="X19" s="2217"/>
      <c r="Y19" s="3822"/>
      <c r="Z19" s="2216" t="str">
        <f>Q19</f>
        <v>公共配套设施</v>
      </c>
      <c r="AA19" s="1354">
        <f t="shared" si="3"/>
        <v>1</v>
      </c>
      <c r="AB19" s="1354">
        <f t="shared" si="4"/>
        <v>1.0204081632653061</v>
      </c>
      <c r="AC19" s="2333">
        <f t="shared" si="5"/>
        <v>1</v>
      </c>
    </row>
    <row r="20" spans="1:29" ht="14.25">
      <c r="A20" s="151"/>
      <c r="B20" s="1034"/>
      <c r="C20" s="192" t="s">
        <v>3852</v>
      </c>
      <c r="D20" s="790"/>
      <c r="E20" s="99" t="s">
        <v>3852</v>
      </c>
      <c r="F20" s="790"/>
      <c r="G20" s="98" t="s">
        <v>3861</v>
      </c>
      <c r="H20" s="790"/>
      <c r="I20" s="98" t="s">
        <v>3852</v>
      </c>
      <c r="J20" s="790"/>
      <c r="K20" s="189"/>
      <c r="L20" s="2297"/>
      <c r="M20" s="2292"/>
      <c r="N20" s="2292"/>
      <c r="O20" s="2292"/>
      <c r="P20" s="3829"/>
      <c r="Q20" s="2215"/>
      <c r="R20" s="1351"/>
      <c r="S20" s="1352"/>
      <c r="T20" s="1351"/>
      <c r="U20" s="1352"/>
      <c r="V20" s="1351"/>
      <c r="W20" s="1352"/>
      <c r="X20" s="2217"/>
      <c r="Y20" s="3822"/>
      <c r="Z20" s="2216"/>
      <c r="AA20" s="1354">
        <v>1</v>
      </c>
      <c r="AB20" s="1354">
        <v>1</v>
      </c>
      <c r="AC20" s="2333">
        <v>1</v>
      </c>
    </row>
    <row r="21" spans="1:29" ht="27">
      <c r="A21" s="151"/>
      <c r="B21" s="1035" t="s">
        <v>2658</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7"/>
      <c r="M21" s="2292"/>
      <c r="N21" s="2292"/>
      <c r="O21" s="2292"/>
      <c r="P21" s="3829"/>
      <c r="Q21" s="2742" t="str">
        <f>B21</f>
        <v>基础设施水平</v>
      </c>
      <c r="R21" s="1351" t="s">
        <v>63</v>
      </c>
      <c r="S21" s="1352">
        <f>F21</f>
        <v>100</v>
      </c>
      <c r="T21" s="1351" t="s">
        <v>63</v>
      </c>
      <c r="U21" s="1352">
        <f>H21</f>
        <v>100</v>
      </c>
      <c r="V21" s="1351" t="s">
        <v>63</v>
      </c>
      <c r="W21" s="1352">
        <f>J21</f>
        <v>100</v>
      </c>
      <c r="X21" s="2744"/>
      <c r="Y21" s="3822"/>
      <c r="Z21" s="2743" t="str">
        <f>Q21</f>
        <v>基础设施水平</v>
      </c>
      <c r="AA21" s="1354">
        <f t="shared" ref="AA21" si="8">D21/F21</f>
        <v>1</v>
      </c>
      <c r="AB21" s="1354">
        <f t="shared" ref="AB21" si="9">D21/H21</f>
        <v>1</v>
      </c>
      <c r="AC21" s="2333">
        <f t="shared" ref="AC21" si="10">D21/J21</f>
        <v>1</v>
      </c>
    </row>
    <row r="22" spans="1:29" ht="14.25">
      <c r="A22" s="151"/>
      <c r="B22" s="1035"/>
      <c r="C22" s="193" t="s">
        <v>3853</v>
      </c>
      <c r="D22" s="790"/>
      <c r="E22" s="97" t="s">
        <v>3853</v>
      </c>
      <c r="F22" s="790"/>
      <c r="G22" s="192" t="s">
        <v>3853</v>
      </c>
      <c r="H22" s="790"/>
      <c r="I22" s="192" t="s">
        <v>3853</v>
      </c>
      <c r="J22" s="790"/>
      <c r="K22" s="2762"/>
      <c r="L22" s="2297"/>
      <c r="M22" s="2292"/>
      <c r="N22" s="2292"/>
      <c r="O22" s="2292"/>
      <c r="P22" s="3829"/>
      <c r="Q22" s="2742"/>
      <c r="R22" s="1351"/>
      <c r="S22" s="1352"/>
      <c r="T22" s="1351"/>
      <c r="U22" s="1352"/>
      <c r="V22" s="1351"/>
      <c r="W22" s="1352"/>
      <c r="X22" s="2744"/>
      <c r="Y22" s="3822"/>
      <c r="Z22" s="2743"/>
      <c r="AA22" s="1354">
        <v>1</v>
      </c>
      <c r="AB22" s="1354">
        <v>1</v>
      </c>
      <c r="AC22" s="2333">
        <v>1</v>
      </c>
    </row>
    <row r="23" spans="1:29" ht="54">
      <c r="A23" s="151"/>
      <c r="B23" s="1033" t="s">
        <v>141</v>
      </c>
      <c r="C23" s="210" t="str">
        <f>估价对象房地状况!C9</f>
        <v>区域自然环境：；人文环境；综合评价环境状况一般</v>
      </c>
      <c r="D23" s="792">
        <v>100</v>
      </c>
      <c r="E23" s="101"/>
      <c r="F23" s="792">
        <f>SUMIF(85:85,E24,86:86)-SUMIF(85:85,C24,86:86)+100</f>
        <v>100</v>
      </c>
      <c r="G23" s="100"/>
      <c r="H23" s="792">
        <f>SUMIF(85:85,G24,86:86)-SUMIF(85:85,C24,86:86)+100</f>
        <v>98</v>
      </c>
      <c r="I23" s="100"/>
      <c r="J23" s="792">
        <f>SUMIF(85:85,I24,86:86)-SUMIF(85:85,C24,86:86)+100</f>
        <v>100</v>
      </c>
      <c r="K23" s="956">
        <v>2</v>
      </c>
      <c r="L23" s="2297"/>
      <c r="M23" s="2292"/>
      <c r="N23" s="2292"/>
      <c r="O23" s="2292"/>
      <c r="P23" s="3829"/>
      <c r="Q23" s="2215" t="str">
        <f>B23</f>
        <v>环境质量</v>
      </c>
      <c r="R23" s="1351" t="s">
        <v>63</v>
      </c>
      <c r="S23" s="1352">
        <f>F23</f>
        <v>100</v>
      </c>
      <c r="T23" s="1351" t="s">
        <v>63</v>
      </c>
      <c r="U23" s="1352">
        <f>H23</f>
        <v>98</v>
      </c>
      <c r="V23" s="1351" t="s">
        <v>63</v>
      </c>
      <c r="W23" s="1352">
        <f>J23</f>
        <v>100</v>
      </c>
      <c r="X23" s="2217"/>
      <c r="Y23" s="3822"/>
      <c r="Z23" s="2216" t="str">
        <f>Q23</f>
        <v>环境质量</v>
      </c>
      <c r="AA23" s="1354">
        <f t="shared" si="3"/>
        <v>1</v>
      </c>
      <c r="AB23" s="1354">
        <f t="shared" si="4"/>
        <v>1.0204081632653061</v>
      </c>
      <c r="AC23" s="2333">
        <f t="shared" si="5"/>
        <v>1</v>
      </c>
    </row>
    <row r="24" spans="1:29" ht="14.25">
      <c r="A24" s="151"/>
      <c r="B24" s="1035"/>
      <c r="C24" s="192" t="s">
        <v>3852</v>
      </c>
      <c r="D24" s="790"/>
      <c r="E24" s="99" t="s">
        <v>3852</v>
      </c>
      <c r="F24" s="790"/>
      <c r="G24" s="98" t="s">
        <v>3861</v>
      </c>
      <c r="H24" s="790"/>
      <c r="I24" s="98" t="s">
        <v>3852</v>
      </c>
      <c r="J24" s="790"/>
      <c r="K24" s="189"/>
      <c r="L24" s="2297"/>
      <c r="M24" s="2292"/>
      <c r="N24" s="2292"/>
      <c r="O24" s="2292"/>
      <c r="P24" s="3829"/>
      <c r="Q24" s="2215"/>
      <c r="R24" s="1351"/>
      <c r="S24" s="1352"/>
      <c r="T24" s="1351"/>
      <c r="U24" s="1352"/>
      <c r="V24" s="1351"/>
      <c r="W24" s="1352"/>
      <c r="X24" s="2217"/>
      <c r="Y24" s="3822"/>
      <c r="Z24" s="2216"/>
      <c r="AA24" s="1354">
        <v>1</v>
      </c>
      <c r="AB24" s="1354">
        <v>1</v>
      </c>
      <c r="AC24" s="2333">
        <v>1</v>
      </c>
    </row>
    <row r="25" spans="1:29" ht="27">
      <c r="A25" s="146"/>
      <c r="B25" s="1033" t="s">
        <v>142</v>
      </c>
      <c r="C25" s="194" t="s">
        <v>3946</v>
      </c>
      <c r="D25" s="777">
        <v>100</v>
      </c>
      <c r="E25" s="93" t="s">
        <v>3948</v>
      </c>
      <c r="F25" s="777">
        <f>SUMIF(87:87,E26,88:88)-SUMIF(87:87,C26,88:88)+100</f>
        <v>98</v>
      </c>
      <c r="G25" s="194" t="s">
        <v>3952</v>
      </c>
      <c r="H25" s="777">
        <f>SUMIF(87:87,G26,88:88)-SUMIF(87:87,C26,88:88)+100</f>
        <v>94</v>
      </c>
      <c r="I25" s="93" t="s">
        <v>3948</v>
      </c>
      <c r="J25" s="777">
        <f>SUMIF(87:87,I26,88:88)-SUMIF(87:87,C26,88:88)+100</f>
        <v>98</v>
      </c>
      <c r="K25" s="956">
        <v>2</v>
      </c>
      <c r="L25" s="2297"/>
      <c r="M25" s="2292"/>
      <c r="N25" s="2292"/>
      <c r="O25" s="2292"/>
      <c r="P25" s="3829"/>
      <c r="Q25" s="2215" t="str">
        <f>B25</f>
        <v>毗邻道路的类型与等级</v>
      </c>
      <c r="R25" s="1351" t="s">
        <v>63</v>
      </c>
      <c r="S25" s="1352">
        <f>F25</f>
        <v>98</v>
      </c>
      <c r="T25" s="1351" t="s">
        <v>63</v>
      </c>
      <c r="U25" s="1352">
        <f>H25</f>
        <v>94</v>
      </c>
      <c r="V25" s="1351" t="s">
        <v>63</v>
      </c>
      <c r="W25" s="1352">
        <f>J25</f>
        <v>98</v>
      </c>
      <c r="X25" s="2217"/>
      <c r="Y25" s="3822"/>
      <c r="Z25" s="2216" t="str">
        <f>Q25</f>
        <v>毗邻道路的类型与等级</v>
      </c>
      <c r="AA25" s="1354">
        <f t="shared" si="3"/>
        <v>1.0204081632653061</v>
      </c>
      <c r="AB25" s="1354">
        <f t="shared" si="4"/>
        <v>1.0638297872340425</v>
      </c>
      <c r="AC25" s="2333">
        <f t="shared" si="5"/>
        <v>1.0204081632653061</v>
      </c>
    </row>
    <row r="26" spans="1:29" ht="15" thickBot="1">
      <c r="A26" s="146"/>
      <c r="B26" s="1034"/>
      <c r="C26" s="195" t="s">
        <v>3945</v>
      </c>
      <c r="D26" s="777"/>
      <c r="E26" s="182" t="s">
        <v>3947</v>
      </c>
      <c r="F26" s="777"/>
      <c r="G26" s="195" t="s">
        <v>3951</v>
      </c>
      <c r="H26" s="777"/>
      <c r="I26" s="182" t="s">
        <v>3947</v>
      </c>
      <c r="J26" s="777"/>
      <c r="K26" s="189"/>
      <c r="L26" s="2297"/>
      <c r="M26" s="2292"/>
      <c r="N26" s="2292"/>
      <c r="O26" s="2292"/>
      <c r="P26" s="3829"/>
      <c r="Q26" s="2215"/>
      <c r="R26" s="1351"/>
      <c r="S26" s="1352"/>
      <c r="T26" s="1351"/>
      <c r="U26" s="1352"/>
      <c r="V26" s="1351"/>
      <c r="W26" s="1352"/>
      <c r="X26" s="2217"/>
      <c r="Y26" s="3822"/>
      <c r="Z26" s="2216"/>
      <c r="AA26" s="1354">
        <v>1</v>
      </c>
      <c r="AB26" s="1354">
        <v>1</v>
      </c>
      <c r="AC26" s="2333">
        <v>1</v>
      </c>
    </row>
    <row r="27" spans="1:29" ht="15" hidden="1">
      <c r="A27" s="151"/>
      <c r="B27" s="1034" t="s">
        <v>1087</v>
      </c>
      <c r="C27" s="195"/>
      <c r="D27" s="777">
        <v>100</v>
      </c>
      <c r="E27" s="182"/>
      <c r="F27" s="777">
        <f>SUMIF(89:89,E27,90:90)-SUMIF(89:89,C27,90:90)+100</f>
        <v>100</v>
      </c>
      <c r="G27" s="195"/>
      <c r="H27" s="777">
        <f>SUMIF(89:89,G27,90:90)-SUMIF(89:89,C27,90:90)+100</f>
        <v>100</v>
      </c>
      <c r="I27" s="182"/>
      <c r="J27" s="777">
        <f>SUMIF(89:89,I27,90:90)-SUMIF(89:89,C27,90:90)+100</f>
        <v>100</v>
      </c>
      <c r="K27" s="954"/>
      <c r="L27" s="2297"/>
      <c r="M27" s="2292"/>
      <c r="N27" s="2292"/>
      <c r="O27" s="2292"/>
      <c r="P27" s="3829"/>
      <c r="Q27" s="2215" t="str">
        <f t="shared" ref="Q27:Q47" si="11">B27</f>
        <v>楼层</v>
      </c>
      <c r="R27" s="1351" t="s">
        <v>63</v>
      </c>
      <c r="S27" s="1352">
        <f>F27</f>
        <v>100</v>
      </c>
      <c r="T27" s="1351" t="s">
        <v>63</v>
      </c>
      <c r="U27" s="1352">
        <f>H27</f>
        <v>100</v>
      </c>
      <c r="V27" s="1351" t="s">
        <v>63</v>
      </c>
      <c r="W27" s="1352">
        <f>J27</f>
        <v>100</v>
      </c>
      <c r="X27" s="2217"/>
      <c r="Y27" s="3822"/>
      <c r="Z27" s="2216" t="str">
        <f>Q27</f>
        <v>楼层</v>
      </c>
      <c r="AA27" s="1354">
        <f t="shared" si="3"/>
        <v>1</v>
      </c>
      <c r="AB27" s="1354">
        <f t="shared" si="4"/>
        <v>1</v>
      </c>
      <c r="AC27" s="2333">
        <f t="shared" si="5"/>
        <v>1</v>
      </c>
    </row>
    <row r="28" spans="1:29" s="40" customFormat="1" ht="15.75" hidden="1" thickBot="1">
      <c r="A28" s="1029"/>
      <c r="B28" s="1033" t="s">
        <v>143</v>
      </c>
      <c r="C28" s="1404"/>
      <c r="D28" s="804">
        <v>100</v>
      </c>
      <c r="E28" s="1386"/>
      <c r="F28" s="804">
        <f>SUMIF(91:91,E28,92:92)-SUMIF(91:91,C28,92:92)+100</f>
        <v>100</v>
      </c>
      <c r="G28" s="1404"/>
      <c r="H28" s="804">
        <f>SUMIF(91:91,G28,92:92)-SUMIF(91:91,C28,92:92)+100</f>
        <v>100</v>
      </c>
      <c r="I28" s="1386"/>
      <c r="J28" s="804">
        <f>SUMIF(91:91,I28,92:92)-SUMIF(91:91,C28,92:92)+100</f>
        <v>100</v>
      </c>
      <c r="K28" s="954"/>
      <c r="L28" s="2293"/>
      <c r="M28" s="2255"/>
      <c r="N28" s="2255"/>
      <c r="O28" s="2255"/>
      <c r="P28" s="3829"/>
      <c r="Q28" s="2208" t="str">
        <f t="shared" si="11"/>
        <v>朝向</v>
      </c>
      <c r="R28" s="1341" t="s">
        <v>63</v>
      </c>
      <c r="S28" s="1342">
        <f>F28</f>
        <v>100</v>
      </c>
      <c r="T28" s="1341" t="s">
        <v>63</v>
      </c>
      <c r="U28" s="1342">
        <f>H28</f>
        <v>100</v>
      </c>
      <c r="V28" s="1341" t="s">
        <v>63</v>
      </c>
      <c r="W28" s="1342">
        <f>J28</f>
        <v>100</v>
      </c>
      <c r="X28" s="287"/>
      <c r="Y28" s="3822"/>
      <c r="Z28" s="2207" t="str">
        <f>Q28</f>
        <v>朝向</v>
      </c>
      <c r="AA28" s="1354">
        <f>D28/F28</f>
        <v>1</v>
      </c>
      <c r="AB28" s="1354">
        <f>D28/H28</f>
        <v>1</v>
      </c>
      <c r="AC28" s="2333">
        <f>D28/J28</f>
        <v>1</v>
      </c>
    </row>
    <row r="29" spans="1:29" ht="14.25" hidden="1">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7"/>
      <c r="M29" s="2292"/>
      <c r="N29" s="2292"/>
      <c r="O29" s="2292"/>
      <c r="P29" s="3829"/>
      <c r="Q29" s="2215">
        <f t="shared" si="11"/>
        <v>111</v>
      </c>
      <c r="R29" s="1351" t="s">
        <v>63</v>
      </c>
      <c r="S29" s="1352">
        <f t="shared" ref="S29:S47" si="12">F29</f>
        <v>100</v>
      </c>
      <c r="T29" s="1351" t="s">
        <v>63</v>
      </c>
      <c r="U29" s="1352">
        <f t="shared" ref="U29:U47" si="13">H29</f>
        <v>100</v>
      </c>
      <c r="V29" s="1351" t="s">
        <v>63</v>
      </c>
      <c r="W29" s="1352">
        <f t="shared" ref="W29:W47" si="14">J29</f>
        <v>100</v>
      </c>
      <c r="X29" s="2217"/>
      <c r="Y29" s="3822"/>
      <c r="Z29" s="2216">
        <f t="shared" ref="Z29:Z47" si="15">Q29</f>
        <v>111</v>
      </c>
      <c r="AA29" s="1354">
        <f t="shared" si="3"/>
        <v>1</v>
      </c>
      <c r="AB29" s="1354">
        <f t="shared" si="4"/>
        <v>1</v>
      </c>
      <c r="AC29" s="2333">
        <f t="shared" si="5"/>
        <v>1</v>
      </c>
    </row>
    <row r="30" spans="1:29" ht="14.25" hidden="1">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7"/>
      <c r="M30" s="2292"/>
      <c r="N30" s="2292"/>
      <c r="O30" s="2292"/>
      <c r="P30" s="3829"/>
      <c r="Q30" s="2215">
        <f t="shared" si="11"/>
        <v>111</v>
      </c>
      <c r="R30" s="1351" t="s">
        <v>63</v>
      </c>
      <c r="S30" s="1352">
        <f t="shared" si="12"/>
        <v>100</v>
      </c>
      <c r="T30" s="1351" t="s">
        <v>63</v>
      </c>
      <c r="U30" s="1352">
        <f t="shared" si="13"/>
        <v>100</v>
      </c>
      <c r="V30" s="1351" t="s">
        <v>63</v>
      </c>
      <c r="W30" s="1352">
        <f t="shared" si="14"/>
        <v>100</v>
      </c>
      <c r="X30" s="2217"/>
      <c r="Y30" s="3822"/>
      <c r="Z30" s="2216">
        <f t="shared" si="15"/>
        <v>111</v>
      </c>
      <c r="AA30" s="1354">
        <f t="shared" si="3"/>
        <v>1</v>
      </c>
      <c r="AB30" s="1354">
        <f t="shared" si="4"/>
        <v>1</v>
      </c>
      <c r="AC30" s="2333">
        <f t="shared" si="5"/>
        <v>1</v>
      </c>
    </row>
    <row r="31" spans="1:29" ht="14.25" hidden="1">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7"/>
      <c r="M31" s="2292"/>
      <c r="N31" s="2292"/>
      <c r="O31" s="2292"/>
      <c r="P31" s="3829"/>
      <c r="Q31" s="2215">
        <f t="shared" si="11"/>
        <v>111</v>
      </c>
      <c r="R31" s="1351" t="s">
        <v>63</v>
      </c>
      <c r="S31" s="1352">
        <f t="shared" si="12"/>
        <v>100</v>
      </c>
      <c r="T31" s="1351" t="s">
        <v>63</v>
      </c>
      <c r="U31" s="1352">
        <f t="shared" si="13"/>
        <v>100</v>
      </c>
      <c r="V31" s="1351" t="s">
        <v>63</v>
      </c>
      <c r="W31" s="1352">
        <f t="shared" si="14"/>
        <v>100</v>
      </c>
      <c r="X31" s="2217"/>
      <c r="Y31" s="3822"/>
      <c r="Z31" s="2216">
        <f t="shared" si="15"/>
        <v>111</v>
      </c>
      <c r="AA31" s="1354">
        <f t="shared" si="3"/>
        <v>1</v>
      </c>
      <c r="AB31" s="1354">
        <f t="shared" si="4"/>
        <v>1</v>
      </c>
      <c r="AC31" s="2333">
        <f t="shared" si="5"/>
        <v>1</v>
      </c>
    </row>
    <row r="32" spans="1:29" ht="15" hidden="1"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7"/>
      <c r="M32" s="2292"/>
      <c r="N32" s="2292"/>
      <c r="O32" s="2292"/>
      <c r="P32" s="3829"/>
      <c r="Q32" s="2215">
        <f t="shared" si="11"/>
        <v>111</v>
      </c>
      <c r="R32" s="1351" t="s">
        <v>63</v>
      </c>
      <c r="S32" s="1352">
        <f t="shared" si="12"/>
        <v>100</v>
      </c>
      <c r="T32" s="1351" t="s">
        <v>63</v>
      </c>
      <c r="U32" s="1352">
        <f t="shared" si="13"/>
        <v>100</v>
      </c>
      <c r="V32" s="1351" t="s">
        <v>63</v>
      </c>
      <c r="W32" s="1352">
        <f t="shared" si="14"/>
        <v>100</v>
      </c>
      <c r="X32" s="2217"/>
      <c r="Y32" s="3822"/>
      <c r="Z32" s="2216">
        <f t="shared" si="15"/>
        <v>111</v>
      </c>
      <c r="AA32" s="1354">
        <f t="shared" si="3"/>
        <v>1</v>
      </c>
      <c r="AB32" s="1354">
        <f t="shared" si="4"/>
        <v>1</v>
      </c>
      <c r="AC32" s="2333">
        <f t="shared" si="5"/>
        <v>1</v>
      </c>
    </row>
    <row r="33" spans="1:29" ht="15">
      <c r="A33" s="155" t="s">
        <v>1088</v>
      </c>
      <c r="B33" s="62" t="s">
        <v>1089</v>
      </c>
      <c r="C33" s="197" t="s">
        <v>3974</v>
      </c>
      <c r="D33" s="809">
        <v>100</v>
      </c>
      <c r="E33" s="197" t="s">
        <v>3940</v>
      </c>
      <c r="F33" s="803">
        <f>SUMIF(101:101,E33,102:102)-SUMIF(101:101,C33,102:102)+100</f>
        <v>97</v>
      </c>
      <c r="G33" s="197" t="s">
        <v>3940</v>
      </c>
      <c r="H33" s="777">
        <f>SUMIF(101:101,G33,102:102)-SUMIF(101:101,C33,102:102)+100</f>
        <v>97</v>
      </c>
      <c r="I33" s="197" t="s">
        <v>3940</v>
      </c>
      <c r="J33" s="809">
        <f>SUMIF(101:101,I33,102:102)-SUMIF(101:101,C33,102:102)+100</f>
        <v>97</v>
      </c>
      <c r="K33" s="954">
        <v>3</v>
      </c>
      <c r="L33" s="2297"/>
      <c r="M33" s="2292"/>
      <c r="N33" s="2292"/>
      <c r="O33" s="2292"/>
      <c r="P33" s="3823" t="s">
        <v>1090</v>
      </c>
      <c r="Q33" s="2215" t="str">
        <f t="shared" si="11"/>
        <v>建筑类型</v>
      </c>
      <c r="R33" s="1351" t="s">
        <v>63</v>
      </c>
      <c r="S33" s="1352">
        <f t="shared" si="12"/>
        <v>97</v>
      </c>
      <c r="T33" s="1351" t="s">
        <v>63</v>
      </c>
      <c r="U33" s="1352">
        <f t="shared" si="13"/>
        <v>97</v>
      </c>
      <c r="V33" s="1351" t="s">
        <v>63</v>
      </c>
      <c r="W33" s="1352">
        <f t="shared" si="14"/>
        <v>97</v>
      </c>
      <c r="X33" s="2217"/>
      <c r="Y33" s="3826" t="s">
        <v>1090</v>
      </c>
      <c r="Z33" s="2216" t="str">
        <f t="shared" si="15"/>
        <v>建筑类型</v>
      </c>
      <c r="AA33" s="1354">
        <f t="shared" si="3"/>
        <v>1.0309278350515463</v>
      </c>
      <c r="AB33" s="1354">
        <f t="shared" si="4"/>
        <v>1.0309278350515463</v>
      </c>
      <c r="AC33" s="2333">
        <f t="shared" si="5"/>
        <v>1.0309278350515463</v>
      </c>
    </row>
    <row r="34" spans="1:29" s="1038" customFormat="1" ht="14.25">
      <c r="A34" s="1042"/>
      <c r="B34" s="12" t="s">
        <v>74</v>
      </c>
      <c r="C34" s="811">
        <f>'比较法-商业'!C33</f>
        <v>165498.45000000001</v>
      </c>
      <c r="D34" s="426">
        <v>100</v>
      </c>
      <c r="E34" s="772">
        <v>79846</v>
      </c>
      <c r="F34" s="767">
        <f>LOOKUP(E34,104:104,105:105)-LOOKUP(C34,104:104,105:105)+100</f>
        <v>99</v>
      </c>
      <c r="G34" s="771">
        <v>40436</v>
      </c>
      <c r="H34" s="426">
        <f>LOOKUP(G34,104:104,105:105)-LOOKUP(C34,104:104,105:105)+100</f>
        <v>99</v>
      </c>
      <c r="I34" s="771">
        <v>1000000</v>
      </c>
      <c r="J34" s="426">
        <f>LOOKUP(I34,104:104,105:105)-LOOKUP(C34,104:104,105:105)+100</f>
        <v>104</v>
      </c>
      <c r="K34" s="188"/>
      <c r="L34" s="2296"/>
      <c r="M34" s="2298"/>
      <c r="N34" s="2298"/>
      <c r="O34" s="2298"/>
      <c r="P34" s="3824"/>
      <c r="Q34" s="1358" t="str">
        <f t="shared" si="11"/>
        <v>项目建筑规模</v>
      </c>
      <c r="R34" s="1359" t="s">
        <v>63</v>
      </c>
      <c r="S34" s="1360">
        <f t="shared" si="12"/>
        <v>99</v>
      </c>
      <c r="T34" s="1359" t="s">
        <v>63</v>
      </c>
      <c r="U34" s="1360">
        <f t="shared" si="13"/>
        <v>99</v>
      </c>
      <c r="V34" s="1359" t="s">
        <v>63</v>
      </c>
      <c r="W34" s="1360">
        <f t="shared" si="14"/>
        <v>104</v>
      </c>
      <c r="X34" s="1361"/>
      <c r="Y34" s="3826"/>
      <c r="Z34" s="1362" t="str">
        <f t="shared" si="15"/>
        <v>项目建筑规模</v>
      </c>
      <c r="AA34" s="1354">
        <f t="shared" si="3"/>
        <v>1.0101010101010102</v>
      </c>
      <c r="AB34" s="1354">
        <f t="shared" si="4"/>
        <v>1.0101010101010102</v>
      </c>
      <c r="AC34" s="2333">
        <f t="shared" si="5"/>
        <v>0.96153846153846156</v>
      </c>
    </row>
    <row r="35" spans="1:29" ht="15">
      <c r="A35" s="161"/>
      <c r="B35" s="12" t="s">
        <v>75</v>
      </c>
      <c r="C35" s="107" t="s">
        <v>3874</v>
      </c>
      <c r="D35" s="777">
        <v>100</v>
      </c>
      <c r="E35" s="107" t="s">
        <v>3874</v>
      </c>
      <c r="F35" s="803">
        <f>SUMIF(106:106,E35,107:107)-SUMIF(106:106,C35,107:107)+100</f>
        <v>100</v>
      </c>
      <c r="G35" s="107" t="s">
        <v>3874</v>
      </c>
      <c r="H35" s="777">
        <f>SUMIF(106:106,G35,107:107)-SUMIF(106:106,C35,107:107)+100</f>
        <v>100</v>
      </c>
      <c r="I35" s="107" t="s">
        <v>3874</v>
      </c>
      <c r="J35" s="777">
        <f>SUMIF(106:106,I35,107:107)-SUMIF(106:106,C35,107:107)+100</f>
        <v>100</v>
      </c>
      <c r="K35" s="954"/>
      <c r="L35" s="2297"/>
      <c r="M35" s="2292"/>
      <c r="N35" s="2292"/>
      <c r="O35" s="2292"/>
      <c r="P35" s="3824"/>
      <c r="Q35" s="2215" t="str">
        <f t="shared" si="11"/>
        <v>建筑结构</v>
      </c>
      <c r="R35" s="1351" t="s">
        <v>63</v>
      </c>
      <c r="S35" s="1352">
        <f t="shared" si="12"/>
        <v>100</v>
      </c>
      <c r="T35" s="1351" t="s">
        <v>63</v>
      </c>
      <c r="U35" s="1352">
        <f t="shared" si="13"/>
        <v>100</v>
      </c>
      <c r="V35" s="1351" t="s">
        <v>63</v>
      </c>
      <c r="W35" s="1352">
        <f t="shared" si="14"/>
        <v>100</v>
      </c>
      <c r="X35" s="2217"/>
      <c r="Y35" s="3826"/>
      <c r="Z35" s="2216" t="str">
        <f t="shared" si="15"/>
        <v>建筑结构</v>
      </c>
      <c r="AA35" s="1354">
        <f t="shared" si="3"/>
        <v>1</v>
      </c>
      <c r="AB35" s="1354">
        <f t="shared" si="4"/>
        <v>1</v>
      </c>
      <c r="AC35" s="2333">
        <f t="shared" si="5"/>
        <v>1</v>
      </c>
    </row>
    <row r="36" spans="1:29" ht="15">
      <c r="A36" s="161"/>
      <c r="B36" s="12" t="s">
        <v>131</v>
      </c>
      <c r="C36" s="107" t="s">
        <v>3956</v>
      </c>
      <c r="D36" s="777">
        <v>100</v>
      </c>
      <c r="E36" s="107" t="s">
        <v>3956</v>
      </c>
      <c r="F36" s="803">
        <f>SUMIF(108:108,E36,109:109)-SUMIF(108:108,C36,109:109)+100</f>
        <v>100</v>
      </c>
      <c r="G36" s="107" t="s">
        <v>3956</v>
      </c>
      <c r="H36" s="777">
        <f>SUMIF(108:108,G36,109:109)-SUMIF(108:108,C36,109:109)+100</f>
        <v>100</v>
      </c>
      <c r="I36" s="107" t="s">
        <v>3956</v>
      </c>
      <c r="J36" s="777">
        <f>SUMIF(108:108,I36,109:109)-SUMIF(108:108,C36,109:109)+100</f>
        <v>100</v>
      </c>
      <c r="K36" s="954"/>
      <c r="L36" s="2297"/>
      <c r="M36" s="2292"/>
      <c r="N36" s="2292"/>
      <c r="O36" s="2292"/>
      <c r="P36" s="3824"/>
      <c r="Q36" s="2215" t="str">
        <f t="shared" si="11"/>
        <v>公共部分装修</v>
      </c>
      <c r="R36" s="1351" t="s">
        <v>63</v>
      </c>
      <c r="S36" s="1352">
        <f t="shared" si="12"/>
        <v>100</v>
      </c>
      <c r="T36" s="1351" t="s">
        <v>63</v>
      </c>
      <c r="U36" s="1352">
        <f t="shared" si="13"/>
        <v>100</v>
      </c>
      <c r="V36" s="1351" t="s">
        <v>63</v>
      </c>
      <c r="W36" s="1352">
        <f t="shared" si="14"/>
        <v>100</v>
      </c>
      <c r="X36" s="2217"/>
      <c r="Y36" s="3826"/>
      <c r="Z36" s="2216" t="str">
        <f t="shared" si="15"/>
        <v>公共部分装修</v>
      </c>
      <c r="AA36" s="1354">
        <f t="shared" si="3"/>
        <v>1</v>
      </c>
      <c r="AB36" s="1354">
        <f t="shared" si="4"/>
        <v>1</v>
      </c>
      <c r="AC36" s="2333">
        <f t="shared" si="5"/>
        <v>1</v>
      </c>
    </row>
    <row r="37" spans="1:29" ht="15">
      <c r="A37" s="161"/>
      <c r="B37" s="12" t="s">
        <v>132</v>
      </c>
      <c r="C37" s="816">
        <f>'比较法-商业'!C36</f>
        <v>0.97</v>
      </c>
      <c r="D37" s="777">
        <v>100</v>
      </c>
      <c r="E37" s="816">
        <v>1</v>
      </c>
      <c r="F37" s="803">
        <f>LOOKUP(E37,111:111,112:112)-LOOKUP(C37,111:111,112:112)+100</f>
        <v>100</v>
      </c>
      <c r="G37" s="816">
        <v>1</v>
      </c>
      <c r="H37" s="803">
        <f>LOOKUP(G37,111:111,112:112)-LOOKUP(C37,111:111,112:112)+100</f>
        <v>100</v>
      </c>
      <c r="I37" s="816">
        <v>1</v>
      </c>
      <c r="J37" s="777">
        <f>LOOKUP(I37,111:111,112:112)-LOOKUP(C37,111:111,112:112)+100</f>
        <v>100</v>
      </c>
      <c r="K37" s="954"/>
      <c r="L37" s="2297"/>
      <c r="M37" s="2292"/>
      <c r="N37" s="2292"/>
      <c r="O37" s="2292"/>
      <c r="P37" s="3824"/>
      <c r="Q37" s="2215" t="str">
        <f t="shared" si="11"/>
        <v>成新度</v>
      </c>
      <c r="R37" s="1351" t="s">
        <v>63</v>
      </c>
      <c r="S37" s="1352">
        <f t="shared" si="12"/>
        <v>100</v>
      </c>
      <c r="T37" s="1351" t="s">
        <v>63</v>
      </c>
      <c r="U37" s="1352">
        <f t="shared" si="13"/>
        <v>100</v>
      </c>
      <c r="V37" s="1351" t="s">
        <v>63</v>
      </c>
      <c r="W37" s="1352">
        <f t="shared" si="14"/>
        <v>100</v>
      </c>
      <c r="X37" s="2217"/>
      <c r="Y37" s="3826"/>
      <c r="Z37" s="2216" t="str">
        <f t="shared" si="15"/>
        <v>成新度</v>
      </c>
      <c r="AA37" s="1354">
        <f t="shared" si="3"/>
        <v>1</v>
      </c>
      <c r="AB37" s="1354">
        <f t="shared" si="4"/>
        <v>1</v>
      </c>
      <c r="AC37" s="2333">
        <f t="shared" si="5"/>
        <v>1</v>
      </c>
    </row>
    <row r="38" spans="1:29" s="40" customFormat="1" ht="15" hidden="1">
      <c r="A38" s="1040"/>
      <c r="B38" s="12" t="s">
        <v>145</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3"/>
      <c r="M38" s="2255"/>
      <c r="N38" s="2255"/>
      <c r="O38" s="2255"/>
      <c r="P38" s="3824"/>
      <c r="Q38" s="2208" t="str">
        <f t="shared" si="11"/>
        <v>写字楼等级</v>
      </c>
      <c r="R38" s="1341" t="s">
        <v>63</v>
      </c>
      <c r="S38" s="1342">
        <f t="shared" si="12"/>
        <v>100</v>
      </c>
      <c r="T38" s="1341" t="s">
        <v>63</v>
      </c>
      <c r="U38" s="1342">
        <f t="shared" si="13"/>
        <v>100</v>
      </c>
      <c r="V38" s="1341" t="s">
        <v>63</v>
      </c>
      <c r="W38" s="1342">
        <f t="shared" si="14"/>
        <v>100</v>
      </c>
      <c r="X38" s="287"/>
      <c r="Y38" s="3826"/>
      <c r="Z38" s="2207" t="str">
        <f t="shared" si="15"/>
        <v>写字楼等级</v>
      </c>
      <c r="AA38" s="1343">
        <f t="shared" si="3"/>
        <v>1</v>
      </c>
      <c r="AB38" s="1343">
        <f t="shared" si="4"/>
        <v>1</v>
      </c>
      <c r="AC38" s="2332">
        <f t="shared" si="5"/>
        <v>1</v>
      </c>
    </row>
    <row r="39" spans="1:29" ht="15">
      <c r="A39" s="161"/>
      <c r="B39" s="12" t="s">
        <v>146</v>
      </c>
      <c r="C39" s="107" t="s">
        <v>3962</v>
      </c>
      <c r="D39" s="777">
        <v>100</v>
      </c>
      <c r="E39" s="107" t="s">
        <v>3962</v>
      </c>
      <c r="F39" s="803">
        <f>SUMIF(115:115,E39,116:116)-SUMIF(115:115,C39,116:116)+100</f>
        <v>100</v>
      </c>
      <c r="G39" s="107" t="s">
        <v>3962</v>
      </c>
      <c r="H39" s="777">
        <f>SUMIF(115:115,G39,116:116)-SUMIF(115:115,C39,116:116)+100</f>
        <v>100</v>
      </c>
      <c r="I39" s="107" t="s">
        <v>3962</v>
      </c>
      <c r="J39" s="777">
        <f>SUMIF(115:115,I39,116:116)-SUMIF(115:115,C39,116:116)+100</f>
        <v>100</v>
      </c>
      <c r="K39" s="954"/>
      <c r="L39" s="2297"/>
      <c r="M39" s="2292"/>
      <c r="N39" s="2292"/>
      <c r="O39" s="2292"/>
      <c r="P39" s="3824" t="s">
        <v>68</v>
      </c>
      <c r="Q39" s="2215" t="str">
        <f t="shared" si="11"/>
        <v>物业管理</v>
      </c>
      <c r="R39" s="1351" t="s">
        <v>63</v>
      </c>
      <c r="S39" s="1352">
        <f t="shared" si="12"/>
        <v>100</v>
      </c>
      <c r="T39" s="1351" t="s">
        <v>63</v>
      </c>
      <c r="U39" s="1352">
        <f t="shared" si="13"/>
        <v>100</v>
      </c>
      <c r="V39" s="1351" t="s">
        <v>63</v>
      </c>
      <c r="W39" s="1352">
        <f t="shared" si="14"/>
        <v>100</v>
      </c>
      <c r="X39" s="2217"/>
      <c r="Y39" s="3826" t="s">
        <v>68</v>
      </c>
      <c r="Z39" s="2216" t="str">
        <f t="shared" si="15"/>
        <v>物业管理</v>
      </c>
      <c r="AA39" s="1354">
        <f t="shared" si="3"/>
        <v>1</v>
      </c>
      <c r="AB39" s="1354">
        <f t="shared" si="4"/>
        <v>1</v>
      </c>
      <c r="AC39" s="2333">
        <f t="shared" si="5"/>
        <v>1</v>
      </c>
    </row>
    <row r="40" spans="1:29" ht="15">
      <c r="A40" s="161"/>
      <c r="B40" s="12" t="s">
        <v>2650</v>
      </c>
      <c r="C40" s="107" t="s">
        <v>3853</v>
      </c>
      <c r="D40" s="777">
        <v>100</v>
      </c>
      <c r="E40" s="107" t="s">
        <v>3853</v>
      </c>
      <c r="F40" s="803">
        <f>SUMIF(117:117,E40,118:118)-SUMIF(117:117,C40,118:118)+100</f>
        <v>100</v>
      </c>
      <c r="G40" s="107" t="s">
        <v>3853</v>
      </c>
      <c r="H40" s="777">
        <f>SUMIF(117:117,G40,118:118)-SUMIF(117:117,C40,118:118)+100</f>
        <v>100</v>
      </c>
      <c r="I40" s="107" t="s">
        <v>3853</v>
      </c>
      <c r="J40" s="777">
        <f>SUMIF(117:117,I40,118:118)-SUMIF(117:117,C40,118:118)+100</f>
        <v>100</v>
      </c>
      <c r="K40" s="954"/>
      <c r="L40" s="2297"/>
      <c r="M40" s="2292"/>
      <c r="N40" s="2292"/>
      <c r="O40" s="2292"/>
      <c r="P40" s="3824"/>
      <c r="Q40" s="2215" t="str">
        <f t="shared" si="11"/>
        <v>市政基础设施</v>
      </c>
      <c r="R40" s="1351" t="s">
        <v>63</v>
      </c>
      <c r="S40" s="1352">
        <f t="shared" si="12"/>
        <v>100</v>
      </c>
      <c r="T40" s="1351" t="s">
        <v>63</v>
      </c>
      <c r="U40" s="1352">
        <f t="shared" si="13"/>
        <v>100</v>
      </c>
      <c r="V40" s="1351" t="s">
        <v>63</v>
      </c>
      <c r="W40" s="1352">
        <f t="shared" si="14"/>
        <v>100</v>
      </c>
      <c r="X40" s="2217"/>
      <c r="Y40" s="3826"/>
      <c r="Z40" s="2216" t="str">
        <f t="shared" si="15"/>
        <v>市政基础设施</v>
      </c>
      <c r="AA40" s="1354">
        <f t="shared" si="3"/>
        <v>1</v>
      </c>
      <c r="AB40" s="1354">
        <f t="shared" si="4"/>
        <v>1</v>
      </c>
      <c r="AC40" s="2333">
        <f t="shared" si="5"/>
        <v>1</v>
      </c>
    </row>
    <row r="41" spans="1:29" ht="15">
      <c r="A41" s="161"/>
      <c r="B41" s="12" t="s">
        <v>134</v>
      </c>
      <c r="C41" s="182" t="s">
        <v>3970</v>
      </c>
      <c r="D41" s="777">
        <v>100</v>
      </c>
      <c r="E41" s="182" t="s">
        <v>3889</v>
      </c>
      <c r="F41" s="803">
        <f>SUMIF(119:119,E41,120:120)-SUMIF(119:119,C41,120:120)+100</f>
        <v>105</v>
      </c>
      <c r="G41" s="182" t="s">
        <v>3889</v>
      </c>
      <c r="H41" s="777">
        <f>SUMIF(119:119,G41,120:120)-SUMIF(119:119,C41,120:120)+100</f>
        <v>105</v>
      </c>
      <c r="I41" s="182" t="s">
        <v>3889</v>
      </c>
      <c r="J41" s="777">
        <f>SUMIF(119:119,I41,120:120)-SUMIF(119:119,C41,120:120)+100</f>
        <v>105</v>
      </c>
      <c r="K41" s="954">
        <v>5</v>
      </c>
      <c r="L41" s="2297"/>
      <c r="M41" s="2292"/>
      <c r="N41" s="2292"/>
      <c r="O41" s="2292"/>
      <c r="P41" s="3824"/>
      <c r="Q41" s="2215" t="str">
        <f t="shared" si="11"/>
        <v>层高</v>
      </c>
      <c r="R41" s="1351" t="s">
        <v>63</v>
      </c>
      <c r="S41" s="1352">
        <f t="shared" si="12"/>
        <v>105</v>
      </c>
      <c r="T41" s="1351" t="s">
        <v>63</v>
      </c>
      <c r="U41" s="1352">
        <f t="shared" si="13"/>
        <v>105</v>
      </c>
      <c r="V41" s="1351" t="s">
        <v>63</v>
      </c>
      <c r="W41" s="1352">
        <f t="shared" si="14"/>
        <v>105</v>
      </c>
      <c r="X41" s="2217"/>
      <c r="Y41" s="3826"/>
      <c r="Z41" s="2216" t="str">
        <f t="shared" si="15"/>
        <v>层高</v>
      </c>
      <c r="AA41" s="1354">
        <f t="shared" si="3"/>
        <v>0.95238095238095233</v>
      </c>
      <c r="AB41" s="1354">
        <f t="shared" si="4"/>
        <v>0.95238095238095233</v>
      </c>
      <c r="AC41" s="2333">
        <f t="shared" si="5"/>
        <v>0.95238095238095233</v>
      </c>
    </row>
    <row r="42" spans="1:29" s="1038" customFormat="1" ht="14.25">
      <c r="A42" s="1042"/>
      <c r="B42" s="191" t="s">
        <v>1091</v>
      </c>
      <c r="C42" s="776" t="s">
        <v>3949</v>
      </c>
      <c r="D42" s="777">
        <v>100</v>
      </c>
      <c r="E42" s="776" t="s">
        <v>3949</v>
      </c>
      <c r="F42" s="803">
        <f>SUMIF(121:121,E42,122:122)-SUMIF(121:121,C42,122:122)+100</f>
        <v>100</v>
      </c>
      <c r="G42" s="776" t="s">
        <v>3949</v>
      </c>
      <c r="H42" s="777">
        <f>SUMIF(121:121,G42,122:122)-SUMIF(121:121,C42,122:122)+100</f>
        <v>100</v>
      </c>
      <c r="I42" s="776" t="s">
        <v>3949</v>
      </c>
      <c r="J42" s="777">
        <f>SUMIF(121:121,I42,122:122)-SUMIF(121:121,C42,122:122)+100</f>
        <v>100</v>
      </c>
      <c r="K42" s="188"/>
      <c r="L42" s="2296"/>
      <c r="M42" s="2298"/>
      <c r="N42" s="2298"/>
      <c r="O42" s="2298"/>
      <c r="P42" s="3824"/>
      <c r="Q42" s="1358" t="str">
        <f t="shared" si="11"/>
        <v>单套建筑面积</v>
      </c>
      <c r="R42" s="1359" t="s">
        <v>63</v>
      </c>
      <c r="S42" s="1360">
        <f t="shared" si="12"/>
        <v>100</v>
      </c>
      <c r="T42" s="1359" t="s">
        <v>63</v>
      </c>
      <c r="U42" s="1360">
        <f t="shared" si="13"/>
        <v>100</v>
      </c>
      <c r="V42" s="1359" t="s">
        <v>63</v>
      </c>
      <c r="W42" s="1360">
        <f t="shared" si="14"/>
        <v>100</v>
      </c>
      <c r="X42" s="1361"/>
      <c r="Y42" s="3826"/>
      <c r="Z42" s="1362" t="str">
        <f t="shared" si="15"/>
        <v>单套建筑面积</v>
      </c>
      <c r="AA42" s="1354">
        <f t="shared" si="3"/>
        <v>1</v>
      </c>
      <c r="AB42" s="1354">
        <f t="shared" si="4"/>
        <v>1</v>
      </c>
      <c r="AC42" s="2333">
        <f t="shared" si="5"/>
        <v>1</v>
      </c>
    </row>
    <row r="43" spans="1:29" ht="15">
      <c r="A43" s="161"/>
      <c r="B43" s="12" t="s">
        <v>1092</v>
      </c>
      <c r="C43" s="107" t="s">
        <v>3881</v>
      </c>
      <c r="D43" s="777">
        <v>100</v>
      </c>
      <c r="E43" s="107" t="s">
        <v>3881</v>
      </c>
      <c r="F43" s="803">
        <f>SUMIF(123:123,E43,124:124)-SUMIF(123:123,C43,124:124)+100</f>
        <v>100</v>
      </c>
      <c r="G43" s="107" t="s">
        <v>3956</v>
      </c>
      <c r="H43" s="777">
        <f>SUMIF(123:123,G43,124:124)-SUMIF(123:123,C43,124:124)+100</f>
        <v>110</v>
      </c>
      <c r="I43" s="107" t="s">
        <v>3956</v>
      </c>
      <c r="J43" s="777">
        <f>SUMIF(123:123,I43,124:124)-SUMIF(123:123,C43,124:124)+100</f>
        <v>110</v>
      </c>
      <c r="K43" s="954">
        <v>5</v>
      </c>
      <c r="L43" s="2297"/>
      <c r="M43" s="2292"/>
      <c r="N43" s="2292"/>
      <c r="O43" s="2292"/>
      <c r="P43" s="3824"/>
      <c r="Q43" s="2215" t="str">
        <f t="shared" si="11"/>
        <v>内部装修</v>
      </c>
      <c r="R43" s="1351" t="s">
        <v>63</v>
      </c>
      <c r="S43" s="1352">
        <f t="shared" si="12"/>
        <v>100</v>
      </c>
      <c r="T43" s="1351" t="s">
        <v>63</v>
      </c>
      <c r="U43" s="1352">
        <f t="shared" si="13"/>
        <v>110</v>
      </c>
      <c r="V43" s="1351" t="s">
        <v>63</v>
      </c>
      <c r="W43" s="1352">
        <f t="shared" si="14"/>
        <v>110</v>
      </c>
      <c r="X43" s="2217"/>
      <c r="Y43" s="3826"/>
      <c r="Z43" s="2216" t="str">
        <f t="shared" si="15"/>
        <v>内部装修</v>
      </c>
      <c r="AA43" s="1354">
        <f t="shared" si="3"/>
        <v>1</v>
      </c>
      <c r="AB43" s="1354">
        <f t="shared" si="4"/>
        <v>0.90909090909090906</v>
      </c>
      <c r="AC43" s="2333">
        <f t="shared" si="5"/>
        <v>0.90909090909090906</v>
      </c>
    </row>
    <row r="44" spans="1:29" ht="27.75" thickBot="1">
      <c r="A44" s="161"/>
      <c r="B44" s="12" t="s">
        <v>82</v>
      </c>
      <c r="C44" s="107" t="s">
        <v>3852</v>
      </c>
      <c r="D44" s="777">
        <v>100</v>
      </c>
      <c r="E44" s="109" t="s">
        <v>3852</v>
      </c>
      <c r="F44" s="803">
        <f>SUMIF(125:125,E44,126:126)-SUMIF(125:125,C44,126:126)+100</f>
        <v>100</v>
      </c>
      <c r="G44" s="109" t="s">
        <v>3852</v>
      </c>
      <c r="H44" s="777">
        <f>SUMIF(125:125,G44,126:126)-SUMIF(125:125,C44,126:126)+100</f>
        <v>100</v>
      </c>
      <c r="I44" s="109" t="s">
        <v>3852</v>
      </c>
      <c r="J44" s="777">
        <f>SUMIF(125:125,I44,126:126)-SUMIF(125:125,C44,126:126)+100</f>
        <v>100</v>
      </c>
      <c r="K44" s="954"/>
      <c r="L44" s="2297"/>
      <c r="M44" s="2292"/>
      <c r="N44" s="2292"/>
      <c r="O44" s="2292"/>
      <c r="P44" s="3824"/>
      <c r="Q44" s="2215" t="str">
        <f t="shared" si="11"/>
        <v>内部装修维护情况</v>
      </c>
      <c r="R44" s="1351" t="s">
        <v>63</v>
      </c>
      <c r="S44" s="1352">
        <f t="shared" si="12"/>
        <v>100</v>
      </c>
      <c r="T44" s="1351" t="s">
        <v>63</v>
      </c>
      <c r="U44" s="1352">
        <f t="shared" si="13"/>
        <v>100</v>
      </c>
      <c r="V44" s="1351" t="s">
        <v>63</v>
      </c>
      <c r="W44" s="1352">
        <f t="shared" si="14"/>
        <v>100</v>
      </c>
      <c r="X44" s="2217"/>
      <c r="Y44" s="3826"/>
      <c r="Z44" s="2216" t="str">
        <f t="shared" si="15"/>
        <v>内部装修维护情况</v>
      </c>
      <c r="AA44" s="1354">
        <f t="shared" si="3"/>
        <v>1</v>
      </c>
      <c r="AB44" s="1354">
        <f t="shared" si="4"/>
        <v>1</v>
      </c>
      <c r="AC44" s="2333">
        <f t="shared" si="5"/>
        <v>1</v>
      </c>
    </row>
    <row r="45" spans="1:29" s="40" customFormat="1" ht="14.25" hidden="1">
      <c r="A45" s="1040"/>
      <c r="B45" s="1356">
        <v>111</v>
      </c>
      <c r="C45" s="1357"/>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3"/>
      <c r="M45" s="2255"/>
      <c r="N45" s="2255"/>
      <c r="O45" s="2255"/>
      <c r="P45" s="3824"/>
      <c r="Q45" s="2208">
        <f t="shared" si="11"/>
        <v>111</v>
      </c>
      <c r="R45" s="1341" t="s">
        <v>63</v>
      </c>
      <c r="S45" s="1342">
        <f t="shared" si="12"/>
        <v>100</v>
      </c>
      <c r="T45" s="1341" t="s">
        <v>63</v>
      </c>
      <c r="U45" s="1342">
        <f t="shared" si="13"/>
        <v>100</v>
      </c>
      <c r="V45" s="1341" t="s">
        <v>63</v>
      </c>
      <c r="W45" s="1342">
        <f t="shared" si="14"/>
        <v>100</v>
      </c>
      <c r="X45" s="287"/>
      <c r="Y45" s="3826"/>
      <c r="Z45" s="2207">
        <f t="shared" si="15"/>
        <v>111</v>
      </c>
      <c r="AA45" s="1343">
        <f t="shared" si="3"/>
        <v>1</v>
      </c>
      <c r="AB45" s="1343">
        <f t="shared" si="4"/>
        <v>1</v>
      </c>
      <c r="AC45" s="2332">
        <f t="shared" si="5"/>
        <v>1</v>
      </c>
    </row>
    <row r="46" spans="1:29" ht="14.25" hidden="1">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7"/>
      <c r="M46" s="2292"/>
      <c r="N46" s="2292"/>
      <c r="O46" s="2292"/>
      <c r="P46" s="3824"/>
      <c r="Q46" s="2215">
        <f t="shared" si="11"/>
        <v>111</v>
      </c>
      <c r="R46" s="1351" t="s">
        <v>63</v>
      </c>
      <c r="S46" s="1352">
        <f t="shared" si="12"/>
        <v>100</v>
      </c>
      <c r="T46" s="1351" t="s">
        <v>63</v>
      </c>
      <c r="U46" s="1352">
        <f t="shared" si="13"/>
        <v>100</v>
      </c>
      <c r="V46" s="1351" t="s">
        <v>63</v>
      </c>
      <c r="W46" s="1352">
        <f t="shared" si="14"/>
        <v>100</v>
      </c>
      <c r="X46" s="2217"/>
      <c r="Y46" s="3826"/>
      <c r="Z46" s="2216">
        <f t="shared" si="15"/>
        <v>111</v>
      </c>
      <c r="AA46" s="1354">
        <f t="shared" si="3"/>
        <v>1</v>
      </c>
      <c r="AB46" s="1354">
        <f t="shared" si="4"/>
        <v>1</v>
      </c>
      <c r="AC46" s="2333">
        <f t="shared" si="5"/>
        <v>1</v>
      </c>
    </row>
    <row r="47" spans="1:29" ht="15" hidden="1"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7"/>
      <c r="M47" s="2292"/>
      <c r="N47" s="2292"/>
      <c r="O47" s="2292"/>
      <c r="P47" s="3825"/>
      <c r="Q47" s="2215">
        <f t="shared" si="11"/>
        <v>111</v>
      </c>
      <c r="R47" s="1351" t="s">
        <v>63</v>
      </c>
      <c r="S47" s="1352">
        <f t="shared" si="12"/>
        <v>100</v>
      </c>
      <c r="T47" s="1351" t="s">
        <v>63</v>
      </c>
      <c r="U47" s="1352">
        <f t="shared" si="13"/>
        <v>100</v>
      </c>
      <c r="V47" s="1351" t="s">
        <v>63</v>
      </c>
      <c r="W47" s="1352">
        <f t="shared" si="14"/>
        <v>100</v>
      </c>
      <c r="X47" s="2217"/>
      <c r="Y47" s="3827"/>
      <c r="Z47" s="2216">
        <f t="shared" si="15"/>
        <v>111</v>
      </c>
      <c r="AA47" s="1354">
        <f t="shared" si="3"/>
        <v>1</v>
      </c>
      <c r="AB47" s="1354">
        <f t="shared" si="4"/>
        <v>1</v>
      </c>
      <c r="AC47" s="2333">
        <f t="shared" si="5"/>
        <v>1</v>
      </c>
    </row>
    <row r="48" spans="1:29" ht="15">
      <c r="A48" s="163" t="s">
        <v>1036</v>
      </c>
      <c r="B48" s="164"/>
      <c r="C48" s="2829" t="s">
        <v>23</v>
      </c>
      <c r="D48" s="2830"/>
      <c r="E48" s="2831">
        <f>ROUND(18000*0.98,0)</f>
        <v>17640</v>
      </c>
      <c r="F48" s="2832"/>
      <c r="G48" s="2833">
        <f>ROUND(16000*0.98,0)</f>
        <v>15680</v>
      </c>
      <c r="H48" s="2834"/>
      <c r="I48" s="2831">
        <f>ROUND(19000*0.98,0)</f>
        <v>18620</v>
      </c>
      <c r="J48" s="827"/>
      <c r="K48" s="1392"/>
      <c r="L48" s="2299"/>
      <c r="M48" s="2292"/>
      <c r="N48" s="2292"/>
      <c r="O48" s="2292"/>
      <c r="P48" s="3801" t="str">
        <f>A48</f>
        <v>成交单价（元/平方米）</v>
      </c>
      <c r="Q48" s="3819"/>
      <c r="R48" s="3820">
        <f>E48</f>
        <v>17640</v>
      </c>
      <c r="S48" s="3820"/>
      <c r="T48" s="3820">
        <f>G48</f>
        <v>15680</v>
      </c>
      <c r="U48" s="3820"/>
      <c r="V48" s="3820">
        <f>I48</f>
        <v>18620</v>
      </c>
      <c r="W48" s="3820"/>
      <c r="X48" s="156"/>
      <c r="Y48" s="1365"/>
      <c r="Z48" s="156"/>
      <c r="AA48" s="156"/>
      <c r="AB48" s="156"/>
      <c r="AC48" s="209"/>
    </row>
    <row r="49" spans="1:29" ht="15.75" thickBot="1">
      <c r="A49" s="165" t="s">
        <v>1037</v>
      </c>
      <c r="B49" s="166"/>
      <c r="C49" s="2835">
        <f>R50</f>
        <v>16866</v>
      </c>
      <c r="D49" s="2836"/>
      <c r="E49" s="2837">
        <f>R49</f>
        <v>17896</v>
      </c>
      <c r="F49" s="2837"/>
      <c r="G49" s="2835">
        <f>T49</f>
        <v>16353</v>
      </c>
      <c r="H49" s="2836"/>
      <c r="I49" s="2837">
        <f>V49</f>
        <v>16348</v>
      </c>
      <c r="J49" s="831"/>
      <c r="K49" s="1393"/>
      <c r="L49" s="2299"/>
      <c r="M49" s="2292"/>
      <c r="N49" s="2292"/>
      <c r="O49" s="2292"/>
      <c r="P49" s="3801" t="str">
        <f>A49</f>
        <v>比较价值（元/平方米）</v>
      </c>
      <c r="Q49" s="3819"/>
      <c r="R49" s="3820">
        <f>IF(F1="售价",ROUND(PRODUCT(R48,AA7:AA47),0),ROUND(PRODUCT(R48,AA7:AA47),1))</f>
        <v>17896</v>
      </c>
      <c r="S49" s="3820"/>
      <c r="T49" s="3820">
        <f>IF(F1="售价",ROUND(PRODUCT(T48,AB7:AB47),0),ROUND(PRODUCT(T48,AB7:AB47),1))</f>
        <v>16353</v>
      </c>
      <c r="U49" s="3820"/>
      <c r="V49" s="3820">
        <f>IF(F1="售价",ROUND(PRODUCT(V48,AC7:AC47),0),ROUND(PRODUCT(V48,AC7:AC47),1))</f>
        <v>16348</v>
      </c>
      <c r="W49" s="3820"/>
      <c r="X49" s="156"/>
      <c r="Y49" s="156"/>
      <c r="Z49" s="156"/>
      <c r="AA49" s="156"/>
      <c r="AB49" s="156"/>
      <c r="AC49" s="209"/>
    </row>
    <row r="50" spans="1:29" ht="15.75" thickBot="1">
      <c r="A50" s="115" t="s">
        <v>3012</v>
      </c>
      <c r="B50" s="116"/>
      <c r="C50" s="2839">
        <f>R50</f>
        <v>16866</v>
      </c>
      <c r="D50" s="2839"/>
      <c r="E50" s="2839"/>
      <c r="F50" s="2839"/>
      <c r="G50" s="2839"/>
      <c r="H50" s="2839"/>
      <c r="I50" s="2839"/>
      <c r="J50" s="836"/>
      <c r="K50" s="1394"/>
      <c r="L50" s="2299"/>
      <c r="M50" s="2292"/>
      <c r="N50" s="2292"/>
      <c r="O50" s="2292"/>
      <c r="P50" s="3848" t="str">
        <f>A50</f>
        <v>估价对象XX用房的比较价值（楼面单价，元/平方米）</v>
      </c>
      <c r="Q50" s="3849"/>
      <c r="R50" s="3850">
        <f>IF(F1="售价",ROUND(AVERAGE(R49:V49),0),ROUND(AVERAGE(R49:V49),1))</f>
        <v>16866</v>
      </c>
      <c r="S50" s="3850"/>
      <c r="T50" s="3850"/>
      <c r="U50" s="3850"/>
      <c r="V50" s="3850"/>
      <c r="W50" s="3850"/>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9" t="s">
        <v>1007</v>
      </c>
      <c r="D53" s="840"/>
      <c r="E53" s="841">
        <f>IF(E48&lt;E49,E49/E48-1,E48/E49-1)</f>
        <v>1.4512471655328874E-2</v>
      </c>
      <c r="F53" s="842" t="str">
        <f>IF(OR(E53&gt;=0.3,E53&lt;=-0.3),"超过30%","")</f>
        <v/>
      </c>
      <c r="G53" s="841">
        <f>IF(G48&lt;G49,G49/G48-1,G48/G49-1)</f>
        <v>4.2920918367346905E-2</v>
      </c>
      <c r="H53" s="842" t="str">
        <f>IF(OR(G53&gt;=0.3,G53&lt;=-0.3),"超过30%","")</f>
        <v/>
      </c>
      <c r="I53" s="841">
        <f>IF(I48&lt;I49,I49/I48-1,I48/I49-1)</f>
        <v>0.13897724492292629</v>
      </c>
      <c r="J53" s="842" t="str">
        <f>IF(OR(I53&gt;=0.3,I53&lt;=-0.3),"超过30%","")</f>
        <v/>
      </c>
      <c r="K53" s="2301"/>
      <c r="L53" s="2302"/>
      <c r="M53" s="2300"/>
      <c r="N53" s="2300"/>
      <c r="O53" s="2300"/>
    </row>
    <row r="54" spans="1:29" ht="13.5" customHeight="1">
      <c r="A54" s="2300"/>
      <c r="B54" s="2300"/>
      <c r="C54" s="839" t="s">
        <v>1008</v>
      </c>
      <c r="D54" s="843"/>
      <c r="E54" s="841">
        <f>IF(E49&lt;G49,G49/E49-1,E49/G49-1)</f>
        <v>9.4355775698648614E-2</v>
      </c>
      <c r="F54" s="842" t="str">
        <f>IF(OR(E54&gt;=0.2,E54&lt;=-0.2),"超过20%","")</f>
        <v/>
      </c>
      <c r="G54" s="841">
        <f>IF(G49&lt;I49,I49/G49-1,G49/I49-1)</f>
        <v>3.0584781012965578E-4</v>
      </c>
      <c r="H54" s="842" t="str">
        <f>IF(OR(G54&gt;=0.2,G54&lt;=-0.2),"超过20%","")</f>
        <v/>
      </c>
      <c r="I54" s="841">
        <f>IF(I49&lt;E49,E49/I49-1,I49/E49-1)</f>
        <v>9.4690482016148714E-2</v>
      </c>
      <c r="J54" s="842" t="str">
        <f>IF(OR(I54&gt;=0.2,I54&lt;=-0.2),"超过20%","")</f>
        <v/>
      </c>
      <c r="K54" s="2301"/>
      <c r="L54" s="2302"/>
      <c r="M54" s="2300"/>
      <c r="N54" s="2300"/>
      <c r="O54" s="2300"/>
    </row>
    <row r="55" spans="1:29" s="119" customFormat="1" ht="13.5" customHeight="1">
      <c r="A55" s="2305"/>
      <c r="B55" s="2305"/>
      <c r="C55" s="839" t="s">
        <v>1009</v>
      </c>
      <c r="D55" s="843"/>
      <c r="E55" s="841">
        <f>IF(E48&lt;G48,G48/E48-1,E48/G48-1)</f>
        <v>0.125</v>
      </c>
      <c r="F55" s="842" t="str">
        <f>IF(OR(E55&gt;=0.3,E55&lt;=-0.3),"超过30%","")</f>
        <v/>
      </c>
      <c r="G55" s="841">
        <f>IF(G48&lt;I48,I48/G48-1,G48/I48-1)</f>
        <v>0.1875</v>
      </c>
      <c r="H55" s="842" t="str">
        <f>IF(OR(G55&gt;=0.3,G55&lt;=-0.3),"超过30%","")</f>
        <v/>
      </c>
      <c r="I55" s="841">
        <f>IF(I48&lt;E48,E48/I48-1,I48/E48-1)</f>
        <v>5.555555555555558E-2</v>
      </c>
      <c r="J55" s="842" t="str">
        <f>IF(OR(I55&gt;=0.3,I55&lt;=-0.3),"超过30%","")</f>
        <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71" t="s">
        <v>1038</v>
      </c>
      <c r="B58" s="1364"/>
      <c r="C58" s="1372"/>
      <c r="D58" s="1372"/>
      <c r="E58" s="1372"/>
      <c r="F58" s="1373"/>
      <c r="G58" s="1373"/>
      <c r="H58" s="1372"/>
      <c r="I58" s="1372"/>
      <c r="J58" s="1372"/>
      <c r="K58" s="1374"/>
      <c r="L58" s="2307"/>
      <c r="M58" s="2308"/>
      <c r="N58" s="2308"/>
      <c r="O58" s="2308"/>
      <c r="P58" s="2322"/>
      <c r="Q58" s="121"/>
    </row>
    <row r="59" spans="1:29" s="850" customFormat="1" ht="15">
      <c r="A59" s="847" t="s">
        <v>2789</v>
      </c>
      <c r="B59" s="848"/>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4"/>
      <c r="B60" s="1045"/>
      <c r="C60" s="3035">
        <v>100</v>
      </c>
      <c r="D60" s="854"/>
      <c r="E60" s="854"/>
      <c r="F60" s="854"/>
      <c r="G60" s="854"/>
      <c r="H60" s="854"/>
      <c r="I60" s="854"/>
      <c r="J60" s="854"/>
      <c r="K60" s="854"/>
      <c r="L60" s="854"/>
      <c r="M60" s="855"/>
      <c r="N60" s="854"/>
      <c r="O60" s="855"/>
      <c r="P60" s="2323"/>
    </row>
    <row r="61" spans="1:29" s="40" customFormat="1" ht="15" thickBot="1">
      <c r="A61" s="1046" t="s">
        <v>1039</v>
      </c>
      <c r="B61" s="1047"/>
      <c r="C61" s="859"/>
      <c r="D61" s="860"/>
      <c r="E61" s="860"/>
      <c r="F61" s="860"/>
      <c r="G61" s="860"/>
      <c r="H61" s="860"/>
      <c r="I61" s="860"/>
      <c r="J61" s="860"/>
      <c r="K61" s="860"/>
      <c r="L61" s="860"/>
      <c r="M61" s="861"/>
      <c r="N61" s="860"/>
      <c r="O61" s="861"/>
      <c r="P61" s="2323"/>
      <c r="Q61" s="121"/>
    </row>
    <row r="62" spans="1:29" s="40" customFormat="1">
      <c r="A62" s="1048" t="s">
        <v>1040</v>
      </c>
      <c r="B62" s="1045"/>
      <c r="C62" s="1049" t="s">
        <v>1041</v>
      </c>
      <c r="D62" s="140"/>
      <c r="E62" s="140"/>
      <c r="F62" s="140"/>
      <c r="G62" s="140"/>
      <c r="H62" s="140"/>
      <c r="I62" s="140"/>
      <c r="J62" s="140"/>
      <c r="K62" s="140"/>
      <c r="L62" s="141"/>
      <c r="M62" s="1050"/>
      <c r="N62" s="1387"/>
      <c r="O62" s="1387"/>
      <c r="P62" s="2324"/>
      <c r="Q62" s="121"/>
    </row>
    <row r="63" spans="1:29" s="40" customFormat="1" ht="15" thickBot="1">
      <c r="A63" s="1048"/>
      <c r="B63" s="1045"/>
      <c r="C63" s="853">
        <v>100</v>
      </c>
      <c r="D63" s="854"/>
      <c r="E63" s="854"/>
      <c r="F63" s="854"/>
      <c r="G63" s="854"/>
      <c r="H63" s="854"/>
      <c r="I63" s="854"/>
      <c r="J63" s="854"/>
      <c r="K63" s="854"/>
      <c r="L63" s="854"/>
      <c r="M63" s="856"/>
      <c r="N63" s="1387"/>
      <c r="O63" s="1387"/>
      <c r="P63" s="2323"/>
      <c r="Q63" s="121"/>
    </row>
    <row r="64" spans="1:29">
      <c r="A64" s="172" t="s">
        <v>1042</v>
      </c>
      <c r="B64" s="286" t="s">
        <v>1043</v>
      </c>
      <c r="C64" s="176" t="str">
        <f>C9</f>
        <v>办公</v>
      </c>
      <c r="D64" s="122" t="s">
        <v>3941</v>
      </c>
      <c r="E64" s="122"/>
      <c r="F64" s="122"/>
      <c r="G64" s="122"/>
      <c r="H64" s="122"/>
      <c r="I64" s="122"/>
      <c r="J64" s="122"/>
      <c r="K64" s="123"/>
      <c r="L64" s="124"/>
      <c r="M64" s="125"/>
      <c r="N64" s="1388"/>
      <c r="O64" s="1388"/>
      <c r="P64" s="2325"/>
      <c r="Q64" s="121"/>
    </row>
    <row r="65" spans="1:17" ht="15" thickBot="1">
      <c r="A65" s="173"/>
      <c r="B65" s="1052"/>
      <c r="C65" s="878">
        <v>100</v>
      </c>
      <c r="D65" s="878">
        <v>95</v>
      </c>
      <c r="E65" s="878"/>
      <c r="F65" s="878"/>
      <c r="G65" s="878"/>
      <c r="H65" s="878"/>
      <c r="I65" s="878"/>
      <c r="J65" s="878"/>
      <c r="K65" s="878"/>
      <c r="L65" s="878"/>
      <c r="M65" s="879"/>
      <c r="N65" s="1389"/>
      <c r="O65" s="1389"/>
      <c r="P65" s="2325"/>
      <c r="Q65" s="121"/>
    </row>
    <row r="66" spans="1:17" ht="27.75" thickTop="1">
      <c r="A66" s="173"/>
      <c r="B66" s="1053" t="s">
        <v>1044</v>
      </c>
      <c r="C66" s="881" t="s">
        <v>1010</v>
      </c>
      <c r="D66" s="881" t="s">
        <v>1011</v>
      </c>
      <c r="E66" s="881" t="s">
        <v>1012</v>
      </c>
      <c r="F66" s="881" t="s">
        <v>1013</v>
      </c>
      <c r="G66" s="881" t="s">
        <v>1014</v>
      </c>
      <c r="H66" s="881" t="s">
        <v>1015</v>
      </c>
      <c r="I66" s="881" t="s">
        <v>1016</v>
      </c>
      <c r="J66" s="881"/>
      <c r="K66" s="882"/>
      <c r="L66" s="883"/>
      <c r="M66" s="884"/>
      <c r="N66" s="1388"/>
      <c r="O66" s="1388"/>
      <c r="P66" s="2325"/>
      <c r="Q66" s="121"/>
    </row>
    <row r="67" spans="1:17" ht="15" thickBot="1">
      <c r="A67" s="173"/>
      <c r="B67" s="1054"/>
      <c r="C67" s="886" t="s">
        <v>136</v>
      </c>
      <c r="D67" s="886" t="s">
        <v>137</v>
      </c>
      <c r="E67" s="886">
        <v>100</v>
      </c>
      <c r="F67" s="886">
        <f>E67-$K10</f>
        <v>95</v>
      </c>
      <c r="G67" s="886">
        <f>F67-$K10</f>
        <v>90</v>
      </c>
      <c r="H67" s="886">
        <f>G67-$K10</f>
        <v>85</v>
      </c>
      <c r="I67" s="886">
        <f>H67-$K10</f>
        <v>80</v>
      </c>
      <c r="J67" s="886"/>
      <c r="K67" s="886"/>
      <c r="L67" s="886"/>
      <c r="M67" s="887"/>
      <c r="N67" s="1389"/>
      <c r="O67" s="1389"/>
      <c r="P67" s="2325"/>
      <c r="Q67" s="121"/>
    </row>
    <row r="68" spans="1:17" ht="15" thickTop="1">
      <c r="A68" s="173"/>
      <c r="B68" s="1055" t="s">
        <v>1045</v>
      </c>
      <c r="C68" s="889" t="str">
        <f>C69&amp;"（含）"&amp;"-"&amp;D69</f>
        <v>0（含）-2</v>
      </c>
      <c r="D68" s="889" t="str">
        <f t="shared" ref="D68:L68" si="17">D69&amp;"（含）"&amp;"-"&amp;E69</f>
        <v>2（含）-4</v>
      </c>
      <c r="E68" s="889" t="str">
        <f t="shared" si="17"/>
        <v>4（含）-6</v>
      </c>
      <c r="F68" s="889" t="str">
        <f t="shared" si="17"/>
        <v>6（含）-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5"/>
      <c r="Q68" s="121"/>
    </row>
    <row r="69" spans="1:17" ht="14.25">
      <c r="A69" s="173"/>
      <c r="B69" s="1056"/>
      <c r="C69" s="891">
        <v>0</v>
      </c>
      <c r="D69" s="891">
        <v>2</v>
      </c>
      <c r="E69" s="891">
        <v>4</v>
      </c>
      <c r="F69" s="891">
        <v>6</v>
      </c>
      <c r="G69" s="891"/>
      <c r="H69" s="891"/>
      <c r="I69" s="891"/>
      <c r="J69" s="891"/>
      <c r="K69" s="892"/>
      <c r="L69" s="893"/>
      <c r="M69" s="894"/>
      <c r="N69" s="1388"/>
      <c r="O69" s="1388"/>
      <c r="P69" s="2325"/>
      <c r="Q69" s="121"/>
    </row>
    <row r="70" spans="1:17" ht="15" thickBot="1">
      <c r="A70" s="173"/>
      <c r="B70" s="1052"/>
      <c r="C70" s="886">
        <v>100</v>
      </c>
      <c r="D70" s="886">
        <f t="shared" ref="D70:M70" si="18">C70-$K11</f>
        <v>99</v>
      </c>
      <c r="E70" s="886">
        <f t="shared" si="18"/>
        <v>98</v>
      </c>
      <c r="F70" s="886">
        <f t="shared" si="18"/>
        <v>97</v>
      </c>
      <c r="G70" s="886">
        <f t="shared" si="18"/>
        <v>96</v>
      </c>
      <c r="H70" s="886">
        <f t="shared" si="18"/>
        <v>95</v>
      </c>
      <c r="I70" s="886">
        <f t="shared" si="18"/>
        <v>94</v>
      </c>
      <c r="J70" s="886">
        <f t="shared" si="18"/>
        <v>93</v>
      </c>
      <c r="K70" s="886">
        <f t="shared" si="18"/>
        <v>92</v>
      </c>
      <c r="L70" s="886">
        <f t="shared" si="18"/>
        <v>91</v>
      </c>
      <c r="M70" s="887">
        <f t="shared" si="18"/>
        <v>90</v>
      </c>
      <c r="N70" s="1389"/>
      <c r="O70" s="1389"/>
      <c r="P70" s="2325"/>
      <c r="Q70" s="121"/>
    </row>
    <row r="71" spans="1:17" s="1038" customFormat="1" ht="14.25" hidden="1" thickTop="1">
      <c r="A71" s="1057"/>
      <c r="B71" s="1053">
        <f>B12</f>
        <v>111</v>
      </c>
      <c r="C71" s="139"/>
      <c r="D71" s="139"/>
      <c r="E71" s="139"/>
      <c r="F71" s="139"/>
      <c r="G71" s="139"/>
      <c r="H71" s="1058"/>
      <c r="I71" s="1058"/>
      <c r="J71" s="1058"/>
      <c r="K71" s="1058"/>
      <c r="L71" s="1059"/>
      <c r="M71" s="1060"/>
      <c r="N71" s="1390"/>
      <c r="O71" s="1390"/>
      <c r="P71" s="2326"/>
      <c r="Q71" s="1062"/>
    </row>
    <row r="72" spans="1:17" s="1038" customFormat="1" ht="15" hidden="1" thickBot="1">
      <c r="A72" s="1057"/>
      <c r="B72" s="1054"/>
      <c r="C72" s="902"/>
      <c r="D72" s="878"/>
      <c r="E72" s="878"/>
      <c r="F72" s="878"/>
      <c r="G72" s="878"/>
      <c r="H72" s="878"/>
      <c r="I72" s="878"/>
      <c r="J72" s="878"/>
      <c r="K72" s="878"/>
      <c r="L72" s="878"/>
      <c r="M72" s="879"/>
      <c r="N72" s="1389"/>
      <c r="O72" s="1389"/>
      <c r="P72" s="2326"/>
      <c r="Q72" s="1062"/>
    </row>
    <row r="73" spans="1:17" s="1038" customFormat="1" ht="14.25" hidden="1" thickTop="1">
      <c r="A73" s="1057"/>
      <c r="B73" s="1053">
        <f>B13</f>
        <v>111</v>
      </c>
      <c r="C73" s="139"/>
      <c r="D73" s="139"/>
      <c r="E73" s="139"/>
      <c r="F73" s="139"/>
      <c r="G73" s="139"/>
      <c r="H73" s="1058"/>
      <c r="I73" s="1058"/>
      <c r="J73" s="1058"/>
      <c r="K73" s="1058"/>
      <c r="L73" s="1059"/>
      <c r="M73" s="1060"/>
      <c r="N73" s="1390"/>
      <c r="O73" s="1390"/>
      <c r="P73" s="2327"/>
      <c r="Q73" s="1064"/>
    </row>
    <row r="74" spans="1:17" s="1038" customFormat="1" ht="15" hidden="1" thickBot="1">
      <c r="A74" s="1057"/>
      <c r="B74" s="1054"/>
      <c r="C74" s="902"/>
      <c r="D74" s="902"/>
      <c r="E74" s="902"/>
      <c r="F74" s="902"/>
      <c r="G74" s="902"/>
      <c r="H74" s="904"/>
      <c r="I74" s="904"/>
      <c r="J74" s="904"/>
      <c r="K74" s="904"/>
      <c r="L74" s="904"/>
      <c r="M74" s="905"/>
      <c r="N74" s="1390"/>
      <c r="O74" s="1390"/>
      <c r="P74" s="2326"/>
      <c r="Q74" s="1062"/>
    </row>
    <row r="75" spans="1:17" s="1038" customFormat="1" ht="14.25" hidden="1" thickTop="1">
      <c r="A75" s="1057"/>
      <c r="B75" s="1055">
        <f>B14</f>
        <v>111</v>
      </c>
      <c r="C75" s="140"/>
      <c r="D75" s="140"/>
      <c r="E75" s="140"/>
      <c r="F75" s="140"/>
      <c r="G75" s="140"/>
      <c r="H75" s="1065"/>
      <c r="I75" s="1065"/>
      <c r="J75" s="1065"/>
      <c r="K75" s="1065"/>
      <c r="L75" s="1066"/>
      <c r="M75" s="1067"/>
      <c r="N75" s="1390"/>
      <c r="O75" s="1390"/>
      <c r="P75" s="2328"/>
      <c r="Q75" s="1062"/>
    </row>
    <row r="76" spans="1:17" s="1038" customFormat="1" ht="15" hidden="1" thickBot="1">
      <c r="A76" s="1069"/>
      <c r="B76" s="1070"/>
      <c r="C76" s="912"/>
      <c r="D76" s="912"/>
      <c r="E76" s="912"/>
      <c r="F76" s="912"/>
      <c r="G76" s="912"/>
      <c r="H76" s="913"/>
      <c r="I76" s="913"/>
      <c r="J76" s="913"/>
      <c r="K76" s="913"/>
      <c r="L76" s="913"/>
      <c r="M76" s="914"/>
      <c r="N76" s="1390"/>
      <c r="O76" s="1390"/>
      <c r="P76" s="2326"/>
      <c r="Q76" s="1062"/>
    </row>
    <row r="77" spans="1:17" ht="15" thickTop="1">
      <c r="A77" s="172" t="s">
        <v>1046</v>
      </c>
      <c r="B77" s="286" t="s">
        <v>1093</v>
      </c>
      <c r="C77" s="915" t="s">
        <v>1017</v>
      </c>
      <c r="D77" s="915" t="s">
        <v>1018</v>
      </c>
      <c r="E77" s="915" t="s">
        <v>1019</v>
      </c>
      <c r="F77" s="915" t="s">
        <v>1020</v>
      </c>
      <c r="G77" s="915" t="s">
        <v>1021</v>
      </c>
      <c r="H77" s="871"/>
      <c r="I77" s="871"/>
      <c r="J77" s="871"/>
      <c r="K77" s="916"/>
      <c r="L77" s="917"/>
      <c r="M77" s="918"/>
      <c r="N77" s="1388"/>
      <c r="O77" s="1388"/>
      <c r="P77" s="2329"/>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5"/>
      <c r="Q78" s="121"/>
    </row>
    <row r="79" spans="1:17" ht="15" thickTop="1">
      <c r="A79" s="173"/>
      <c r="B79" s="1053" t="s">
        <v>1053</v>
      </c>
      <c r="C79" s="920" t="s">
        <v>1017</v>
      </c>
      <c r="D79" s="920" t="s">
        <v>1018</v>
      </c>
      <c r="E79" s="920" t="s">
        <v>1019</v>
      </c>
      <c r="F79" s="920" t="s">
        <v>1102</v>
      </c>
      <c r="G79" s="920" t="s">
        <v>1021</v>
      </c>
      <c r="H79" s="881"/>
      <c r="I79" s="881"/>
      <c r="J79" s="881"/>
      <c r="K79" s="882"/>
      <c r="L79" s="883"/>
      <c r="M79" s="884"/>
      <c r="N79" s="1388"/>
      <c r="O79" s="1388"/>
      <c r="P79" s="2325"/>
      <c r="Q79" s="121"/>
    </row>
    <row r="80" spans="1:17" ht="15" thickBot="1">
      <c r="A80" s="173"/>
      <c r="B80" s="1054"/>
      <c r="C80" s="886">
        <v>100</v>
      </c>
      <c r="D80" s="886">
        <f>C80-$K17</f>
        <v>98</v>
      </c>
      <c r="E80" s="886">
        <f>D80-$K17</f>
        <v>96</v>
      </c>
      <c r="F80" s="886">
        <f>E80-$K17</f>
        <v>94</v>
      </c>
      <c r="G80" s="886">
        <f>F80-$K17</f>
        <v>92</v>
      </c>
      <c r="H80" s="886"/>
      <c r="I80" s="886"/>
      <c r="J80" s="886"/>
      <c r="K80" s="886"/>
      <c r="L80" s="886"/>
      <c r="M80" s="887"/>
      <c r="N80" s="1389"/>
      <c r="O80" s="1389"/>
      <c r="P80" s="2325"/>
      <c r="Q80" s="121"/>
    </row>
    <row r="81" spans="1:17" ht="15" thickTop="1">
      <c r="A81" s="173"/>
      <c r="B81" s="1053" t="s">
        <v>31</v>
      </c>
      <c r="C81" s="920" t="s">
        <v>1017</v>
      </c>
      <c r="D81" s="920" t="s">
        <v>1018</v>
      </c>
      <c r="E81" s="920" t="s">
        <v>1019</v>
      </c>
      <c r="F81" s="920" t="s">
        <v>1020</v>
      </c>
      <c r="G81" s="920" t="s">
        <v>1021</v>
      </c>
      <c r="H81" s="881"/>
      <c r="I81" s="881"/>
      <c r="J81" s="881"/>
      <c r="K81" s="882"/>
      <c r="L81" s="883"/>
      <c r="M81" s="884"/>
      <c r="N81" s="1388"/>
      <c r="O81" s="1388"/>
      <c r="P81" s="2325"/>
      <c r="Q81" s="121"/>
    </row>
    <row r="82" spans="1:17" ht="15" thickBot="1">
      <c r="A82" s="173"/>
      <c r="B82" s="1054"/>
      <c r="C82" s="886">
        <v>100</v>
      </c>
      <c r="D82" s="886">
        <f>C82-$K19</f>
        <v>98</v>
      </c>
      <c r="E82" s="886">
        <f>D82-$K19</f>
        <v>96</v>
      </c>
      <c r="F82" s="886">
        <f>E82-$K19</f>
        <v>94</v>
      </c>
      <c r="G82" s="886">
        <f>F82-$K19</f>
        <v>92</v>
      </c>
      <c r="H82" s="886"/>
      <c r="I82" s="886"/>
      <c r="J82" s="886"/>
      <c r="K82" s="886"/>
      <c r="L82" s="886"/>
      <c r="M82" s="887"/>
      <c r="N82" s="1389"/>
      <c r="O82" s="1389"/>
      <c r="P82" s="2325"/>
      <c r="Q82" s="121"/>
    </row>
    <row r="83" spans="1:17" ht="15" thickTop="1">
      <c r="A83" s="173"/>
      <c r="B83" s="1055" t="s">
        <v>2659</v>
      </c>
      <c r="C83" s="213" t="s">
        <v>2652</v>
      </c>
      <c r="D83" s="213" t="s">
        <v>2653</v>
      </c>
      <c r="E83" s="213" t="s">
        <v>2654</v>
      </c>
      <c r="F83" s="213" t="s">
        <v>2655</v>
      </c>
      <c r="G83" s="213" t="s">
        <v>2656</v>
      </c>
      <c r="H83" s="881"/>
      <c r="I83" s="881"/>
      <c r="J83" s="881"/>
      <c r="K83" s="881"/>
      <c r="L83" s="881"/>
      <c r="M83" s="2761"/>
      <c r="N83" s="1389"/>
      <c r="O83" s="1389"/>
      <c r="P83" s="2325"/>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5"/>
      <c r="Q84" s="121"/>
    </row>
    <row r="85" spans="1:17" ht="15" thickTop="1">
      <c r="A85" s="173"/>
      <c r="B85" s="1053" t="s">
        <v>1094</v>
      </c>
      <c r="C85" s="920" t="s">
        <v>1017</v>
      </c>
      <c r="D85" s="920" t="s">
        <v>1018</v>
      </c>
      <c r="E85" s="920" t="s">
        <v>1019</v>
      </c>
      <c r="F85" s="920" t="s">
        <v>1020</v>
      </c>
      <c r="G85" s="920" t="s">
        <v>1021</v>
      </c>
      <c r="H85" s="881"/>
      <c r="I85" s="881"/>
      <c r="J85" s="881"/>
      <c r="K85" s="882"/>
      <c r="L85" s="883"/>
      <c r="M85" s="884"/>
      <c r="N85" s="1388"/>
      <c r="O85" s="1388"/>
      <c r="P85" s="2325"/>
      <c r="Q85" s="121"/>
    </row>
    <row r="86" spans="1:17" ht="15" thickBot="1">
      <c r="A86" s="173"/>
      <c r="B86" s="1054"/>
      <c r="C86" s="886">
        <v>100</v>
      </c>
      <c r="D86" s="886">
        <f>C86-$K23</f>
        <v>98</v>
      </c>
      <c r="E86" s="886">
        <f>D86-$K23</f>
        <v>96</v>
      </c>
      <c r="F86" s="886">
        <f>E86-$K23</f>
        <v>94</v>
      </c>
      <c r="G86" s="886">
        <f>F86-$K23</f>
        <v>92</v>
      </c>
      <c r="H86" s="886"/>
      <c r="I86" s="886"/>
      <c r="J86" s="886"/>
      <c r="K86" s="886"/>
      <c r="L86" s="886"/>
      <c r="M86" s="887"/>
      <c r="N86" s="1389"/>
      <c r="O86" s="1389"/>
      <c r="P86" s="2325"/>
      <c r="Q86" s="121"/>
    </row>
    <row r="87" spans="1:17" s="40" customFormat="1" ht="27.75" thickTop="1">
      <c r="A87" s="1071"/>
      <c r="B87" s="1053" t="s">
        <v>1095</v>
      </c>
      <c r="C87" s="139" t="s">
        <v>3946</v>
      </c>
      <c r="D87" s="139" t="s">
        <v>3948</v>
      </c>
      <c r="E87" s="139" t="s">
        <v>3950</v>
      </c>
      <c r="F87" s="139" t="s">
        <v>3952</v>
      </c>
      <c r="G87" s="139"/>
      <c r="H87" s="139"/>
      <c r="I87" s="139"/>
      <c r="J87" s="139"/>
      <c r="K87" s="139"/>
      <c r="L87" s="1383"/>
      <c r="M87" s="1384"/>
      <c r="N87" s="1387"/>
      <c r="O87" s="1387"/>
      <c r="P87" s="2325"/>
      <c r="Q87" s="121"/>
    </row>
    <row r="88" spans="1:17" s="40" customFormat="1" ht="15" thickBot="1">
      <c r="A88" s="1071"/>
      <c r="B88" s="1054"/>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9"/>
      <c r="O88" s="1389"/>
      <c r="P88" s="2325"/>
      <c r="Q88" s="121"/>
    </row>
    <row r="89" spans="1:17" s="40" customFormat="1" ht="14.25" hidden="1" thickTop="1">
      <c r="A89" s="1071"/>
      <c r="B89" s="1053" t="str">
        <f>B27</f>
        <v>楼层</v>
      </c>
      <c r="C89" s="139"/>
      <c r="D89" s="139"/>
      <c r="E89" s="139"/>
      <c r="F89" s="1385"/>
      <c r="G89" s="139"/>
      <c r="H89" s="139"/>
      <c r="I89" s="139"/>
      <c r="J89" s="139"/>
      <c r="K89" s="139"/>
      <c r="L89" s="139"/>
      <c r="M89" s="1384"/>
      <c r="N89" s="1387"/>
      <c r="O89" s="1387"/>
      <c r="P89" s="2325"/>
      <c r="Q89" s="121"/>
    </row>
    <row r="90" spans="1:17" s="40" customFormat="1" ht="15" hidden="1"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5"/>
      <c r="Q90" s="121"/>
    </row>
    <row r="91" spans="1:17" s="1038" customFormat="1" ht="14.25" hidden="1" thickTop="1">
      <c r="A91" s="1057"/>
      <c r="B91" s="1053" t="str">
        <f>B28</f>
        <v>朝向</v>
      </c>
      <c r="C91" s="139"/>
      <c r="D91" s="139"/>
      <c r="E91" s="139"/>
      <c r="F91" s="139"/>
      <c r="G91" s="139"/>
      <c r="H91" s="1058"/>
      <c r="I91" s="1058"/>
      <c r="J91" s="1058"/>
      <c r="K91" s="1058"/>
      <c r="L91" s="1059"/>
      <c r="M91" s="1060"/>
      <c r="N91" s="1390"/>
      <c r="O91" s="1390"/>
      <c r="P91" s="2326"/>
      <c r="Q91" s="1062"/>
    </row>
    <row r="92" spans="1:17" s="1038" customFormat="1" ht="15" hidden="1"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6"/>
      <c r="Q92" s="1062"/>
    </row>
    <row r="93" spans="1:17" ht="14.25" hidden="1" thickTop="1">
      <c r="A93" s="173"/>
      <c r="B93" s="1053">
        <f>B29</f>
        <v>111</v>
      </c>
      <c r="C93" s="139"/>
      <c r="D93" s="139"/>
      <c r="E93" s="139"/>
      <c r="F93" s="139"/>
      <c r="G93" s="139"/>
      <c r="H93" s="139"/>
      <c r="I93" s="139"/>
      <c r="J93" s="139"/>
      <c r="K93" s="139"/>
      <c r="L93" s="1383"/>
      <c r="M93" s="1384"/>
      <c r="N93" s="1388"/>
      <c r="O93" s="1388"/>
      <c r="P93" s="2325"/>
      <c r="Q93" s="121"/>
    </row>
    <row r="94" spans="1:17" ht="15" hidden="1" thickBot="1">
      <c r="A94" s="173"/>
      <c r="B94" s="1054"/>
      <c r="C94" s="902"/>
      <c r="D94" s="878"/>
      <c r="E94" s="878"/>
      <c r="F94" s="878"/>
      <c r="G94" s="878"/>
      <c r="H94" s="878"/>
      <c r="I94" s="878"/>
      <c r="J94" s="878"/>
      <c r="K94" s="878"/>
      <c r="L94" s="878"/>
      <c r="M94" s="879"/>
      <c r="N94" s="1389"/>
      <c r="O94" s="1389"/>
      <c r="P94" s="2325"/>
      <c r="Q94" s="121"/>
    </row>
    <row r="95" spans="1:17" ht="14.25" hidden="1" thickTop="1">
      <c r="A95" s="173"/>
      <c r="B95" s="1053">
        <f>B30</f>
        <v>111</v>
      </c>
      <c r="C95" s="139"/>
      <c r="D95" s="139"/>
      <c r="E95" s="139"/>
      <c r="F95" s="139"/>
      <c r="G95" s="131"/>
      <c r="H95" s="131"/>
      <c r="I95" s="131"/>
      <c r="J95" s="131"/>
      <c r="K95" s="132"/>
      <c r="L95" s="133"/>
      <c r="M95" s="134"/>
      <c r="N95" s="1388"/>
      <c r="O95" s="1388"/>
      <c r="P95" s="2325"/>
      <c r="Q95" s="121"/>
    </row>
    <row r="96" spans="1:17" ht="15" hidden="1" thickBot="1">
      <c r="A96" s="173"/>
      <c r="B96" s="1054"/>
      <c r="C96" s="902"/>
      <c r="D96" s="902"/>
      <c r="E96" s="902"/>
      <c r="F96" s="902"/>
      <c r="G96" s="878"/>
      <c r="H96" s="878"/>
      <c r="I96" s="878"/>
      <c r="J96" s="878"/>
      <c r="K96" s="878"/>
      <c r="L96" s="878"/>
      <c r="M96" s="879"/>
      <c r="N96" s="1389"/>
      <c r="O96" s="1389"/>
      <c r="P96" s="2325"/>
      <c r="Q96" s="121"/>
    </row>
    <row r="97" spans="1:17" ht="14.25" hidden="1" thickTop="1">
      <c r="A97" s="173"/>
      <c r="B97" s="1053">
        <f>B31</f>
        <v>111</v>
      </c>
      <c r="C97" s="139"/>
      <c r="D97" s="139"/>
      <c r="E97" s="139"/>
      <c r="F97" s="139"/>
      <c r="G97" s="131"/>
      <c r="H97" s="131"/>
      <c r="I97" s="131"/>
      <c r="J97" s="131"/>
      <c r="K97" s="132"/>
      <c r="L97" s="133"/>
      <c r="M97" s="134"/>
      <c r="N97" s="1388"/>
      <c r="O97" s="1388"/>
      <c r="P97" s="2325"/>
      <c r="Q97" s="121"/>
    </row>
    <row r="98" spans="1:17" ht="15" hidden="1" thickBot="1">
      <c r="A98" s="173"/>
      <c r="B98" s="1054"/>
      <c r="C98" s="902"/>
      <c r="D98" s="878"/>
      <c r="E98" s="878"/>
      <c r="F98" s="878"/>
      <c r="G98" s="878"/>
      <c r="H98" s="878"/>
      <c r="I98" s="878"/>
      <c r="J98" s="878"/>
      <c r="K98" s="878"/>
      <c r="L98" s="878"/>
      <c r="M98" s="879"/>
      <c r="N98" s="1389"/>
      <c r="O98" s="1389"/>
      <c r="P98" s="2325"/>
      <c r="Q98" s="121"/>
    </row>
    <row r="99" spans="1:17" ht="14.25" hidden="1" thickTop="1">
      <c r="A99" s="173"/>
      <c r="B99" s="1055">
        <f>B32</f>
        <v>111</v>
      </c>
      <c r="C99" s="140"/>
      <c r="D99" s="140"/>
      <c r="E99" s="140"/>
      <c r="F99" s="140"/>
      <c r="G99" s="135"/>
      <c r="H99" s="135"/>
      <c r="I99" s="135"/>
      <c r="J99" s="135"/>
      <c r="K99" s="136"/>
      <c r="L99" s="137"/>
      <c r="M99" s="138"/>
      <c r="N99" s="1388"/>
      <c r="O99" s="1388"/>
      <c r="P99" s="2325"/>
      <c r="Q99" s="121"/>
    </row>
    <row r="100" spans="1:17" ht="15" hidden="1" thickBot="1">
      <c r="A100" s="174"/>
      <c r="B100" s="1070"/>
      <c r="C100" s="912"/>
      <c r="D100" s="912"/>
      <c r="E100" s="912"/>
      <c r="F100" s="912"/>
      <c r="G100" s="933"/>
      <c r="H100" s="933"/>
      <c r="I100" s="933"/>
      <c r="J100" s="933"/>
      <c r="K100" s="933"/>
      <c r="L100" s="933"/>
      <c r="M100" s="934"/>
      <c r="N100" s="1389"/>
      <c r="O100" s="1389"/>
      <c r="P100" s="2325"/>
      <c r="Q100" s="121"/>
    </row>
    <row r="101" spans="1:17" ht="14.25" thickTop="1">
      <c r="A101" s="172" t="s">
        <v>1056</v>
      </c>
      <c r="B101" s="286" t="s">
        <v>1096</v>
      </c>
      <c r="C101" s="122" t="s">
        <v>3975</v>
      </c>
      <c r="D101" s="122" t="s">
        <v>3976</v>
      </c>
      <c r="E101" s="122"/>
      <c r="F101" s="122"/>
      <c r="G101" s="122"/>
      <c r="H101" s="122"/>
      <c r="I101" s="122"/>
      <c r="J101" s="122"/>
      <c r="K101" s="123"/>
      <c r="L101" s="124"/>
      <c r="M101" s="125"/>
      <c r="N101" s="1388"/>
      <c r="O101" s="1388"/>
      <c r="P101" s="2325"/>
      <c r="Q101" s="121"/>
    </row>
    <row r="102" spans="1:17" ht="15" thickBot="1">
      <c r="A102" s="173"/>
      <c r="B102" s="1054"/>
      <c r="C102" s="886">
        <v>100</v>
      </c>
      <c r="D102" s="886">
        <f t="shared" ref="D102:M102" si="22">C102-$K33</f>
        <v>97</v>
      </c>
      <c r="E102" s="886">
        <f t="shared" si="22"/>
        <v>94</v>
      </c>
      <c r="F102" s="886">
        <f t="shared" si="22"/>
        <v>91</v>
      </c>
      <c r="G102" s="886">
        <f t="shared" si="22"/>
        <v>88</v>
      </c>
      <c r="H102" s="886">
        <f t="shared" si="22"/>
        <v>85</v>
      </c>
      <c r="I102" s="886">
        <f t="shared" si="22"/>
        <v>82</v>
      </c>
      <c r="J102" s="886">
        <f t="shared" si="22"/>
        <v>79</v>
      </c>
      <c r="K102" s="886">
        <f t="shared" si="22"/>
        <v>76</v>
      </c>
      <c r="L102" s="886">
        <f t="shared" si="22"/>
        <v>73</v>
      </c>
      <c r="M102" s="887">
        <f t="shared" si="22"/>
        <v>70</v>
      </c>
      <c r="N102" s="1389"/>
      <c r="O102" s="1389"/>
      <c r="P102" s="2325"/>
      <c r="Q102" s="121"/>
    </row>
    <row r="103" spans="1:17" ht="29.25" thickTop="1">
      <c r="A103" s="173"/>
      <c r="B103" s="1053" t="s">
        <v>1058</v>
      </c>
      <c r="C103" s="920" t="str">
        <f>C104&amp;"(含)"&amp;"-"&amp;D104</f>
        <v>0(含)-100000</v>
      </c>
      <c r="D103" s="920" t="str">
        <f t="shared" ref="D103:L103" si="23">D104&amp;"(含)"&amp;"-"&amp;E104</f>
        <v>100000(含)-200000</v>
      </c>
      <c r="E103" s="920" t="str">
        <f t="shared" si="23"/>
        <v>200000(含)-300000</v>
      </c>
      <c r="F103" s="920" t="str">
        <f t="shared" si="23"/>
        <v>300000(含)-400000</v>
      </c>
      <c r="G103" s="920" t="str">
        <f t="shared" si="23"/>
        <v>400000(含)-500000</v>
      </c>
      <c r="H103" s="920" t="str">
        <f t="shared" si="23"/>
        <v>500000(含)-</v>
      </c>
      <c r="I103" s="920" t="str">
        <f t="shared" si="23"/>
        <v>(含)-</v>
      </c>
      <c r="J103" s="920" t="str">
        <f t="shared" si="23"/>
        <v>(含)-</v>
      </c>
      <c r="K103" s="920" t="str">
        <f t="shared" si="23"/>
        <v>(含)-</v>
      </c>
      <c r="L103" s="920" t="str">
        <f t="shared" si="23"/>
        <v>(含)-</v>
      </c>
      <c r="M103" s="964" t="str">
        <f>M104&amp;"(含)"&amp;"-"&amp;P104</f>
        <v>(含)-</v>
      </c>
      <c r="N103" s="1387"/>
      <c r="O103" s="1387"/>
      <c r="P103" s="2325"/>
      <c r="Q103" s="121"/>
    </row>
    <row r="104" spans="1:17" s="1038" customFormat="1" ht="14.25">
      <c r="A104" s="1072"/>
      <c r="B104" s="1073"/>
      <c r="C104" s="937">
        <v>0</v>
      </c>
      <c r="D104" s="937">
        <v>100000</v>
      </c>
      <c r="E104" s="937">
        <v>200000</v>
      </c>
      <c r="F104" s="937">
        <v>300000</v>
      </c>
      <c r="G104" s="937">
        <v>400000</v>
      </c>
      <c r="H104" s="937">
        <v>500000</v>
      </c>
      <c r="I104" s="937"/>
      <c r="J104" s="938"/>
      <c r="K104" s="938"/>
      <c r="L104" s="939"/>
      <c r="M104" s="940"/>
      <c r="N104" s="1390"/>
      <c r="O104" s="1390"/>
      <c r="P104" s="2326"/>
      <c r="Q104" s="1062"/>
    </row>
    <row r="105" spans="1:17" s="1038" customFormat="1" ht="15" thickBot="1">
      <c r="A105" s="1057"/>
      <c r="B105" s="1054"/>
      <c r="C105" s="902">
        <v>100</v>
      </c>
      <c r="D105" s="878">
        <v>101</v>
      </c>
      <c r="E105" s="878">
        <v>102</v>
      </c>
      <c r="F105" s="878">
        <v>103</v>
      </c>
      <c r="G105" s="878">
        <v>104</v>
      </c>
      <c r="H105" s="878">
        <v>105</v>
      </c>
      <c r="I105" s="878"/>
      <c r="J105" s="878"/>
      <c r="K105" s="878"/>
      <c r="L105" s="878"/>
      <c r="M105" s="879"/>
      <c r="N105" s="1389"/>
      <c r="O105" s="1389"/>
      <c r="P105" s="2326"/>
      <c r="Q105" s="1062"/>
    </row>
    <row r="106" spans="1:17" ht="14.25" thickTop="1">
      <c r="A106" s="175"/>
      <c r="B106" s="1053" t="s">
        <v>1059</v>
      </c>
      <c r="C106" s="139" t="s">
        <v>3953</v>
      </c>
      <c r="D106" s="139" t="s">
        <v>3954</v>
      </c>
      <c r="E106" s="131" t="s">
        <v>3955</v>
      </c>
      <c r="F106" s="131"/>
      <c r="G106" s="131"/>
      <c r="H106" s="131"/>
      <c r="I106" s="131"/>
      <c r="J106" s="131"/>
      <c r="K106" s="132"/>
      <c r="L106" s="133"/>
      <c r="M106" s="134"/>
      <c r="N106" s="1388"/>
      <c r="O106" s="1388"/>
      <c r="P106" s="2325"/>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5"/>
      <c r="Q107" s="121"/>
    </row>
    <row r="108" spans="1:17" ht="14.25" thickTop="1">
      <c r="A108" s="175"/>
      <c r="B108" s="1053" t="s">
        <v>1060</v>
      </c>
      <c r="C108" s="139" t="s">
        <v>3957</v>
      </c>
      <c r="D108" s="139" t="s">
        <v>3958</v>
      </c>
      <c r="E108" s="139"/>
      <c r="F108" s="131"/>
      <c r="G108" s="131"/>
      <c r="H108" s="131"/>
      <c r="I108" s="131"/>
      <c r="J108" s="131"/>
      <c r="K108" s="132"/>
      <c r="L108" s="133"/>
      <c r="M108" s="134"/>
      <c r="N108" s="1388"/>
      <c r="O108" s="1388"/>
      <c r="P108" s="2325"/>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5"/>
      <c r="Q109" s="121"/>
    </row>
    <row r="110" spans="1:17" ht="15" thickTop="1">
      <c r="A110" s="175"/>
      <c r="B110" s="1053" t="s">
        <v>1061</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5"/>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5"/>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5"/>
      <c r="Q112" s="121"/>
    </row>
    <row r="113" spans="1:17" s="1038" customFormat="1" ht="14.25" thickTop="1">
      <c r="A113" s="1072"/>
      <c r="B113" s="1053" t="s">
        <v>1097</v>
      </c>
      <c r="C113" s="139" t="s">
        <v>3959</v>
      </c>
      <c r="D113" s="139" t="s">
        <v>3960</v>
      </c>
      <c r="E113" s="139" t="s">
        <v>3961</v>
      </c>
      <c r="F113" s="139"/>
      <c r="G113" s="139"/>
      <c r="H113" s="131"/>
      <c r="I113" s="131"/>
      <c r="J113" s="131"/>
      <c r="K113" s="132"/>
      <c r="L113" s="133"/>
      <c r="M113" s="134"/>
      <c r="N113" s="1390"/>
      <c r="O113" s="1390"/>
      <c r="P113" s="2326"/>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6"/>
      <c r="Q114" s="1062"/>
    </row>
    <row r="115" spans="1:17" ht="14.25" thickTop="1">
      <c r="A115" s="175"/>
      <c r="B115" s="1053" t="s">
        <v>1098</v>
      </c>
      <c r="C115" s="139" t="s">
        <v>3963</v>
      </c>
      <c r="D115" s="139" t="s">
        <v>3964</v>
      </c>
      <c r="E115" s="131"/>
      <c r="F115" s="131"/>
      <c r="G115" s="131"/>
      <c r="H115" s="131"/>
      <c r="I115" s="131"/>
      <c r="J115" s="131"/>
      <c r="K115" s="132"/>
      <c r="L115" s="133"/>
      <c r="M115" s="134"/>
      <c r="N115" s="1388"/>
      <c r="O115" s="1388"/>
      <c r="P115" s="2325"/>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5"/>
      <c r="Q116" s="121"/>
    </row>
    <row r="117" spans="1:17" ht="14.25" thickTop="1">
      <c r="A117" s="175"/>
      <c r="B117" s="1053" t="s">
        <v>2634</v>
      </c>
      <c r="C117" s="139" t="s">
        <v>3965</v>
      </c>
      <c r="D117" s="139" t="s">
        <v>3966</v>
      </c>
      <c r="E117" s="139" t="s">
        <v>3967</v>
      </c>
      <c r="F117" s="139" t="s">
        <v>3968</v>
      </c>
      <c r="G117" s="139"/>
      <c r="H117" s="131"/>
      <c r="I117" s="131"/>
      <c r="J117" s="131"/>
      <c r="K117" s="132"/>
      <c r="L117" s="133"/>
      <c r="M117" s="134"/>
      <c r="N117" s="1388"/>
      <c r="O117" s="1388"/>
      <c r="P117" s="2325"/>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5"/>
      <c r="Q118" s="121"/>
    </row>
    <row r="119" spans="1:17" ht="14.25" thickTop="1">
      <c r="A119" s="175"/>
      <c r="B119" s="211" t="s">
        <v>1063</v>
      </c>
      <c r="C119" s="131" t="s">
        <v>3969</v>
      </c>
      <c r="D119" s="131" t="s">
        <v>3971</v>
      </c>
      <c r="E119" s="131"/>
      <c r="F119" s="131"/>
      <c r="G119" s="131"/>
      <c r="H119" s="131"/>
      <c r="I119" s="131"/>
      <c r="J119" s="131"/>
      <c r="K119" s="131"/>
      <c r="L119" s="198"/>
      <c r="M119" s="199"/>
      <c r="N119" s="1389"/>
      <c r="O119" s="1389"/>
      <c r="P119" s="2330"/>
      <c r="Q119" s="201"/>
    </row>
    <row r="120" spans="1:17" ht="15" thickBot="1">
      <c r="A120" s="173"/>
      <c r="B120" s="1054"/>
      <c r="C120" s="924">
        <v>100</v>
      </c>
      <c r="D120" s="886">
        <f>C120-$K41</f>
        <v>95</v>
      </c>
      <c r="E120" s="886">
        <f t="shared" ref="E120:M120" si="29">D120-$K41</f>
        <v>90</v>
      </c>
      <c r="F120" s="886">
        <f t="shared" si="29"/>
        <v>85</v>
      </c>
      <c r="G120" s="886">
        <f t="shared" si="29"/>
        <v>80</v>
      </c>
      <c r="H120" s="886">
        <f t="shared" si="29"/>
        <v>75</v>
      </c>
      <c r="I120" s="886">
        <f t="shared" si="29"/>
        <v>70</v>
      </c>
      <c r="J120" s="886">
        <f t="shared" si="29"/>
        <v>65</v>
      </c>
      <c r="K120" s="886">
        <f t="shared" si="29"/>
        <v>60</v>
      </c>
      <c r="L120" s="886">
        <f t="shared" si="29"/>
        <v>55</v>
      </c>
      <c r="M120" s="886">
        <f t="shared" si="29"/>
        <v>50</v>
      </c>
      <c r="N120" s="1389"/>
      <c r="O120" s="1389"/>
      <c r="P120" s="2325"/>
      <c r="Q120" s="121"/>
    </row>
    <row r="121" spans="1:17" s="1038" customFormat="1" ht="15" thickTop="1">
      <c r="A121" s="1072"/>
      <c r="B121" s="1053" t="s">
        <v>1064</v>
      </c>
      <c r="C121" s="896" t="s">
        <v>3949</v>
      </c>
      <c r="D121" s="896"/>
      <c r="E121" s="896"/>
      <c r="F121" s="925"/>
      <c r="G121" s="897"/>
      <c r="H121" s="897"/>
      <c r="I121" s="897"/>
      <c r="J121" s="897"/>
      <c r="K121" s="897"/>
      <c r="L121" s="898"/>
      <c r="M121" s="899"/>
      <c r="N121" s="1390"/>
      <c r="O121" s="1390"/>
      <c r="P121" s="2326"/>
      <c r="Q121" s="1062"/>
    </row>
    <row r="122" spans="1:17" s="1038" customFormat="1" ht="15" thickBot="1">
      <c r="A122" s="1057"/>
      <c r="B122" s="1052"/>
      <c r="C122" s="902">
        <v>100</v>
      </c>
      <c r="D122" s="902"/>
      <c r="E122" s="902"/>
      <c r="F122" s="902"/>
      <c r="G122" s="902"/>
      <c r="H122" s="902"/>
      <c r="I122" s="902"/>
      <c r="J122" s="902"/>
      <c r="K122" s="902"/>
      <c r="L122" s="902"/>
      <c r="M122" s="902"/>
      <c r="N122" s="1390"/>
      <c r="O122" s="1390"/>
      <c r="P122" s="2326"/>
      <c r="Q122" s="1062"/>
    </row>
    <row r="123" spans="1:17" ht="14.25" thickTop="1">
      <c r="A123" s="175"/>
      <c r="B123" s="1053" t="s">
        <v>1066</v>
      </c>
      <c r="C123" s="139" t="s">
        <v>3957</v>
      </c>
      <c r="D123" s="139" t="s">
        <v>3972</v>
      </c>
      <c r="E123" s="139" t="s">
        <v>3973</v>
      </c>
      <c r="F123" s="131"/>
      <c r="G123" s="131"/>
      <c r="H123" s="131"/>
      <c r="I123" s="131"/>
      <c r="J123" s="131"/>
      <c r="K123" s="132"/>
      <c r="L123" s="133"/>
      <c r="M123" s="134"/>
      <c r="N123" s="1388"/>
      <c r="O123" s="1388"/>
      <c r="P123" s="2325"/>
      <c r="Q123" s="121"/>
    </row>
    <row r="124" spans="1:17" ht="15" thickBot="1">
      <c r="A124" s="173"/>
      <c r="B124" s="1054"/>
      <c r="C124" s="886">
        <v>100</v>
      </c>
      <c r="D124" s="886">
        <f t="shared" ref="D124:M124" si="30">C124-$K43</f>
        <v>95</v>
      </c>
      <c r="E124" s="886">
        <f t="shared" si="30"/>
        <v>90</v>
      </c>
      <c r="F124" s="886">
        <f t="shared" si="30"/>
        <v>85</v>
      </c>
      <c r="G124" s="886">
        <f t="shared" si="30"/>
        <v>80</v>
      </c>
      <c r="H124" s="886">
        <f t="shared" si="30"/>
        <v>75</v>
      </c>
      <c r="I124" s="886">
        <f t="shared" si="30"/>
        <v>70</v>
      </c>
      <c r="J124" s="886">
        <f t="shared" si="30"/>
        <v>65</v>
      </c>
      <c r="K124" s="886">
        <f t="shared" si="30"/>
        <v>60</v>
      </c>
      <c r="L124" s="886">
        <f t="shared" si="30"/>
        <v>55</v>
      </c>
      <c r="M124" s="887">
        <f t="shared" si="30"/>
        <v>50</v>
      </c>
      <c r="N124" s="1389"/>
      <c r="O124" s="1389"/>
      <c r="P124" s="2325"/>
      <c r="Q124" s="121"/>
    </row>
    <row r="125" spans="1:17" ht="27.75" thickTop="1">
      <c r="A125" s="175"/>
      <c r="B125" s="1053" t="s">
        <v>1067</v>
      </c>
      <c r="C125" s="920" t="s">
        <v>1017</v>
      </c>
      <c r="D125" s="920" t="s">
        <v>1018</v>
      </c>
      <c r="E125" s="920" t="s">
        <v>1019</v>
      </c>
      <c r="F125" s="920" t="s">
        <v>1020</v>
      </c>
      <c r="G125" s="920" t="s">
        <v>1021</v>
      </c>
      <c r="H125" s="881"/>
      <c r="I125" s="881"/>
      <c r="J125" s="881"/>
      <c r="K125" s="882"/>
      <c r="L125" s="883"/>
      <c r="M125" s="884"/>
      <c r="N125" s="1388"/>
      <c r="O125" s="1388"/>
      <c r="P125" s="2326"/>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5"/>
      <c r="Q126" s="121"/>
    </row>
    <row r="127" spans="1:17" s="1038" customFormat="1" ht="14.25" hidden="1" thickTop="1">
      <c r="A127" s="1072"/>
      <c r="B127" s="1053">
        <f>B45</f>
        <v>111</v>
      </c>
      <c r="C127" s="139"/>
      <c r="D127" s="139"/>
      <c r="E127" s="139"/>
      <c r="F127" s="139"/>
      <c r="G127" s="139"/>
      <c r="H127" s="1058"/>
      <c r="I127" s="1058"/>
      <c r="J127" s="1058"/>
      <c r="K127" s="1058"/>
      <c r="L127" s="1059"/>
      <c r="M127" s="1060"/>
      <c r="N127" s="1390"/>
      <c r="O127" s="1390"/>
      <c r="P127" s="2326"/>
      <c r="Q127" s="1062"/>
    </row>
    <row r="128" spans="1:17" s="1038" customFormat="1" ht="15" hidden="1" thickBot="1">
      <c r="A128" s="1057"/>
      <c r="B128" s="1054"/>
      <c r="C128" s="902"/>
      <c r="D128" s="878"/>
      <c r="E128" s="878"/>
      <c r="F128" s="878"/>
      <c r="G128" s="902"/>
      <c r="H128" s="904"/>
      <c r="I128" s="904"/>
      <c r="J128" s="904"/>
      <c r="K128" s="904"/>
      <c r="L128" s="904"/>
      <c r="M128" s="905"/>
      <c r="N128" s="1390"/>
      <c r="O128" s="1390"/>
      <c r="P128" s="2326"/>
      <c r="Q128" s="1062"/>
    </row>
    <row r="129" spans="1:17" ht="14.25" hidden="1" thickTop="1">
      <c r="A129" s="175"/>
      <c r="B129" s="1053">
        <f>B46</f>
        <v>111</v>
      </c>
      <c r="C129" s="139"/>
      <c r="D129" s="139"/>
      <c r="E129" s="139"/>
      <c r="F129" s="139"/>
      <c r="G129" s="131"/>
      <c r="H129" s="131"/>
      <c r="I129" s="131"/>
      <c r="J129" s="131"/>
      <c r="K129" s="132"/>
      <c r="L129" s="133"/>
      <c r="M129" s="134"/>
      <c r="N129" s="1388"/>
      <c r="O129" s="1388"/>
      <c r="P129" s="2325"/>
      <c r="Q129" s="121"/>
    </row>
    <row r="130" spans="1:17" ht="15" hidden="1" thickBot="1">
      <c r="A130" s="173"/>
      <c r="B130" s="1054"/>
      <c r="C130" s="902"/>
      <c r="D130" s="902"/>
      <c r="E130" s="902"/>
      <c r="F130" s="902"/>
      <c r="G130" s="878"/>
      <c r="H130" s="878"/>
      <c r="I130" s="878"/>
      <c r="J130" s="878"/>
      <c r="K130" s="878"/>
      <c r="L130" s="878"/>
      <c r="M130" s="879"/>
      <c r="N130" s="1389"/>
      <c r="O130" s="1389"/>
      <c r="P130" s="2325"/>
      <c r="Q130" s="121"/>
    </row>
    <row r="131" spans="1:17" ht="14.25" hidden="1" thickTop="1">
      <c r="A131" s="175"/>
      <c r="B131" s="1055">
        <f>B47</f>
        <v>111</v>
      </c>
      <c r="C131" s="140"/>
      <c r="D131" s="140"/>
      <c r="E131" s="140"/>
      <c r="F131" s="140"/>
      <c r="G131" s="135"/>
      <c r="H131" s="135"/>
      <c r="I131" s="135"/>
      <c r="J131" s="135"/>
      <c r="K131" s="140"/>
      <c r="L131" s="141"/>
      <c r="M131" s="138"/>
      <c r="N131" s="1388"/>
      <c r="O131" s="1388"/>
      <c r="P131" s="2325"/>
      <c r="Q131" s="121"/>
    </row>
    <row r="132" spans="1:17" ht="15" hidden="1" thickBot="1">
      <c r="A132" s="174"/>
      <c r="B132" s="1070"/>
      <c r="C132" s="912"/>
      <c r="D132" s="912"/>
      <c r="E132" s="912"/>
      <c r="F132" s="912"/>
      <c r="G132" s="933"/>
      <c r="H132" s="933"/>
      <c r="I132" s="933"/>
      <c r="J132" s="933"/>
      <c r="K132" s="933"/>
      <c r="L132" s="933"/>
      <c r="M132" s="934"/>
      <c r="N132" s="1389"/>
      <c r="O132" s="1389"/>
      <c r="P132" s="2325"/>
      <c r="Q132" s="121"/>
    </row>
    <row r="133" spans="1:17" ht="14.2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1103</v>
      </c>
      <c r="B1" s="3114" t="s">
        <v>1104</v>
      </c>
      <c r="C1" s="3108" t="s">
        <v>1105</v>
      </c>
      <c r="D1" s="3099"/>
      <c r="E1" s="3104"/>
      <c r="F1" s="3101"/>
      <c r="G1" s="3103" t="s">
        <v>1106</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1107</v>
      </c>
      <c r="B2" s="2840" t="e">
        <f ca="1">IF(C2="——",ROUND(C43*D3/10000,0),ROUND(C43*D3/10000,0)-D2)</f>
        <v>#DIV/0!</v>
      </c>
      <c r="C2" s="3093"/>
      <c r="D2" s="2338" t="e">
        <f ca="1">SUMIF(INDIRECT("'"&amp;F2&amp;"'"&amp;"!A:A"),"承租人权益价值",INDIRECT("'"&amp;F2&amp;"'"&amp;"!c:c"))</f>
        <v>#REF!</v>
      </c>
      <c r="E2" s="3094" t="s">
        <v>869</v>
      </c>
      <c r="F2" s="3095"/>
      <c r="G2" s="2314"/>
      <c r="H2" s="2314"/>
      <c r="I2" s="2314"/>
      <c r="J2" s="2314"/>
      <c r="K2" s="2314"/>
      <c r="L2" s="2315"/>
      <c r="M2" s="2316"/>
      <c r="N2" s="2316"/>
      <c r="O2" s="2316"/>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2">
        <f>IF(D1="",'数据-汇总表'!E3,SUMIF('数据-汇总表'!$C19:$C33,D1,'数据-汇总表'!$E19:$E33))</f>
        <v>165498.45000000001</v>
      </c>
      <c r="E3" s="2314"/>
      <c r="F3" s="2313"/>
      <c r="G3" s="2314"/>
      <c r="H3" s="2314"/>
      <c r="I3" s="2314"/>
      <c r="J3" s="2314"/>
      <c r="K3" s="2317"/>
      <c r="L3" s="2315"/>
      <c r="M3" s="2316"/>
      <c r="N3" s="2316"/>
      <c r="O3" s="2316"/>
      <c r="P3" s="1333"/>
      <c r="Q3" s="1333"/>
      <c r="R3" s="1333"/>
      <c r="S3" s="1333"/>
      <c r="T3" s="1333"/>
      <c r="U3" s="1333"/>
      <c r="V3" s="1333"/>
      <c r="W3" s="1333"/>
      <c r="X3" s="1333"/>
      <c r="Y3" s="1333"/>
      <c r="Z3" s="1333"/>
      <c r="AA3" s="1333"/>
      <c r="AB3" s="1409"/>
      <c r="AC3" s="1391"/>
    </row>
    <row r="4" spans="1:29">
      <c r="A4" s="143" t="s">
        <v>1110</v>
      </c>
      <c r="B4" s="144"/>
      <c r="C4" s="3802" t="s">
        <v>1111</v>
      </c>
      <c r="D4" s="3803"/>
      <c r="E4" s="3804" t="s">
        <v>1112</v>
      </c>
      <c r="F4" s="3805"/>
      <c r="G4" s="3802" t="s">
        <v>1113</v>
      </c>
      <c r="H4" s="3803"/>
      <c r="I4" s="3802" t="s">
        <v>1114</v>
      </c>
      <c r="J4" s="3803"/>
      <c r="K4" s="187" t="s">
        <v>1115</v>
      </c>
      <c r="L4" s="2291"/>
      <c r="M4" s="2292"/>
      <c r="N4" s="2292"/>
      <c r="O4" s="2292"/>
      <c r="P4" s="3806" t="s">
        <v>1110</v>
      </c>
      <c r="Q4" s="3807"/>
      <c r="R4" s="3789" t="s">
        <v>1112</v>
      </c>
      <c r="S4" s="3790"/>
      <c r="T4" s="3789" t="s">
        <v>1113</v>
      </c>
      <c r="U4" s="3790"/>
      <c r="V4" s="3814" t="s">
        <v>1114</v>
      </c>
      <c r="W4" s="3814"/>
      <c r="X4" s="1339"/>
      <c r="Y4" s="3789" t="s">
        <v>1110</v>
      </c>
      <c r="Z4" s="3790"/>
      <c r="AA4" s="3784" t="s">
        <v>1112</v>
      </c>
      <c r="AB4" s="3785" t="s">
        <v>1113</v>
      </c>
      <c r="AC4" s="3784" t="s">
        <v>1114</v>
      </c>
    </row>
    <row r="5" spans="1:29">
      <c r="A5" s="146"/>
      <c r="B5" s="147"/>
      <c r="C5" s="3795" t="s">
        <v>1116</v>
      </c>
      <c r="D5" s="3796"/>
      <c r="E5" s="3793" t="s">
        <v>1117</v>
      </c>
      <c r="F5" s="3794"/>
      <c r="G5" s="3795" t="s">
        <v>1118</v>
      </c>
      <c r="H5" s="3796"/>
      <c r="I5" s="3795" t="s">
        <v>1119</v>
      </c>
      <c r="J5" s="3796"/>
      <c r="K5" s="187"/>
      <c r="L5" s="2291"/>
      <c r="M5" s="2292"/>
      <c r="N5" s="2292"/>
      <c r="O5" s="2292"/>
      <c r="P5" s="3808"/>
      <c r="Q5" s="3809"/>
      <c r="R5" s="3791"/>
      <c r="S5" s="3792"/>
      <c r="T5" s="3791"/>
      <c r="U5" s="3792"/>
      <c r="V5" s="3814"/>
      <c r="W5" s="3814"/>
      <c r="X5" s="1339"/>
      <c r="Y5" s="3791"/>
      <c r="Z5" s="3792"/>
      <c r="AA5" s="3785"/>
      <c r="AB5" s="3785"/>
      <c r="AC5" s="3785"/>
    </row>
    <row r="6" spans="1:29" ht="14.25" thickBot="1">
      <c r="A6" s="148"/>
      <c r="B6" s="149"/>
      <c r="C6" s="3797" t="s">
        <v>1120</v>
      </c>
      <c r="D6" s="3798"/>
      <c r="E6" s="3799" t="s">
        <v>1120</v>
      </c>
      <c r="F6" s="3800"/>
      <c r="G6" s="3797" t="s">
        <v>1120</v>
      </c>
      <c r="H6" s="3798"/>
      <c r="I6" s="3797" t="s">
        <v>1120</v>
      </c>
      <c r="J6" s="3798"/>
      <c r="K6" s="187" t="s">
        <v>1121</v>
      </c>
      <c r="L6" s="2291"/>
      <c r="M6" s="2292"/>
      <c r="N6" s="2292"/>
      <c r="O6" s="2292"/>
      <c r="P6" s="3810"/>
      <c r="Q6" s="3811"/>
      <c r="R6" s="3791"/>
      <c r="S6" s="3792"/>
      <c r="T6" s="3812"/>
      <c r="U6" s="3813"/>
      <c r="V6" s="3814"/>
      <c r="W6" s="3814"/>
      <c r="X6" s="1339"/>
      <c r="Y6" s="3812"/>
      <c r="Z6" s="3813"/>
      <c r="AA6" s="3786"/>
      <c r="AB6" s="3786"/>
      <c r="AC6" s="3786"/>
    </row>
    <row r="7" spans="1:29" s="40" customFormat="1" ht="15" thickBot="1">
      <c r="A7" s="1013" t="s">
        <v>1122</v>
      </c>
      <c r="B7" s="1014"/>
      <c r="C7" s="753">
        <f>'数据-取费表'!B2</f>
        <v>42970</v>
      </c>
      <c r="D7" s="754">
        <v>100</v>
      </c>
      <c r="E7" s="1016"/>
      <c r="F7" s="756">
        <f>SUMIF(52:52,YEAR(E7)&amp;"-"&amp;MONTH(E7),53:53)</f>
        <v>0</v>
      </c>
      <c r="G7" s="1016"/>
      <c r="H7" s="754">
        <f>SUMIF(52:52,YEAR(G7)&amp;"-"&amp;MONTH(G7),53:53)</f>
        <v>0</v>
      </c>
      <c r="I7" s="1016"/>
      <c r="J7" s="754">
        <f>SUMIF(52:52,YEAR(I7)&amp;"-"&amp;MONTH(I7),53:53)</f>
        <v>0</v>
      </c>
      <c r="K7" s="1018"/>
      <c r="L7" s="2293"/>
      <c r="M7" s="2255"/>
      <c r="N7" s="2255"/>
      <c r="O7" s="2255"/>
      <c r="P7" s="3787" t="s">
        <v>1122</v>
      </c>
      <c r="Q7" s="3815"/>
      <c r="R7" s="1341" t="s">
        <v>63</v>
      </c>
      <c r="S7" s="1342">
        <f t="shared" ref="S7:S15" si="0">F7</f>
        <v>0</v>
      </c>
      <c r="T7" s="1341" t="s">
        <v>63</v>
      </c>
      <c r="U7" s="1342">
        <f t="shared" ref="U7:U15" si="1">H7</f>
        <v>0</v>
      </c>
      <c r="V7" s="1341" t="s">
        <v>63</v>
      </c>
      <c r="W7" s="1342">
        <f t="shared" ref="W7:W15" si="2">J7</f>
        <v>0</v>
      </c>
      <c r="X7" s="287"/>
      <c r="Y7" s="3787" t="s">
        <v>1122</v>
      </c>
      <c r="Z7" s="3788"/>
      <c r="AA7" s="1343" t="e">
        <f>D7/F7</f>
        <v>#DIV/0!</v>
      </c>
      <c r="AB7" s="1343" t="e">
        <f>D7/H7</f>
        <v>#DIV/0!</v>
      </c>
      <c r="AC7" s="1343" t="e">
        <f>D7/J7</f>
        <v>#DIV/0!</v>
      </c>
    </row>
    <row r="8" spans="1:29" s="40" customFormat="1" ht="15" thickBot="1">
      <c r="A8" s="1013" t="s">
        <v>1123</v>
      </c>
      <c r="B8" s="1014"/>
      <c r="C8" s="1019" t="s">
        <v>153</v>
      </c>
      <c r="D8" s="754">
        <v>100</v>
      </c>
      <c r="E8" s="1019"/>
      <c r="F8" s="756">
        <f>SUMIF(55:55,E8,56:56)-SUMIF(55:55,C8,56:56)+100</f>
        <v>0</v>
      </c>
      <c r="G8" s="1019"/>
      <c r="H8" s="754">
        <f>SUMIF(55:55,G8,56:56)-SUMIF(55:55,C8,56:56)+100</f>
        <v>0</v>
      </c>
      <c r="I8" s="1019"/>
      <c r="J8" s="754">
        <f>SUMIF(55:55,I8,56:56)-SUMIF(55:55,C8,56:56)+100</f>
        <v>0</v>
      </c>
      <c r="K8" s="1018"/>
      <c r="L8" s="2293"/>
      <c r="M8" s="2255"/>
      <c r="N8" s="2255"/>
      <c r="O8" s="2255"/>
      <c r="P8" s="3787" t="s">
        <v>1022</v>
      </c>
      <c r="Q8" s="3788"/>
      <c r="R8" s="1341" t="s">
        <v>63</v>
      </c>
      <c r="S8" s="1342">
        <f t="shared" si="0"/>
        <v>0</v>
      </c>
      <c r="T8" s="1341" t="s">
        <v>63</v>
      </c>
      <c r="U8" s="1342">
        <f t="shared" si="1"/>
        <v>0</v>
      </c>
      <c r="V8" s="1341" t="s">
        <v>63</v>
      </c>
      <c r="W8" s="1342">
        <f t="shared" si="2"/>
        <v>0</v>
      </c>
      <c r="X8" s="287"/>
      <c r="Y8" s="3787" t="s">
        <v>1022</v>
      </c>
      <c r="Z8" s="3788"/>
      <c r="AA8" s="1343" t="e">
        <f t="shared" ref="AA8:AA40" si="3">D8/F8</f>
        <v>#DIV/0!</v>
      </c>
      <c r="AB8" s="1343" t="e">
        <f t="shared" ref="AB8:AB40" si="4">D8/H8</f>
        <v>#DIV/0!</v>
      </c>
      <c r="AC8" s="1343" t="e">
        <f t="shared" ref="AC8:AC40" si="5">D8/J8</f>
        <v>#DIV/0!</v>
      </c>
    </row>
    <row r="9" spans="1:29" s="40" customFormat="1" ht="14.25">
      <c r="A9" s="1020" t="s">
        <v>1023</v>
      </c>
      <c r="B9" s="62" t="s">
        <v>1024</v>
      </c>
      <c r="C9" s="1345"/>
      <c r="D9" s="425">
        <v>100</v>
      </c>
      <c r="E9" s="1347"/>
      <c r="F9" s="425">
        <f>SUMIF(57:57,E9,58:58)-SUMIF(57:57,C9,58:58)+100</f>
        <v>100</v>
      </c>
      <c r="G9" s="1346"/>
      <c r="H9" s="425">
        <f>SUMIF(57:57,G9,58:58)-SUMIF(57:57,C9,58:58)+100</f>
        <v>100</v>
      </c>
      <c r="I9" s="1346"/>
      <c r="J9" s="425">
        <f>SUMIF(57:57,I9,58:58)-SUMIF(57:57,C9,58:58)+100</f>
        <v>100</v>
      </c>
      <c r="K9" s="1018"/>
      <c r="L9" s="2293"/>
      <c r="M9" s="2255"/>
      <c r="N9" s="2255"/>
      <c r="O9" s="2334"/>
      <c r="P9" s="3819" t="s">
        <v>65</v>
      </c>
      <c r="Q9" s="7" t="str">
        <f t="shared" ref="Q9:Q15" si="6">B9</f>
        <v>用途</v>
      </c>
      <c r="R9" s="1341" t="s">
        <v>63</v>
      </c>
      <c r="S9" s="1342">
        <f t="shared" si="0"/>
        <v>100</v>
      </c>
      <c r="T9" s="1341" t="s">
        <v>63</v>
      </c>
      <c r="U9" s="1342">
        <f t="shared" si="1"/>
        <v>100</v>
      </c>
      <c r="V9" s="1341" t="s">
        <v>63</v>
      </c>
      <c r="W9" s="1342">
        <f t="shared" si="2"/>
        <v>100</v>
      </c>
      <c r="X9" s="287"/>
      <c r="Y9" s="3625" t="s">
        <v>65</v>
      </c>
      <c r="Z9" s="288" t="str">
        <f t="shared" ref="Z9:Z15" si="7">Q9</f>
        <v>用途</v>
      </c>
      <c r="AA9" s="1343">
        <f t="shared" si="3"/>
        <v>1</v>
      </c>
      <c r="AB9" s="1343">
        <f t="shared" si="4"/>
        <v>1</v>
      </c>
      <c r="AC9" s="1343">
        <f t="shared" si="5"/>
        <v>1</v>
      </c>
    </row>
    <row r="10" spans="1:29" s="92" customFormat="1" ht="27">
      <c r="A10" s="150"/>
      <c r="B10" s="12" t="s">
        <v>104</v>
      </c>
      <c r="C10" s="1348"/>
      <c r="D10" s="426">
        <v>100</v>
      </c>
      <c r="E10" s="1348"/>
      <c r="F10" s="426">
        <f>SUMIF(59:59,E10,60:60)-SUMIF(59:59,C10,60:60)+100</f>
        <v>100</v>
      </c>
      <c r="G10" s="1349"/>
      <c r="H10" s="426">
        <f>SUMIF(59:59,G10,60:60)-SUMIF(59:59,C10,60:60)+100</f>
        <v>100</v>
      </c>
      <c r="I10" s="1348"/>
      <c r="J10" s="426">
        <f>SUMIF(59:59,I10,60:60)-SUMIF(59:59,C10,60:60)+100</f>
        <v>100</v>
      </c>
      <c r="K10" s="954"/>
      <c r="L10" s="2294"/>
      <c r="M10" s="2295"/>
      <c r="N10" s="2295"/>
      <c r="O10" s="2335"/>
      <c r="P10" s="3819"/>
      <c r="Q10" s="7" t="str">
        <f t="shared" si="6"/>
        <v>土地使用年限（年）</v>
      </c>
      <c r="R10" s="1341" t="s">
        <v>63</v>
      </c>
      <c r="S10" s="1342">
        <f t="shared" si="0"/>
        <v>100</v>
      </c>
      <c r="T10" s="1341" t="s">
        <v>63</v>
      </c>
      <c r="U10" s="1342">
        <f t="shared" si="1"/>
        <v>100</v>
      </c>
      <c r="V10" s="1341" t="s">
        <v>63</v>
      </c>
      <c r="W10" s="1342">
        <f t="shared" si="2"/>
        <v>100</v>
      </c>
      <c r="X10" s="287"/>
      <c r="Y10" s="3625"/>
      <c r="Z10" s="288" t="str">
        <f t="shared" si="7"/>
        <v>土地使用年限（年）</v>
      </c>
      <c r="AA10" s="1343">
        <f t="shared" si="3"/>
        <v>1</v>
      </c>
      <c r="AB10" s="1343">
        <f t="shared" si="4"/>
        <v>1</v>
      </c>
      <c r="AC10" s="1343">
        <f t="shared" si="5"/>
        <v>1</v>
      </c>
    </row>
    <row r="11" spans="1:29" ht="15">
      <c r="A11" s="151"/>
      <c r="B11" s="12" t="s">
        <v>91</v>
      </c>
      <c r="C11" s="771"/>
      <c r="D11" s="426">
        <v>100</v>
      </c>
      <c r="E11" s="771"/>
      <c r="F11" s="426" t="e">
        <f>LOOKUP(E11,62:62,63:63)-LOOKUP(C11,62:62,63:63)+100</f>
        <v>#N/A</v>
      </c>
      <c r="G11" s="772"/>
      <c r="H11" s="426" t="e">
        <f>LOOKUP(G11,62:62,63:63)-LOOKUP(C11,62:62,63:63)+100</f>
        <v>#N/A</v>
      </c>
      <c r="I11" s="771"/>
      <c r="J11" s="426" t="e">
        <f>LOOKUP(I11,62:62,63:63)-LOOKUP(C11,62:62,63:63)+100</f>
        <v>#N/A</v>
      </c>
      <c r="K11" s="954"/>
      <c r="L11" s="2296"/>
      <c r="M11" s="2292"/>
      <c r="N11" s="2292"/>
      <c r="O11" s="2336"/>
      <c r="P11" s="3819"/>
      <c r="Q11" s="7" t="str">
        <f t="shared" si="6"/>
        <v>容积率</v>
      </c>
      <c r="R11" s="1341" t="s">
        <v>63</v>
      </c>
      <c r="S11" s="1342" t="e">
        <f t="shared" si="0"/>
        <v>#N/A</v>
      </c>
      <c r="T11" s="1341" t="s">
        <v>63</v>
      </c>
      <c r="U11" s="1342" t="e">
        <f t="shared" si="1"/>
        <v>#N/A</v>
      </c>
      <c r="V11" s="1341" t="s">
        <v>63</v>
      </c>
      <c r="W11" s="1342" t="e">
        <f t="shared" si="2"/>
        <v>#N/A</v>
      </c>
      <c r="X11" s="287"/>
      <c r="Y11" s="3625"/>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6">
        <f>SUMIF(64:64,E12,65:65)-SUMIF(64:64,C12,65:65)+100</f>
        <v>100</v>
      </c>
      <c r="G12" s="1410"/>
      <c r="H12" s="426">
        <f>SUMIF(64:64,G12,65:65)-SUMIF(64:64,C12,65:65)+100</f>
        <v>100</v>
      </c>
      <c r="I12" s="1357"/>
      <c r="J12" s="426">
        <f>SUMIF(64:64,I12,65:65)-SUMIF(64:64,C12,65:65)+100</f>
        <v>100</v>
      </c>
      <c r="K12" s="188"/>
      <c r="L12" s="2293"/>
      <c r="M12" s="2255"/>
      <c r="N12" s="2255"/>
      <c r="O12" s="2334"/>
      <c r="P12" s="3819"/>
      <c r="Q12" s="7">
        <f t="shared" si="6"/>
        <v>111</v>
      </c>
      <c r="R12" s="1341" t="s">
        <v>63</v>
      </c>
      <c r="S12" s="1342">
        <f t="shared" si="0"/>
        <v>100</v>
      </c>
      <c r="T12" s="1341" t="s">
        <v>63</v>
      </c>
      <c r="U12" s="1342">
        <f t="shared" si="1"/>
        <v>100</v>
      </c>
      <c r="V12" s="1341" t="s">
        <v>63</v>
      </c>
      <c r="W12" s="1342">
        <f t="shared" si="2"/>
        <v>100</v>
      </c>
      <c r="X12" s="287"/>
      <c r="Y12" s="3625"/>
      <c r="Z12" s="288">
        <f t="shared" si="7"/>
        <v>111</v>
      </c>
      <c r="AA12" s="1343">
        <f>D12/F12</f>
        <v>1</v>
      </c>
      <c r="AB12" s="1343">
        <f>D12/H12</f>
        <v>1</v>
      </c>
      <c r="AC12" s="1343">
        <f>D12/J12</f>
        <v>1</v>
      </c>
    </row>
    <row r="13" spans="1:29" ht="14.25">
      <c r="A13" s="151"/>
      <c r="B13" s="1030">
        <v>111</v>
      </c>
      <c r="C13" s="93"/>
      <c r="D13" s="777">
        <v>100</v>
      </c>
      <c r="E13" s="93"/>
      <c r="F13" s="426">
        <f>SUMIF(66:66,E13,67:67)-SUMIF(66:66,C13,67:67)+100</f>
        <v>100</v>
      </c>
      <c r="G13" s="1410"/>
      <c r="H13" s="777">
        <f>SUMIF(66:66,G13,67:67)-SUMIF(66:66,C13,67:67)+100</f>
        <v>100</v>
      </c>
      <c r="I13" s="1357"/>
      <c r="J13" s="777">
        <f>SUMIF(66:66,I13,67:67)-SUMIF(66:66,C13,67:67)+100</f>
        <v>100</v>
      </c>
      <c r="K13" s="188"/>
      <c r="L13" s="2297"/>
      <c r="M13" s="2292"/>
      <c r="N13" s="2292"/>
      <c r="O13" s="2336"/>
      <c r="P13" s="3819"/>
      <c r="Q13" s="7">
        <f t="shared" si="6"/>
        <v>111</v>
      </c>
      <c r="R13" s="1341" t="s">
        <v>63</v>
      </c>
      <c r="S13" s="1342">
        <f t="shared" si="0"/>
        <v>100</v>
      </c>
      <c r="T13" s="1341" t="s">
        <v>63</v>
      </c>
      <c r="U13" s="1342">
        <f t="shared" si="1"/>
        <v>100</v>
      </c>
      <c r="V13" s="1341" t="s">
        <v>63</v>
      </c>
      <c r="W13" s="1342">
        <f t="shared" si="2"/>
        <v>100</v>
      </c>
      <c r="X13" s="287"/>
      <c r="Y13" s="3625"/>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7"/>
      <c r="M14" s="2292"/>
      <c r="N14" s="2292"/>
      <c r="O14" s="2336"/>
      <c r="P14" s="3819"/>
      <c r="Q14" s="7">
        <f t="shared" si="6"/>
        <v>111</v>
      </c>
      <c r="R14" s="1341" t="s">
        <v>63</v>
      </c>
      <c r="S14" s="1342">
        <f t="shared" si="0"/>
        <v>100</v>
      </c>
      <c r="T14" s="1341" t="s">
        <v>63</v>
      </c>
      <c r="U14" s="1342">
        <f t="shared" si="1"/>
        <v>100</v>
      </c>
      <c r="V14" s="1341" t="s">
        <v>63</v>
      </c>
      <c r="W14" s="1342">
        <f t="shared" si="2"/>
        <v>100</v>
      </c>
      <c r="X14" s="287"/>
      <c r="Y14" s="3625"/>
      <c r="Z14" s="288">
        <f t="shared" si="7"/>
        <v>111</v>
      </c>
      <c r="AA14" s="1343">
        <f t="shared" si="3"/>
        <v>1</v>
      </c>
      <c r="AB14" s="1343">
        <f t="shared" si="4"/>
        <v>1</v>
      </c>
      <c r="AC14" s="1343">
        <f t="shared" si="5"/>
        <v>1</v>
      </c>
    </row>
    <row r="15" spans="1:29" ht="67.5">
      <c r="A15" s="155" t="s">
        <v>67</v>
      </c>
      <c r="B15" s="58" t="s">
        <v>149</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7"/>
      <c r="M15" s="2292"/>
      <c r="N15" s="2292"/>
      <c r="O15" s="2336"/>
      <c r="P15" s="3821" t="s">
        <v>67</v>
      </c>
      <c r="Q15" s="1350" t="str">
        <f t="shared" si="6"/>
        <v>产业集聚程度</v>
      </c>
      <c r="R15" s="1351" t="s">
        <v>63</v>
      </c>
      <c r="S15" s="1352">
        <f t="shared" si="0"/>
        <v>100</v>
      </c>
      <c r="T15" s="1351" t="s">
        <v>63</v>
      </c>
      <c r="U15" s="1352">
        <f t="shared" si="1"/>
        <v>100</v>
      </c>
      <c r="V15" s="1351" t="s">
        <v>63</v>
      </c>
      <c r="W15" s="1352">
        <f t="shared" si="2"/>
        <v>100</v>
      </c>
      <c r="X15" s="1339"/>
      <c r="Y15" s="3821" t="s">
        <v>67</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7"/>
      <c r="M16" s="2292"/>
      <c r="N16" s="2292"/>
      <c r="O16" s="2336"/>
      <c r="P16" s="3822"/>
      <c r="Q16" s="1350"/>
      <c r="R16" s="1351"/>
      <c r="S16" s="1352"/>
      <c r="T16" s="1351"/>
      <c r="U16" s="1352"/>
      <c r="V16" s="1351"/>
      <c r="W16" s="1352"/>
      <c r="X16" s="1339"/>
      <c r="Y16" s="3822"/>
      <c r="Z16" s="1353"/>
      <c r="AA16" s="1354">
        <v>1</v>
      </c>
      <c r="AB16" s="1354">
        <v>1</v>
      </c>
      <c r="AC16" s="1354">
        <v>1</v>
      </c>
    </row>
    <row r="17" spans="1:29" ht="94.5">
      <c r="A17" s="151"/>
      <c r="B17" s="1355" t="s">
        <v>70</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7"/>
      <c r="M17" s="2292"/>
      <c r="N17" s="2292"/>
      <c r="O17" s="2336"/>
      <c r="P17" s="3822"/>
      <c r="Q17" s="1350" t="str">
        <f>B17</f>
        <v>交通便捷度</v>
      </c>
      <c r="R17" s="1351" t="s">
        <v>63</v>
      </c>
      <c r="S17" s="1352">
        <f>F17</f>
        <v>100</v>
      </c>
      <c r="T17" s="1351" t="s">
        <v>63</v>
      </c>
      <c r="U17" s="1352">
        <f>H17</f>
        <v>100</v>
      </c>
      <c r="V17" s="1351" t="s">
        <v>63</v>
      </c>
      <c r="W17" s="1352">
        <f>J17</f>
        <v>100</v>
      </c>
      <c r="X17" s="1339"/>
      <c r="Y17" s="3822"/>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7"/>
      <c r="M18" s="2292"/>
      <c r="N18" s="2292"/>
      <c r="O18" s="2336"/>
      <c r="P18" s="3822"/>
      <c r="Q18" s="1350"/>
      <c r="R18" s="1351"/>
      <c r="S18" s="1352"/>
      <c r="T18" s="1351"/>
      <c r="U18" s="1352"/>
      <c r="V18" s="1351"/>
      <c r="W18" s="1352"/>
      <c r="X18" s="1339"/>
      <c r="Y18" s="3822"/>
      <c r="Z18" s="1353"/>
      <c r="AA18" s="1354">
        <v>1</v>
      </c>
      <c r="AB18" s="1354">
        <v>1</v>
      </c>
      <c r="AC18" s="1354">
        <v>1</v>
      </c>
    </row>
    <row r="19" spans="1:29" ht="40.5">
      <c r="A19" s="151"/>
      <c r="B19" s="1355" t="s">
        <v>2657</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7"/>
      <c r="M19" s="2292"/>
      <c r="N19" s="2292"/>
      <c r="O19" s="2336"/>
      <c r="P19" s="3822"/>
      <c r="Q19" s="1350" t="str">
        <f>B19</f>
        <v>公共配套设施</v>
      </c>
      <c r="R19" s="1351" t="s">
        <v>63</v>
      </c>
      <c r="S19" s="1352">
        <f>F19</f>
        <v>100</v>
      </c>
      <c r="T19" s="1351" t="s">
        <v>63</v>
      </c>
      <c r="U19" s="1352">
        <f>H19</f>
        <v>100</v>
      </c>
      <c r="V19" s="1351" t="s">
        <v>63</v>
      </c>
      <c r="W19" s="1352">
        <f>J19</f>
        <v>100</v>
      </c>
      <c r="X19" s="1339"/>
      <c r="Y19" s="3822"/>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7"/>
      <c r="M20" s="2292"/>
      <c r="N20" s="2292"/>
      <c r="O20" s="2336"/>
      <c r="P20" s="3822"/>
      <c r="Q20" s="1350"/>
      <c r="R20" s="1351"/>
      <c r="S20" s="1352"/>
      <c r="T20" s="1351"/>
      <c r="U20" s="1352"/>
      <c r="V20" s="1351"/>
      <c r="W20" s="1352"/>
      <c r="X20" s="1339"/>
      <c r="Y20" s="3822"/>
      <c r="Z20" s="1353"/>
      <c r="AA20" s="1354">
        <v>1</v>
      </c>
      <c r="AB20" s="1354">
        <v>1</v>
      </c>
      <c r="AC20" s="1354">
        <v>1</v>
      </c>
    </row>
    <row r="21" spans="1:29" ht="40.5">
      <c r="A21" s="151"/>
      <c r="B21" s="1411" t="s">
        <v>2660</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7"/>
      <c r="M21" s="2292"/>
      <c r="N21" s="2292"/>
      <c r="O21" s="2336"/>
      <c r="P21" s="3822"/>
      <c r="Q21" s="2742" t="str">
        <f>B21</f>
        <v>基础设施水平</v>
      </c>
      <c r="R21" s="1351" t="s">
        <v>63</v>
      </c>
      <c r="S21" s="1352">
        <f>F21</f>
        <v>100</v>
      </c>
      <c r="T21" s="1351" t="s">
        <v>63</v>
      </c>
      <c r="U21" s="1352">
        <f>H21</f>
        <v>100</v>
      </c>
      <c r="V21" s="1351" t="s">
        <v>63</v>
      </c>
      <c r="W21" s="1352">
        <f>J21</f>
        <v>100</v>
      </c>
      <c r="X21" s="2744"/>
      <c r="Y21" s="3822"/>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2"/>
      <c r="L22" s="2297"/>
      <c r="M22" s="2292"/>
      <c r="N22" s="2292"/>
      <c r="O22" s="2336"/>
      <c r="P22" s="3822"/>
      <c r="Q22" s="2742"/>
      <c r="R22" s="1351"/>
      <c r="S22" s="1352"/>
      <c r="T22" s="1351"/>
      <c r="U22" s="1352"/>
      <c r="V22" s="1351"/>
      <c r="W22" s="1352"/>
      <c r="X22" s="2744"/>
      <c r="Y22" s="3822"/>
      <c r="Z22" s="2743"/>
      <c r="AA22" s="1354">
        <v>1</v>
      </c>
      <c r="AB22" s="1354">
        <v>1</v>
      </c>
      <c r="AC22" s="1354">
        <v>1</v>
      </c>
    </row>
    <row r="23" spans="1:29" ht="81">
      <c r="A23" s="151"/>
      <c r="B23" s="1355" t="s">
        <v>141</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7"/>
      <c r="M23" s="2292"/>
      <c r="N23" s="2292"/>
      <c r="O23" s="2336"/>
      <c r="P23" s="3822"/>
      <c r="Q23" s="1350" t="str">
        <f>B23</f>
        <v>环境质量</v>
      </c>
      <c r="R23" s="1351" t="s">
        <v>63</v>
      </c>
      <c r="S23" s="1352">
        <f>F23</f>
        <v>100</v>
      </c>
      <c r="T23" s="1351" t="s">
        <v>63</v>
      </c>
      <c r="U23" s="1352">
        <f>H23</f>
        <v>100</v>
      </c>
      <c r="V23" s="1351" t="s">
        <v>63</v>
      </c>
      <c r="W23" s="1352">
        <f>J23</f>
        <v>100</v>
      </c>
      <c r="X23" s="1339"/>
      <c r="Y23" s="3822"/>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7"/>
      <c r="M24" s="2292"/>
      <c r="N24" s="2292"/>
      <c r="O24" s="2336"/>
      <c r="P24" s="3822"/>
      <c r="Q24" s="1350"/>
      <c r="R24" s="1351"/>
      <c r="S24" s="1352"/>
      <c r="T24" s="1351"/>
      <c r="U24" s="1352"/>
      <c r="V24" s="1351"/>
      <c r="W24" s="1352"/>
      <c r="X24" s="1339"/>
      <c r="Y24" s="3822"/>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822"/>
      <c r="Q25" s="1350">
        <f>B25</f>
        <v>111</v>
      </c>
      <c r="R25" s="1351" t="s">
        <v>63</v>
      </c>
      <c r="S25" s="1352">
        <f>F25</f>
        <v>100</v>
      </c>
      <c r="T25" s="1351" t="s">
        <v>63</v>
      </c>
      <c r="U25" s="1352">
        <f>H25</f>
        <v>100</v>
      </c>
      <c r="V25" s="1351" t="s">
        <v>63</v>
      </c>
      <c r="W25" s="1352">
        <f>J25</f>
        <v>100</v>
      </c>
      <c r="X25" s="1339"/>
      <c r="Y25" s="3822"/>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822"/>
      <c r="Q26" s="1350">
        <f t="shared" ref="Q26:Q40" si="11">B26</f>
        <v>111</v>
      </c>
      <c r="R26" s="1351" t="s">
        <v>63</v>
      </c>
      <c r="S26" s="1352">
        <f>F26</f>
        <v>100</v>
      </c>
      <c r="T26" s="1351" t="s">
        <v>63</v>
      </c>
      <c r="U26" s="1352">
        <f>H26</f>
        <v>100</v>
      </c>
      <c r="V26" s="1351" t="s">
        <v>63</v>
      </c>
      <c r="W26" s="1352">
        <f>J26</f>
        <v>100</v>
      </c>
      <c r="X26" s="1339"/>
      <c r="Y26" s="3822"/>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3"/>
      <c r="M27" s="2255"/>
      <c r="N27" s="2255"/>
      <c r="O27" s="2334"/>
      <c r="P27" s="3822"/>
      <c r="Q27" s="7">
        <f t="shared" si="11"/>
        <v>111</v>
      </c>
      <c r="R27" s="1341" t="s">
        <v>63</v>
      </c>
      <c r="S27" s="1342">
        <f>F27</f>
        <v>100</v>
      </c>
      <c r="T27" s="1341" t="s">
        <v>63</v>
      </c>
      <c r="U27" s="1342">
        <f>H27</f>
        <v>100</v>
      </c>
      <c r="V27" s="1341" t="s">
        <v>63</v>
      </c>
      <c r="W27" s="1342">
        <f>J27</f>
        <v>100</v>
      </c>
      <c r="X27" s="287"/>
      <c r="Y27" s="3822"/>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7"/>
      <c r="M28" s="2292"/>
      <c r="N28" s="2292"/>
      <c r="O28" s="2336"/>
      <c r="P28" s="3822"/>
      <c r="Q28" s="1350">
        <f t="shared" si="11"/>
        <v>111</v>
      </c>
      <c r="R28" s="1351" t="s">
        <v>63</v>
      </c>
      <c r="S28" s="1352">
        <f t="shared" ref="S28:S40" si="12">F28</f>
        <v>100</v>
      </c>
      <c r="T28" s="1351" t="s">
        <v>63</v>
      </c>
      <c r="U28" s="1352">
        <f t="shared" ref="U28:U40" si="13">H28</f>
        <v>100</v>
      </c>
      <c r="V28" s="1351" t="s">
        <v>63</v>
      </c>
      <c r="W28" s="1352">
        <f t="shared" ref="W28:W40" si="14">J28</f>
        <v>100</v>
      </c>
      <c r="X28" s="1339"/>
      <c r="Y28" s="3822"/>
      <c r="Z28" s="1353">
        <f t="shared" ref="Z28:Z40" si="15">Q28</f>
        <v>111</v>
      </c>
      <c r="AA28" s="1354">
        <f t="shared" si="3"/>
        <v>1</v>
      </c>
      <c r="AB28" s="1354">
        <f t="shared" si="4"/>
        <v>1</v>
      </c>
      <c r="AC28" s="1354">
        <f t="shared" si="5"/>
        <v>1</v>
      </c>
    </row>
    <row r="29" spans="1:29" ht="15">
      <c r="A29" s="160" t="s">
        <v>68</v>
      </c>
      <c r="B29" s="62" t="s">
        <v>144</v>
      </c>
      <c r="C29" s="197"/>
      <c r="D29" s="809">
        <v>100</v>
      </c>
      <c r="E29" s="197"/>
      <c r="F29" s="803">
        <f>SUMIF(88:88,E29,89:89)-SUMIF(88:88,C29,89:89)+100</f>
        <v>100</v>
      </c>
      <c r="G29" s="197"/>
      <c r="H29" s="777">
        <f>SUMIF(88:88,G29,89:89)-SUMIF(88:88,C29,89:89)+100</f>
        <v>100</v>
      </c>
      <c r="I29" s="197"/>
      <c r="J29" s="809">
        <f>SUMIF(88:88,I29,89:89)-SUMIF(88:88,C29,89:89)+100</f>
        <v>100</v>
      </c>
      <c r="K29" s="954"/>
      <c r="L29" s="2297"/>
      <c r="M29" s="2292"/>
      <c r="N29" s="2292"/>
      <c r="O29" s="2336"/>
      <c r="P29" s="3851" t="s">
        <v>1124</v>
      </c>
      <c r="Q29" s="1350" t="str">
        <f t="shared" si="11"/>
        <v>建筑类型</v>
      </c>
      <c r="R29" s="1351" t="s">
        <v>63</v>
      </c>
      <c r="S29" s="1352">
        <f t="shared" si="12"/>
        <v>100</v>
      </c>
      <c r="T29" s="1351" t="s">
        <v>63</v>
      </c>
      <c r="U29" s="1352">
        <f t="shared" si="13"/>
        <v>100</v>
      </c>
      <c r="V29" s="1351" t="s">
        <v>63</v>
      </c>
      <c r="W29" s="1352">
        <f t="shared" si="14"/>
        <v>100</v>
      </c>
      <c r="X29" s="1339"/>
      <c r="Y29" s="3826" t="s">
        <v>1124</v>
      </c>
      <c r="Z29" s="1353" t="str">
        <f t="shared" si="15"/>
        <v>建筑类型</v>
      </c>
      <c r="AA29" s="1354">
        <f t="shared" si="3"/>
        <v>1</v>
      </c>
      <c r="AB29" s="1354">
        <f t="shared" si="4"/>
        <v>1</v>
      </c>
      <c r="AC29" s="1354">
        <f t="shared" si="5"/>
        <v>1</v>
      </c>
    </row>
    <row r="30" spans="1:29" s="1038" customFormat="1" ht="14.25">
      <c r="A30" s="1042"/>
      <c r="B30" s="12" t="s">
        <v>74</v>
      </c>
      <c r="C30" s="811"/>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826"/>
      <c r="Q30" s="1358" t="str">
        <f t="shared" si="11"/>
        <v>项目建筑规模</v>
      </c>
      <c r="R30" s="1359" t="s">
        <v>63</v>
      </c>
      <c r="S30" s="1360" t="e">
        <f t="shared" si="12"/>
        <v>#N/A</v>
      </c>
      <c r="T30" s="1359" t="s">
        <v>63</v>
      </c>
      <c r="U30" s="1360" t="e">
        <f t="shared" si="13"/>
        <v>#N/A</v>
      </c>
      <c r="V30" s="1359" t="s">
        <v>63</v>
      </c>
      <c r="W30" s="1360" t="e">
        <f t="shared" si="14"/>
        <v>#N/A</v>
      </c>
      <c r="X30" s="1361"/>
      <c r="Y30" s="3826"/>
      <c r="Z30" s="1362" t="str">
        <f t="shared" si="15"/>
        <v>项目建筑规模</v>
      </c>
      <c r="AA30" s="1354" t="e">
        <f t="shared" si="3"/>
        <v>#N/A</v>
      </c>
      <c r="AB30" s="1354" t="e">
        <f t="shared" si="4"/>
        <v>#N/A</v>
      </c>
      <c r="AC30" s="1354" t="e">
        <f t="shared" si="5"/>
        <v>#N/A</v>
      </c>
    </row>
    <row r="31" spans="1:29" ht="15">
      <c r="A31" s="161"/>
      <c r="B31" s="12" t="s">
        <v>75</v>
      </c>
      <c r="C31" s="107"/>
      <c r="D31" s="777">
        <v>100</v>
      </c>
      <c r="E31" s="107"/>
      <c r="F31" s="803">
        <f>SUMIF(93:93,E31,94:94)-SUMIF(93:93,C31,94:94)+100</f>
        <v>100</v>
      </c>
      <c r="G31" s="107"/>
      <c r="H31" s="777">
        <f>SUMIF(93:93,G31,94:94)-SUMIF(93:93,C31,94:94)+100</f>
        <v>100</v>
      </c>
      <c r="I31" s="107"/>
      <c r="J31" s="777">
        <f>SUMIF(93:93,I31,94:94)-SUMIF(93:93,C31,94:94)+100</f>
        <v>100</v>
      </c>
      <c r="K31" s="954"/>
      <c r="L31" s="2297"/>
      <c r="M31" s="2292"/>
      <c r="N31" s="2292"/>
      <c r="O31" s="2336"/>
      <c r="P31" s="3826"/>
      <c r="Q31" s="1350" t="str">
        <f t="shared" si="11"/>
        <v>建筑结构</v>
      </c>
      <c r="R31" s="1351" t="s">
        <v>63</v>
      </c>
      <c r="S31" s="1352">
        <f t="shared" si="12"/>
        <v>100</v>
      </c>
      <c r="T31" s="1351" t="s">
        <v>63</v>
      </c>
      <c r="U31" s="1352">
        <f t="shared" si="13"/>
        <v>100</v>
      </c>
      <c r="V31" s="1351" t="s">
        <v>63</v>
      </c>
      <c r="W31" s="1352">
        <f t="shared" si="14"/>
        <v>100</v>
      </c>
      <c r="X31" s="1339"/>
      <c r="Y31" s="3826"/>
      <c r="Z31" s="1353" t="str">
        <f t="shared" si="15"/>
        <v>建筑结构</v>
      </c>
      <c r="AA31" s="1354">
        <f t="shared" si="3"/>
        <v>1</v>
      </c>
      <c r="AB31" s="1354">
        <f t="shared" si="4"/>
        <v>1</v>
      </c>
      <c r="AC31" s="1354">
        <f t="shared" si="5"/>
        <v>1</v>
      </c>
    </row>
    <row r="32" spans="1:29" ht="15">
      <c r="A32" s="161"/>
      <c r="B32" s="12" t="s">
        <v>1029</v>
      </c>
      <c r="C32" s="107"/>
      <c r="D32" s="777">
        <v>100</v>
      </c>
      <c r="E32" s="107"/>
      <c r="F32" s="803">
        <f>SUMIF(95:95,E32,96:96)-SUMIF(95:95,C32,96:96)+100</f>
        <v>100</v>
      </c>
      <c r="G32" s="107"/>
      <c r="H32" s="777">
        <f>SUMIF(95:95,G32,96:96)-SUMIF(95:95,C32,96:96)+100</f>
        <v>100</v>
      </c>
      <c r="I32" s="107"/>
      <c r="J32" s="777">
        <f>SUMIF(95:95,I32,96:96)-SUMIF(95:95,C32,96:96)+100</f>
        <v>100</v>
      </c>
      <c r="K32" s="954"/>
      <c r="L32" s="2297"/>
      <c r="M32" s="2292"/>
      <c r="N32" s="2292"/>
      <c r="O32" s="2336"/>
      <c r="P32" s="3826"/>
      <c r="Q32" s="1350" t="str">
        <f t="shared" si="11"/>
        <v>公共部分装修</v>
      </c>
      <c r="R32" s="1351" t="s">
        <v>63</v>
      </c>
      <c r="S32" s="1352">
        <f t="shared" si="12"/>
        <v>100</v>
      </c>
      <c r="T32" s="1351" t="s">
        <v>63</v>
      </c>
      <c r="U32" s="1352">
        <f t="shared" si="13"/>
        <v>100</v>
      </c>
      <c r="V32" s="1351" t="s">
        <v>63</v>
      </c>
      <c r="W32" s="1352">
        <f t="shared" si="14"/>
        <v>100</v>
      </c>
      <c r="X32" s="1339"/>
      <c r="Y32" s="3826"/>
      <c r="Z32" s="1353" t="str">
        <f t="shared" si="15"/>
        <v>公共部分装修</v>
      </c>
      <c r="AA32" s="1354">
        <f t="shared" si="3"/>
        <v>1</v>
      </c>
      <c r="AB32" s="1354">
        <f t="shared" si="4"/>
        <v>1</v>
      </c>
      <c r="AC32" s="1354">
        <f t="shared" si="5"/>
        <v>1</v>
      </c>
    </row>
    <row r="33" spans="1:29" ht="15">
      <c r="A33" s="161"/>
      <c r="B33" s="12" t="s">
        <v>1030</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7"/>
      <c r="M33" s="2292"/>
      <c r="N33" s="2292"/>
      <c r="O33" s="2336"/>
      <c r="P33" s="3826"/>
      <c r="Q33" s="1350" t="str">
        <f t="shared" si="11"/>
        <v>成新度</v>
      </c>
      <c r="R33" s="1351" t="s">
        <v>63</v>
      </c>
      <c r="S33" s="1352" t="e">
        <f t="shared" si="12"/>
        <v>#N/A</v>
      </c>
      <c r="T33" s="1351" t="s">
        <v>63</v>
      </c>
      <c r="U33" s="1352" t="e">
        <f t="shared" si="13"/>
        <v>#N/A</v>
      </c>
      <c r="V33" s="1351" t="s">
        <v>63</v>
      </c>
      <c r="W33" s="1352" t="e">
        <f t="shared" si="14"/>
        <v>#N/A</v>
      </c>
      <c r="X33" s="1339"/>
      <c r="Y33" s="3826"/>
      <c r="Z33" s="1353" t="str">
        <f t="shared" si="15"/>
        <v>成新度</v>
      </c>
      <c r="AA33" s="1354" t="e">
        <f t="shared" si="3"/>
        <v>#N/A</v>
      </c>
      <c r="AB33" s="1354" t="e">
        <f t="shared" si="4"/>
        <v>#N/A</v>
      </c>
      <c r="AC33" s="1354" t="e">
        <f t="shared" si="5"/>
        <v>#N/A</v>
      </c>
    </row>
    <row r="34" spans="1:29" s="40" customFormat="1" ht="15">
      <c r="A34" s="1040"/>
      <c r="B34" s="12" t="s">
        <v>1125</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3"/>
      <c r="M34" s="2255"/>
      <c r="N34" s="2255"/>
      <c r="O34" s="2334"/>
      <c r="P34" s="3826"/>
      <c r="Q34" s="7" t="str">
        <f t="shared" si="11"/>
        <v>物业管理</v>
      </c>
      <c r="R34" s="1341" t="s">
        <v>63</v>
      </c>
      <c r="S34" s="1342">
        <f t="shared" si="12"/>
        <v>100</v>
      </c>
      <c r="T34" s="1341" t="s">
        <v>63</v>
      </c>
      <c r="U34" s="1342">
        <f t="shared" si="13"/>
        <v>100</v>
      </c>
      <c r="V34" s="1341" t="s">
        <v>63</v>
      </c>
      <c r="W34" s="1342">
        <f t="shared" si="14"/>
        <v>100</v>
      </c>
      <c r="X34" s="287"/>
      <c r="Y34" s="3826"/>
      <c r="Z34" s="288" t="str">
        <f t="shared" si="15"/>
        <v>物业管理</v>
      </c>
      <c r="AA34" s="1343">
        <f t="shared" si="3"/>
        <v>1</v>
      </c>
      <c r="AB34" s="1343">
        <f t="shared" si="4"/>
        <v>1</v>
      </c>
      <c r="AC34" s="1343">
        <f t="shared" si="5"/>
        <v>1</v>
      </c>
    </row>
    <row r="35" spans="1:29" ht="15">
      <c r="A35" s="161"/>
      <c r="B35" s="12" t="s">
        <v>2650</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7"/>
      <c r="M35" s="2292"/>
      <c r="N35" s="2292"/>
      <c r="O35" s="2336"/>
      <c r="P35" s="3826" t="s">
        <v>68</v>
      </c>
      <c r="Q35" s="1350" t="str">
        <f t="shared" si="11"/>
        <v>市政基础设施</v>
      </c>
      <c r="R35" s="1351" t="s">
        <v>63</v>
      </c>
      <c r="S35" s="1352">
        <f t="shared" si="12"/>
        <v>100</v>
      </c>
      <c r="T35" s="1351" t="s">
        <v>63</v>
      </c>
      <c r="U35" s="1352">
        <f t="shared" si="13"/>
        <v>100</v>
      </c>
      <c r="V35" s="1351" t="s">
        <v>63</v>
      </c>
      <c r="W35" s="1352">
        <f t="shared" si="14"/>
        <v>100</v>
      </c>
      <c r="X35" s="1339"/>
      <c r="Y35" s="3826" t="s">
        <v>68</v>
      </c>
      <c r="Z35" s="1353" t="str">
        <f t="shared" si="15"/>
        <v>市政基础设施</v>
      </c>
      <c r="AA35" s="1354">
        <f t="shared" si="3"/>
        <v>1</v>
      </c>
      <c r="AB35" s="1354">
        <f t="shared" si="4"/>
        <v>1</v>
      </c>
      <c r="AC35" s="1354">
        <f t="shared" si="5"/>
        <v>1</v>
      </c>
    </row>
    <row r="36" spans="1:29" ht="15">
      <c r="A36" s="161"/>
      <c r="B36" s="12" t="s">
        <v>135</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7"/>
      <c r="M36" s="2292"/>
      <c r="N36" s="2292"/>
      <c r="O36" s="2336"/>
      <c r="P36" s="3826"/>
      <c r="Q36" s="1350" t="str">
        <f t="shared" si="11"/>
        <v>内部装修</v>
      </c>
      <c r="R36" s="1351" t="s">
        <v>63</v>
      </c>
      <c r="S36" s="1352">
        <f t="shared" si="12"/>
        <v>100</v>
      </c>
      <c r="T36" s="1351" t="s">
        <v>63</v>
      </c>
      <c r="U36" s="1352">
        <f t="shared" si="13"/>
        <v>100</v>
      </c>
      <c r="V36" s="1351" t="s">
        <v>63</v>
      </c>
      <c r="W36" s="1352">
        <f t="shared" si="14"/>
        <v>100</v>
      </c>
      <c r="X36" s="1339"/>
      <c r="Y36" s="3826"/>
      <c r="Z36" s="1353" t="str">
        <f t="shared" si="15"/>
        <v>内部装修</v>
      </c>
      <c r="AA36" s="1354">
        <f t="shared" si="3"/>
        <v>1</v>
      </c>
      <c r="AB36" s="1354">
        <f t="shared" si="4"/>
        <v>1</v>
      </c>
      <c r="AC36" s="1354">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7"/>
      <c r="M37" s="2292"/>
      <c r="N37" s="2292"/>
      <c r="O37" s="2336"/>
      <c r="P37" s="3826"/>
      <c r="Q37" s="1350" t="str">
        <f t="shared" si="11"/>
        <v>内部装修状况</v>
      </c>
      <c r="R37" s="1351" t="s">
        <v>63</v>
      </c>
      <c r="S37" s="1352">
        <f t="shared" si="12"/>
        <v>100</v>
      </c>
      <c r="T37" s="1351" t="s">
        <v>63</v>
      </c>
      <c r="U37" s="1352">
        <f t="shared" si="13"/>
        <v>100</v>
      </c>
      <c r="V37" s="1351" t="s">
        <v>63</v>
      </c>
      <c r="W37" s="1352">
        <f t="shared" si="14"/>
        <v>100</v>
      </c>
      <c r="X37" s="1339"/>
      <c r="Y37" s="3826"/>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6"/>
      <c r="M38" s="2298"/>
      <c r="N38" s="2298"/>
      <c r="O38" s="2337"/>
      <c r="P38" s="3826"/>
      <c r="Q38" s="1358">
        <f t="shared" si="11"/>
        <v>111</v>
      </c>
      <c r="R38" s="1359" t="s">
        <v>63</v>
      </c>
      <c r="S38" s="1360">
        <f t="shared" si="12"/>
        <v>100</v>
      </c>
      <c r="T38" s="1359" t="s">
        <v>63</v>
      </c>
      <c r="U38" s="1360">
        <f t="shared" si="13"/>
        <v>100</v>
      </c>
      <c r="V38" s="1359" t="s">
        <v>63</v>
      </c>
      <c r="W38" s="1360">
        <f t="shared" si="14"/>
        <v>100</v>
      </c>
      <c r="X38" s="1361"/>
      <c r="Y38" s="3826"/>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7"/>
      <c r="M39" s="2292"/>
      <c r="N39" s="2292"/>
      <c r="O39" s="2336"/>
      <c r="P39" s="3826"/>
      <c r="Q39" s="1350">
        <f t="shared" si="11"/>
        <v>111</v>
      </c>
      <c r="R39" s="1351" t="s">
        <v>63</v>
      </c>
      <c r="S39" s="1352">
        <f t="shared" si="12"/>
        <v>100</v>
      </c>
      <c r="T39" s="1351" t="s">
        <v>63</v>
      </c>
      <c r="U39" s="1352">
        <f t="shared" si="13"/>
        <v>100</v>
      </c>
      <c r="V39" s="1351" t="s">
        <v>63</v>
      </c>
      <c r="W39" s="1352">
        <f t="shared" si="14"/>
        <v>100</v>
      </c>
      <c r="X39" s="1339"/>
      <c r="Y39" s="3826"/>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7"/>
      <c r="M40" s="2292"/>
      <c r="N40" s="2292"/>
      <c r="O40" s="2336"/>
      <c r="P40" s="3827"/>
      <c r="Q40" s="1350">
        <f t="shared" si="11"/>
        <v>111</v>
      </c>
      <c r="R40" s="1351" t="s">
        <v>63</v>
      </c>
      <c r="S40" s="1352">
        <f t="shared" si="12"/>
        <v>100</v>
      </c>
      <c r="T40" s="1351" t="s">
        <v>63</v>
      </c>
      <c r="U40" s="1352">
        <f t="shared" si="13"/>
        <v>100</v>
      </c>
      <c r="V40" s="1351" t="s">
        <v>63</v>
      </c>
      <c r="W40" s="1352">
        <f t="shared" si="14"/>
        <v>100</v>
      </c>
      <c r="X40" s="1339"/>
      <c r="Y40" s="3827"/>
      <c r="Z40" s="1353">
        <f t="shared" si="15"/>
        <v>111</v>
      </c>
      <c r="AA40" s="1354">
        <f t="shared" si="3"/>
        <v>1</v>
      </c>
      <c r="AB40" s="1354">
        <f t="shared" si="4"/>
        <v>1</v>
      </c>
      <c r="AC40" s="1354">
        <f t="shared" si="5"/>
        <v>1</v>
      </c>
    </row>
    <row r="41" spans="1:29" ht="15">
      <c r="A41" s="163" t="s">
        <v>100</v>
      </c>
      <c r="B41" s="164"/>
      <c r="C41" s="2829" t="s">
        <v>23</v>
      </c>
      <c r="D41" s="2830"/>
      <c r="E41" s="2831"/>
      <c r="F41" s="2832"/>
      <c r="G41" s="2833"/>
      <c r="H41" s="2834"/>
      <c r="I41" s="2831"/>
      <c r="J41" s="2834"/>
      <c r="K41" s="1392"/>
      <c r="L41" s="2299"/>
      <c r="M41" s="2300"/>
      <c r="N41" s="2292"/>
      <c r="O41" s="2300"/>
      <c r="P41" s="3819" t="str">
        <f>A41</f>
        <v>成交单价（元/平方米）</v>
      </c>
      <c r="Q41" s="3819"/>
      <c r="R41" s="3820">
        <f>E41</f>
        <v>0</v>
      </c>
      <c r="S41" s="3820"/>
      <c r="T41" s="3820">
        <f>G41</f>
        <v>0</v>
      </c>
      <c r="U41" s="3820"/>
      <c r="V41" s="3820">
        <f>I41</f>
        <v>0</v>
      </c>
      <c r="W41" s="3820"/>
      <c r="X41" s="1364"/>
      <c r="Y41" s="1365"/>
      <c r="Z41" s="1364"/>
      <c r="AA41" s="1364"/>
      <c r="AB41" s="1364"/>
      <c r="AC41" s="1364"/>
    </row>
    <row r="42" spans="1:29" ht="15.75" thickBot="1">
      <c r="A42" s="165" t="s">
        <v>98</v>
      </c>
      <c r="B42" s="166"/>
      <c r="C42" s="2835" t="e">
        <f>R43</f>
        <v>#DIV/0!</v>
      </c>
      <c r="D42" s="2836"/>
      <c r="E42" s="2837" t="e">
        <f>R42</f>
        <v>#DIV/0!</v>
      </c>
      <c r="F42" s="2837"/>
      <c r="G42" s="2835" t="e">
        <f>T42</f>
        <v>#DIV/0!</v>
      </c>
      <c r="H42" s="2836"/>
      <c r="I42" s="2837" t="e">
        <f>V42</f>
        <v>#DIV/0!</v>
      </c>
      <c r="J42" s="2836"/>
      <c r="K42" s="1393"/>
      <c r="L42" s="2299"/>
      <c r="M42" s="2300"/>
      <c r="N42" s="2292"/>
      <c r="O42" s="2300"/>
      <c r="P42" s="3819" t="str">
        <f>A42</f>
        <v>比较价值（元/平方米）</v>
      </c>
      <c r="Q42" s="3819"/>
      <c r="R42" s="3820" t="e">
        <f>IF(F1="售价",ROUND(PRODUCT(R41,AA7:AA40),0),ROUND(PRODUCT(R41,AA7:AA40),1))</f>
        <v>#DIV/0!</v>
      </c>
      <c r="S42" s="3820"/>
      <c r="T42" s="3820" t="e">
        <f>IF(F1="售价",ROUND(PRODUCT(T41,AB7:AB40),0),ROUND(PRODUCT(T41,AB7:AB40),1))</f>
        <v>#DIV/0!</v>
      </c>
      <c r="U42" s="3820"/>
      <c r="V42" s="3820" t="e">
        <f>IF(F1="售价",ROUND(PRODUCT(V41,AC7:AC40),0),ROUND(PRODUCT(V41,AC7:AC40),1))</f>
        <v>#DIV/0!</v>
      </c>
      <c r="W42" s="3820"/>
      <c r="X42" s="1364"/>
      <c r="Y42" s="1364"/>
      <c r="Z42" s="1364"/>
      <c r="AA42" s="1364"/>
      <c r="AB42" s="1364"/>
      <c r="AC42" s="1364"/>
    </row>
    <row r="43" spans="1:29" ht="15.75" thickBot="1">
      <c r="A43" s="115" t="s">
        <v>3012</v>
      </c>
      <c r="B43" s="116"/>
      <c r="C43" s="2839" t="e">
        <f>R43</f>
        <v>#DIV/0!</v>
      </c>
      <c r="D43" s="2839"/>
      <c r="E43" s="2839"/>
      <c r="F43" s="2839"/>
      <c r="G43" s="2839"/>
      <c r="H43" s="2839"/>
      <c r="I43" s="2839"/>
      <c r="J43" s="2839"/>
      <c r="K43" s="1394"/>
      <c r="L43" s="2299"/>
      <c r="M43" s="2300"/>
      <c r="N43" s="2300"/>
      <c r="O43" s="2300"/>
      <c r="P43" s="3816" t="str">
        <f>A43</f>
        <v>估价对象XX用房的比较价值（楼面单价，元/平方米）</v>
      </c>
      <c r="Q43" s="3817"/>
      <c r="R43" s="3818" t="e">
        <f>IF(F1="售价",ROUND(AVERAGE(R42:V42),0),ROUND(AVERAGE(R42:V42),1))</f>
        <v>#DIV/0!</v>
      </c>
      <c r="S43" s="3818"/>
      <c r="T43" s="3818"/>
      <c r="U43" s="3818"/>
      <c r="V43" s="3818"/>
      <c r="W43" s="3818"/>
      <c r="X43" s="1364"/>
      <c r="Y43" s="1364"/>
      <c r="Z43" s="1364"/>
      <c r="AA43" s="1364"/>
      <c r="AB43" s="1364"/>
      <c r="AC43" s="1364"/>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71" t="s">
        <v>125</v>
      </c>
      <c r="B51" s="1364"/>
      <c r="C51" s="1372"/>
      <c r="D51" s="1372"/>
      <c r="E51" s="1372"/>
      <c r="F51" s="1373"/>
      <c r="G51" s="1373"/>
      <c r="H51" s="1372"/>
      <c r="I51" s="1372"/>
      <c r="J51" s="1372"/>
      <c r="K51" s="2306"/>
      <c r="L51" s="2307"/>
      <c r="M51" s="2308"/>
      <c r="N51" s="2308"/>
      <c r="O51" s="2308"/>
      <c r="P51" s="120"/>
      <c r="Q51" s="121"/>
    </row>
    <row r="52" spans="1:17" s="850" customFormat="1" ht="15">
      <c r="A52" s="847" t="s">
        <v>2789</v>
      </c>
      <c r="B52" s="848"/>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9"/>
    </row>
    <row r="53" spans="1:17" s="40" customFormat="1" ht="14.25">
      <c r="A53" s="1044"/>
      <c r="B53" s="1045"/>
      <c r="C53" s="3035">
        <v>100</v>
      </c>
      <c r="D53" s="854"/>
      <c r="E53" s="854"/>
      <c r="F53" s="854"/>
      <c r="G53" s="854"/>
      <c r="H53" s="854"/>
      <c r="I53" s="854"/>
      <c r="J53" s="854"/>
      <c r="K53" s="854"/>
      <c r="L53" s="854"/>
      <c r="M53" s="855"/>
      <c r="N53" s="854"/>
      <c r="O53" s="856"/>
      <c r="P53" s="121"/>
    </row>
    <row r="54" spans="1:17" s="40" customFormat="1" ht="15" thickBot="1">
      <c r="A54" s="1046" t="s">
        <v>116</v>
      </c>
      <c r="B54" s="1047"/>
      <c r="C54" s="859"/>
      <c r="D54" s="860"/>
      <c r="E54" s="860"/>
      <c r="F54" s="860"/>
      <c r="G54" s="860"/>
      <c r="H54" s="860"/>
      <c r="I54" s="860"/>
      <c r="J54" s="860"/>
      <c r="K54" s="860"/>
      <c r="L54" s="860"/>
      <c r="M54" s="861"/>
      <c r="N54" s="860"/>
      <c r="O54" s="862"/>
      <c r="P54" s="121"/>
      <c r="Q54" s="121"/>
    </row>
    <row r="55" spans="1:17" s="40" customFormat="1">
      <c r="A55" s="1048" t="s">
        <v>64</v>
      </c>
      <c r="B55" s="1045"/>
      <c r="C55" s="1049" t="s">
        <v>114</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65</v>
      </c>
      <c r="B57" s="286" t="s">
        <v>66</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104</v>
      </c>
      <c r="C59" s="881" t="s">
        <v>1010</v>
      </c>
      <c r="D59" s="881" t="s">
        <v>1011</v>
      </c>
      <c r="E59" s="881" t="s">
        <v>1012</v>
      </c>
      <c r="F59" s="881" t="s">
        <v>1013</v>
      </c>
      <c r="G59" s="881" t="s">
        <v>1014</v>
      </c>
      <c r="H59" s="881" t="s">
        <v>1015</v>
      </c>
      <c r="I59" s="881" t="s">
        <v>1016</v>
      </c>
      <c r="J59" s="881"/>
      <c r="K59" s="882"/>
      <c r="L59" s="883"/>
      <c r="M59" s="884"/>
      <c r="N59" s="1388"/>
      <c r="O59" s="1388"/>
      <c r="P59" s="1"/>
      <c r="Q59" s="121"/>
    </row>
    <row r="60" spans="1:17" ht="15" thickBot="1">
      <c r="A60" s="173"/>
      <c r="B60" s="1054"/>
      <c r="C60" s="886" t="s">
        <v>136</v>
      </c>
      <c r="D60" s="886" t="s">
        <v>137</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91</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67</v>
      </c>
      <c r="B70" s="286" t="s">
        <v>157</v>
      </c>
      <c r="C70" s="915" t="s">
        <v>1017</v>
      </c>
      <c r="D70" s="915" t="s">
        <v>1018</v>
      </c>
      <c r="E70" s="915" t="s">
        <v>1019</v>
      </c>
      <c r="F70" s="915" t="s">
        <v>1020</v>
      </c>
      <c r="G70" s="915" t="s">
        <v>1021</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90</v>
      </c>
      <c r="C72" s="920" t="s">
        <v>1017</v>
      </c>
      <c r="D72" s="920" t="s">
        <v>1018</v>
      </c>
      <c r="E72" s="920" t="s">
        <v>1019</v>
      </c>
      <c r="F72" s="920" t="s">
        <v>1020</v>
      </c>
      <c r="G72" s="920" t="s">
        <v>1021</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2632</v>
      </c>
      <c r="C74" s="920" t="s">
        <v>1017</v>
      </c>
      <c r="D74" s="920" t="s">
        <v>1018</v>
      </c>
      <c r="E74" s="920" t="s">
        <v>1019</v>
      </c>
      <c r="F74" s="920" t="s">
        <v>1020</v>
      </c>
      <c r="G74" s="920" t="s">
        <v>1021</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2660</v>
      </c>
      <c r="C76" s="213" t="s">
        <v>2652</v>
      </c>
      <c r="D76" s="213" t="s">
        <v>2653</v>
      </c>
      <c r="E76" s="213" t="s">
        <v>2654</v>
      </c>
      <c r="F76" s="213" t="s">
        <v>2655</v>
      </c>
      <c r="G76" s="213" t="s">
        <v>2656</v>
      </c>
      <c r="H76" s="881"/>
      <c r="I76" s="881"/>
      <c r="J76" s="881"/>
      <c r="K76" s="881"/>
      <c r="L76" s="881"/>
      <c r="M76" s="2761"/>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147</v>
      </c>
      <c r="C78" s="920" t="s">
        <v>1017</v>
      </c>
      <c r="D78" s="920" t="s">
        <v>1018</v>
      </c>
      <c r="E78" s="920" t="s">
        <v>1019</v>
      </c>
      <c r="F78" s="920" t="s">
        <v>1020</v>
      </c>
      <c r="G78" s="920" t="s">
        <v>1021</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68</v>
      </c>
      <c r="B88" s="286" t="s">
        <v>121</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94</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93</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122</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110</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123</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2634</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124</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150</v>
      </c>
      <c r="C106" s="920" t="s">
        <v>1017</v>
      </c>
      <c r="D106" s="920" t="s">
        <v>1018</v>
      </c>
      <c r="E106" s="920" t="s">
        <v>1019</v>
      </c>
      <c r="F106" s="920" t="s">
        <v>1020</v>
      </c>
      <c r="G106" s="920" t="s">
        <v>1021</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E6" sqref="E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88" t="s">
        <v>139</v>
      </c>
      <c r="D1" s="1273"/>
      <c r="E1" s="2581" t="s">
        <v>537</v>
      </c>
      <c r="F1" s="2582">
        <f ca="1">J53</f>
        <v>37.619999999999997</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f ca="1">C40+J29+L46</f>
        <v>20968</v>
      </c>
      <c r="C2" s="1299" t="s">
        <v>1100</v>
      </c>
      <c r="D2" s="1275"/>
      <c r="E2" s="2571"/>
      <c r="F2" s="1276"/>
      <c r="G2" s="2283"/>
      <c r="H2" s="1274"/>
      <c r="I2" s="1274"/>
      <c r="J2" s="1274"/>
      <c r="K2" s="1298"/>
      <c r="L2" s="1274"/>
      <c r="M2" s="1274"/>
    </row>
    <row r="3" spans="1:37" ht="18" customHeight="1" thickBot="1">
      <c r="A3" s="675" t="s">
        <v>344</v>
      </c>
      <c r="B3" s="1407">
        <f ca="1">IF(ISERROR(B2*10000/F43),0,ROUND(B2*10000/F43,0))</f>
        <v>12377</v>
      </c>
      <c r="C3" s="1299" t="s">
        <v>1101</v>
      </c>
      <c r="D3" s="1275"/>
      <c r="E3" s="2571"/>
      <c r="F3" s="1276"/>
      <c r="G3" s="2283"/>
      <c r="H3" s="676" t="s">
        <v>911</v>
      </c>
      <c r="I3" s="1274"/>
      <c r="J3" s="1274"/>
      <c r="K3" s="1298"/>
      <c r="L3" s="1274"/>
      <c r="M3" s="1274"/>
    </row>
    <row r="4" spans="1:37" ht="18" customHeight="1">
      <c r="A4" s="677" t="s">
        <v>912</v>
      </c>
      <c r="B4" s="678" t="s">
        <v>913</v>
      </c>
      <c r="C4" s="678" t="s">
        <v>914</v>
      </c>
      <c r="D4" s="678" t="s">
        <v>915</v>
      </c>
      <c r="E4" s="679" t="s">
        <v>916</v>
      </c>
      <c r="F4" s="680"/>
      <c r="G4" s="2284"/>
      <c r="H4" s="677" t="s">
        <v>912</v>
      </c>
      <c r="I4" s="678" t="s">
        <v>913</v>
      </c>
      <c r="J4" s="678" t="s">
        <v>914</v>
      </c>
      <c r="K4" s="678" t="s">
        <v>915</v>
      </c>
      <c r="L4" s="679" t="s">
        <v>916</v>
      </c>
      <c r="M4" s="680"/>
    </row>
    <row r="5" spans="1:37" ht="18" customHeight="1">
      <c r="A5" s="681">
        <v>1</v>
      </c>
      <c r="B5" s="682" t="s">
        <v>2330</v>
      </c>
      <c r="C5" s="2622">
        <f ca="1">C6+C10+C12</f>
        <v>1053</v>
      </c>
      <c r="D5" s="2632" t="s">
        <v>2533</v>
      </c>
      <c r="E5" s="2623"/>
      <c r="F5" s="2624"/>
      <c r="G5" s="2284"/>
      <c r="H5" s="681">
        <v>1</v>
      </c>
      <c r="I5" s="682" t="s">
        <v>2330</v>
      </c>
      <c r="J5" s="2622">
        <f ca="1">J6+J10+J12</f>
        <v>0</v>
      </c>
      <c r="K5" s="2625" t="s">
        <v>2533</v>
      </c>
      <c r="L5" s="2623"/>
      <c r="M5" s="2624"/>
    </row>
    <row r="6" spans="1:37" ht="18" customHeight="1">
      <c r="A6" s="2618" t="s">
        <v>2371</v>
      </c>
      <c r="B6" s="3760" t="s">
        <v>2532</v>
      </c>
      <c r="C6" s="2627">
        <f ca="1">ROUND(F6*F8*F7*(1-F9)/10000,0)</f>
        <v>1051</v>
      </c>
      <c r="D6" s="2621" t="s">
        <v>2534</v>
      </c>
      <c r="E6" s="684" t="s">
        <v>917</v>
      </c>
      <c r="F6" s="685">
        <f ca="1">INDIRECT("'数据-取费表'!u"&amp;$G$1)</f>
        <v>2</v>
      </c>
      <c r="G6" s="2284"/>
      <c r="H6" s="2618" t="s">
        <v>2371</v>
      </c>
      <c r="I6" s="3760" t="s">
        <v>2532</v>
      </c>
      <c r="J6" s="683">
        <f ca="1">ROUND(M6*M8*M7*(1-M9)/10000,0)</f>
        <v>0</v>
      </c>
      <c r="K6" s="2621" t="s">
        <v>2534</v>
      </c>
      <c r="L6" s="684" t="s">
        <v>917</v>
      </c>
      <c r="M6" s="685">
        <f ca="1">INDIRECT("'数据-取费表'!z"&amp;$G$1)</f>
        <v>0</v>
      </c>
    </row>
    <row r="7" spans="1:37" ht="18" customHeight="1">
      <c r="A7" s="2626"/>
      <c r="B7" s="3761"/>
      <c r="C7" s="2628"/>
      <c r="D7" s="2057"/>
      <c r="E7" s="2629" t="s">
        <v>918</v>
      </c>
      <c r="F7" s="685">
        <f ca="1">IF(INDIRECT("'数据-取费表'!ah"&amp;$G$1)="",INDIRECT("'数据-取费表'!k"&amp;$G$1),INDIRECT("'数据-取费表'!ah"&amp;$G$1))</f>
        <v>16940.830000000002</v>
      </c>
      <c r="G7" s="2284"/>
      <c r="H7" s="686"/>
      <c r="I7" s="3761"/>
      <c r="J7" s="688"/>
      <c r="K7" s="689"/>
      <c r="L7" s="684" t="s">
        <v>918</v>
      </c>
      <c r="M7" s="685">
        <f ca="1">F7</f>
        <v>16940.830000000002</v>
      </c>
    </row>
    <row r="8" spans="1:37" ht="18" customHeight="1">
      <c r="A8" s="686"/>
      <c r="B8" s="3761"/>
      <c r="C8" s="688"/>
      <c r="D8" s="689"/>
      <c r="E8" s="684" t="s">
        <v>919</v>
      </c>
      <c r="F8" s="685">
        <f ca="1">INDIRECT("'数据-取费表'!ai"&amp;$G$1)</f>
        <v>365</v>
      </c>
      <c r="G8" s="2284"/>
      <c r="H8" s="686"/>
      <c r="I8" s="3761"/>
      <c r="J8" s="688"/>
      <c r="K8" s="689"/>
      <c r="L8" s="684" t="s">
        <v>919</v>
      </c>
      <c r="M8" s="685">
        <f ca="1">INDIRECT("'数据-取费表'!ai"&amp;$G$1)</f>
        <v>365</v>
      </c>
    </row>
    <row r="9" spans="1:37" ht="18" customHeight="1">
      <c r="A9" s="686"/>
      <c r="B9" s="3762"/>
      <c r="C9" s="688"/>
      <c r="D9" s="689"/>
      <c r="E9" s="684" t="s">
        <v>920</v>
      </c>
      <c r="F9" s="694">
        <f ca="1">INDIRECT("'数据-取费表'!w"&amp;$G$1)</f>
        <v>0.15</v>
      </c>
      <c r="G9" s="2284"/>
      <c r="H9" s="686"/>
      <c r="I9" s="3762"/>
      <c r="J9" s="688"/>
      <c r="K9" s="689"/>
      <c r="L9" s="695" t="s">
        <v>920</v>
      </c>
      <c r="M9" s="696">
        <f ca="1">INDIRECT("'数据-取费表'!ab"&amp;$G$1)</f>
        <v>0</v>
      </c>
    </row>
    <row r="10" spans="1:37" ht="18" customHeight="1">
      <c r="A10" s="2618" t="s">
        <v>2378</v>
      </c>
      <c r="B10" s="2619" t="s">
        <v>2527</v>
      </c>
      <c r="C10" s="698">
        <f ca="1">ROUND(IF(F10="押一",F6*F8*F7/12*F11,IF(F10="押二",F6*F8*F7/12*2*F11,IF(F10="押三",F6*F8*F7/12*3*F11,C11*F11)))/10000,0)</f>
        <v>2</v>
      </c>
      <c r="D10" s="2630" t="s">
        <v>2535</v>
      </c>
      <c r="E10" s="2093" t="s">
        <v>2529</v>
      </c>
      <c r="F10" s="2824" t="s">
        <v>3901</v>
      </c>
      <c r="G10" s="2284"/>
      <c r="H10" s="2618" t="s">
        <v>2378</v>
      </c>
      <c r="I10" s="2619" t="s">
        <v>2527</v>
      </c>
      <c r="J10" s="683">
        <f ca="1">ROUND(IF(M10="押一",M6*M8*M7/12*M11,IF(M10="押二",M6*M8*M7/12*2*M11,IF(M10="押三",M6*M8*M7/12*3*M11,J11*M11)))/10000,0)</f>
        <v>0</v>
      </c>
      <c r="K10" s="2630" t="s">
        <v>2535</v>
      </c>
      <c r="L10" s="2093" t="s">
        <v>2529</v>
      </c>
      <c r="M10" s="2725" t="s">
        <v>3901</v>
      </c>
    </row>
    <row r="11" spans="1:37" ht="18" customHeight="1">
      <c r="A11" s="690"/>
      <c r="B11" s="2620" t="s">
        <v>2693</v>
      </c>
      <c r="C11" s="2411"/>
      <c r="D11" s="2863"/>
      <c r="E11" s="2093" t="s">
        <v>2530</v>
      </c>
      <c r="F11" s="696">
        <f ca="1">'数据-取费表'!B39</f>
        <v>1.4999999999999999E-2</v>
      </c>
      <c r="G11" s="2284"/>
      <c r="H11" s="2631"/>
      <c r="I11" s="2620" t="s">
        <v>2693</v>
      </c>
      <c r="J11" s="2411"/>
      <c r="K11" s="1280"/>
      <c r="L11" s="2093" t="s">
        <v>2530</v>
      </c>
      <c r="M11" s="2092">
        <f ca="1">'数据-取费表'!B39</f>
        <v>1.4999999999999999E-2</v>
      </c>
    </row>
    <row r="12" spans="1:37" ht="18" customHeight="1" thickBot="1">
      <c r="A12" s="2666" t="s">
        <v>2540</v>
      </c>
      <c r="B12" s="2667" t="s">
        <v>2528</v>
      </c>
      <c r="C12" s="2668"/>
      <c r="D12" s="2669"/>
      <c r="E12" s="2670"/>
      <c r="F12" s="2671"/>
      <c r="G12" s="2284"/>
      <c r="H12" s="2666" t="s">
        <v>2540</v>
      </c>
      <c r="I12" s="2667" t="s">
        <v>2528</v>
      </c>
      <c r="J12" s="2668"/>
      <c r="K12" s="2685"/>
      <c r="L12" s="2670"/>
      <c r="M12" s="2686"/>
    </row>
    <row r="13" spans="1:37" ht="18" customHeight="1" thickTop="1">
      <c r="A13" s="2662">
        <v>2</v>
      </c>
      <c r="B13" s="2663" t="s">
        <v>921</v>
      </c>
      <c r="C13" s="692">
        <f ca="1">ROUND(C29*F13,0)</f>
        <v>4760</v>
      </c>
      <c r="D13" s="2664" t="s">
        <v>922</v>
      </c>
      <c r="E13" s="2664" t="s">
        <v>923</v>
      </c>
      <c r="F13" s="2665">
        <f ca="1">INDIRECT("'数据-取费表'!y"&amp;$G$1)</f>
        <v>0.97</v>
      </c>
      <c r="G13" s="2284"/>
      <c r="H13" s="2662">
        <v>2</v>
      </c>
      <c r="I13" s="2663" t="s">
        <v>921</v>
      </c>
      <c r="J13" s="2617">
        <f ca="1">ROUND(J14*J15,0)</f>
        <v>0</v>
      </c>
      <c r="K13" s="2672" t="s">
        <v>922</v>
      </c>
      <c r="L13" s="2683"/>
      <c r="M13" s="2684"/>
    </row>
    <row r="14" spans="1:37" ht="18" customHeight="1">
      <c r="A14" s="2434" t="s">
        <v>2368</v>
      </c>
      <c r="B14" s="684" t="s">
        <v>357</v>
      </c>
      <c r="C14" s="702">
        <f ca="1">INDIRECT("'数据-取费表'!m"&amp;$G$1)+INDIRECT("'数据-取费表'!t"&amp;$G$1)</f>
        <v>3049</v>
      </c>
      <c r="D14" s="3392" t="s">
        <v>924</v>
      </c>
      <c r="E14" s="3391"/>
      <c r="F14" s="703"/>
      <c r="G14" s="2284"/>
      <c r="H14" s="2434" t="s">
        <v>2371</v>
      </c>
      <c r="I14" s="684" t="s">
        <v>925</v>
      </c>
      <c r="J14" s="313">
        <f ca="1">C29</f>
        <v>4907</v>
      </c>
      <c r="K14" s="303"/>
      <c r="L14" s="700"/>
      <c r="M14" s="701"/>
    </row>
    <row r="15" spans="1:37" s="706" customFormat="1" ht="18" customHeight="1" thickBot="1">
      <c r="A15" s="2434" t="s">
        <v>2604</v>
      </c>
      <c r="B15" s="684" t="s">
        <v>358</v>
      </c>
      <c r="C15" s="313">
        <f ca="1">ROUND(C14*F15,0)</f>
        <v>91</v>
      </c>
      <c r="D15" s="704" t="s">
        <v>926</v>
      </c>
      <c r="E15" s="704" t="s">
        <v>363</v>
      </c>
      <c r="F15" s="705">
        <f>'数据-取费表'!B33</f>
        <v>0.03</v>
      </c>
      <c r="G15" s="2285"/>
      <c r="H15" s="2674" t="s">
        <v>2378</v>
      </c>
      <c r="I15" s="2675" t="s">
        <v>923</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2605</v>
      </c>
      <c r="B16" s="684" t="s">
        <v>359</v>
      </c>
      <c r="C16" s="313">
        <f ca="1">ROUND(INDIRECT("'数据-取费表'!m"&amp;$G$1)*F16,0)</f>
        <v>0</v>
      </c>
      <c r="D16" s="684" t="s">
        <v>926</v>
      </c>
      <c r="E16" s="684" t="s">
        <v>363</v>
      </c>
      <c r="F16" s="707">
        <f ca="1">IF(INDIRECT("'数据-取费表'!c"&amp;$G$1)="住宅",'数据-取费表'!B34,0)</f>
        <v>0</v>
      </c>
      <c r="G16" s="2284"/>
      <c r="H16" s="2662" t="s">
        <v>2336</v>
      </c>
      <c r="I16" s="2663" t="s">
        <v>928</v>
      </c>
      <c r="J16" s="692">
        <f ca="1">ROUND(J17+J22+J23+J24,0)</f>
        <v>116</v>
      </c>
      <c r="K16" s="2672" t="s">
        <v>929</v>
      </c>
      <c r="L16" s="2673"/>
      <c r="M16" s="2624"/>
    </row>
    <row r="17" spans="1:37" s="706" customFormat="1" ht="18" customHeight="1">
      <c r="A17" s="2434" t="s">
        <v>2606</v>
      </c>
      <c r="B17" s="684" t="s">
        <v>360</v>
      </c>
      <c r="C17" s="313">
        <f ca="1">ROUND(F17*(F43+INDIRECT("'数据-取费表'!S"&amp;$G$1))/10000,0)</f>
        <v>339</v>
      </c>
      <c r="D17" s="684" t="s">
        <v>930</v>
      </c>
      <c r="E17" s="684" t="s">
        <v>931</v>
      </c>
      <c r="F17" s="315">
        <f>'数据-取费表'!B35</f>
        <v>200</v>
      </c>
      <c r="G17" s="2285"/>
      <c r="H17" s="2434" t="s">
        <v>2371</v>
      </c>
      <c r="I17" s="684" t="s">
        <v>361</v>
      </c>
      <c r="J17" s="313">
        <f ca="1">ROUND(IF(项目基本情况!B11="自然人",J5*M17,J18+J19+J20),1)</f>
        <v>42.6</v>
      </c>
      <c r="K17" s="3392" t="s">
        <v>932</v>
      </c>
      <c r="L17" s="3394"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2607</v>
      </c>
      <c r="B18" s="684" t="s">
        <v>362</v>
      </c>
      <c r="C18" s="313">
        <f ca="1">ROUND(C14*F18,0)</f>
        <v>46</v>
      </c>
      <c r="D18" s="684" t="s">
        <v>926</v>
      </c>
      <c r="E18" s="684" t="s">
        <v>363</v>
      </c>
      <c r="F18" s="707">
        <f>'数据-取费表'!B36</f>
        <v>1.4999999999999999E-2</v>
      </c>
      <c r="G18" s="2285"/>
      <c r="H18" s="2434" t="s">
        <v>2368</v>
      </c>
      <c r="I18" s="684" t="s">
        <v>934</v>
      </c>
      <c r="J18" s="313">
        <f ca="1">ROUND(J5*M18/(1+'数据-取费表'!C42),2)</f>
        <v>0</v>
      </c>
      <c r="K18" s="3394" t="s">
        <v>935</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2371</v>
      </c>
      <c r="B19" s="684" t="s">
        <v>364</v>
      </c>
      <c r="C19" s="313">
        <f ca="1">SUM(C14:C18)</f>
        <v>3525</v>
      </c>
      <c r="D19" s="471" t="s">
        <v>936</v>
      </c>
      <c r="E19" s="3397"/>
      <c r="F19" s="315"/>
      <c r="G19" s="2284"/>
      <c r="H19" s="2434" t="s">
        <v>2604</v>
      </c>
      <c r="I19" s="684" t="s">
        <v>937</v>
      </c>
      <c r="J19" s="313">
        <f ca="1">IF(K19="按租金收入计税",ROUND(J5*M19,2),ROUND(C29*M19*0.7,2))</f>
        <v>41.22</v>
      </c>
      <c r="K19" s="1300" t="s">
        <v>2411</v>
      </c>
      <c r="L19" s="684" t="s">
        <v>363</v>
      </c>
      <c r="M19" s="707">
        <f>IF(K19="按租金收入计税",'数据-取费表'!B51,'数据-取费表'!B50)</f>
        <v>1.2E-2</v>
      </c>
    </row>
    <row r="20" spans="1:37" s="706" customFormat="1" ht="18" customHeight="1">
      <c r="A20" s="2434" t="s">
        <v>2608</v>
      </c>
      <c r="B20" s="684" t="s">
        <v>365</v>
      </c>
      <c r="C20" s="313">
        <f ca="1">ROUND(C19*F20,0)</f>
        <v>53</v>
      </c>
      <c r="D20" s="709" t="s">
        <v>938</v>
      </c>
      <c r="E20" s="684" t="s">
        <v>363</v>
      </c>
      <c r="F20" s="707">
        <f>'数据-取费表'!B37</f>
        <v>1.4999999999999999E-2</v>
      </c>
      <c r="G20" s="2285"/>
      <c r="H20" s="2434" t="s">
        <v>2605</v>
      </c>
      <c r="I20" s="496" t="s">
        <v>939</v>
      </c>
      <c r="J20" s="314">
        <f ca="1">ROUND(M20*M21/10000,2)</f>
        <v>1.37</v>
      </c>
      <c r="K20" s="710" t="s">
        <v>940</v>
      </c>
      <c r="L20" s="684" t="s">
        <v>941</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2609</v>
      </c>
      <c r="B21" s="684" t="s">
        <v>942</v>
      </c>
      <c r="C21" s="313" t="s">
        <v>23</v>
      </c>
      <c r="D21" s="709" t="s">
        <v>943</v>
      </c>
      <c r="E21" s="684" t="s">
        <v>944</v>
      </c>
      <c r="F21" s="707">
        <f>'数据-取费表'!B38</f>
        <v>1.4999999999999999E-2</v>
      </c>
      <c r="G21" s="2285"/>
      <c r="H21" s="712"/>
      <c r="I21" s="693"/>
      <c r="J21" s="318"/>
      <c r="K21" s="713"/>
      <c r="L21" s="684" t="s">
        <v>945</v>
      </c>
      <c r="M21" s="685">
        <f ca="1">INDIRECT("'数据-取费表'!r"&amp;$G$1)</f>
        <v>3426.96</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2610</v>
      </c>
      <c r="B22" s="684" t="s">
        <v>946</v>
      </c>
      <c r="C22" s="313"/>
      <c r="D22" s="2697" t="str">
        <f>IF(F23&lt;=1,"单利计息。","复利计息。")&amp;"建造成本、管理费用、销售费用产生的利息。"</f>
        <v>复利计息。建造成本、管理费用、销售费用产生的利息。</v>
      </c>
      <c r="E22" s="3397"/>
      <c r="F22" s="315"/>
      <c r="G22" s="2284"/>
      <c r="H22" s="2434" t="s">
        <v>2378</v>
      </c>
      <c r="I22" s="684" t="s">
        <v>947</v>
      </c>
      <c r="J22" s="313">
        <f ca="1">ROUND(J14*M22,1)</f>
        <v>73.599999999999994</v>
      </c>
      <c r="K22" s="3394" t="s">
        <v>948</v>
      </c>
      <c r="L22" s="684" t="s">
        <v>363</v>
      </c>
      <c r="M22" s="714">
        <f ca="1">INDIRECT("'数据-取费表'!Ak"&amp;$G$1)</f>
        <v>1.4999999999999999E-2</v>
      </c>
    </row>
    <row r="23" spans="1:37" s="706" customFormat="1" ht="18" customHeight="1">
      <c r="A23" s="2434" t="s">
        <v>2368</v>
      </c>
      <c r="B23" s="684" t="s">
        <v>2524</v>
      </c>
      <c r="C23" s="313">
        <f ca="1">IF('数据-取费表'!B22&lt;=1,ROUND(C19*F24*F23/2,0)+ROUND(C20*F24*F23/2,0),ROUND(C19*(POWER((1+F24),F23/2)-1),0)+ROUND(C20*(POWER((1+F24),F23/2)-1),0))</f>
        <v>258</v>
      </c>
      <c r="D23" s="2701" t="str">
        <f>IF(F23&lt;=1,"(建造成本+管理费用)×利率×(建设周期÷2)","(建造成本+管理费用)×((1+利率)^(建设周期÷2)-1)")</f>
        <v>(建造成本+管理费用)×((1+利率)^(建设周期÷2)-1)</v>
      </c>
      <c r="E23" s="684" t="s">
        <v>949</v>
      </c>
      <c r="F23" s="711">
        <f>'数据-取费表'!B20</f>
        <v>3</v>
      </c>
      <c r="G23" s="2285"/>
      <c r="H23" s="2434" t="s">
        <v>2609</v>
      </c>
      <c r="I23" s="684" t="s">
        <v>366</v>
      </c>
      <c r="J23" s="313">
        <f ca="1">ROUND(J13*M23,1)</f>
        <v>0</v>
      </c>
      <c r="K23" s="3394" t="s">
        <v>950</v>
      </c>
      <c r="L23" s="684" t="s">
        <v>363</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2374</v>
      </c>
      <c r="B24" s="684" t="s">
        <v>951</v>
      </c>
      <c r="C24" s="313">
        <f ca="1">ROUND(IF('数据-取费表'!B22&lt;=1,F21*F24*F23/2,F21*(POWER((1+F24),F23/2)-1)),4)</f>
        <v>1.1000000000000001E-3</v>
      </c>
      <c r="D24" s="2701" t="str">
        <f>IF(F23&lt;=1,"销售费用×利率×(建设周期÷2)","销售费用×((1+利率)^(建设周期÷2)-1)")</f>
        <v>销售费用×((1+利率)^(建设周期÷2)-1)</v>
      </c>
      <c r="E24" s="684" t="s">
        <v>952</v>
      </c>
      <c r="F24" s="717">
        <f ca="1">'数据-取费表'!B40</f>
        <v>4.7500000000000001E-2</v>
      </c>
      <c r="G24" s="2285"/>
      <c r="H24" s="2674" t="s">
        <v>2610</v>
      </c>
      <c r="I24" s="2675" t="s">
        <v>365</v>
      </c>
      <c r="J24" s="2676">
        <f ca="1">ROUND(J5*M24,1)</f>
        <v>0</v>
      </c>
      <c r="K24" s="2677" t="s">
        <v>369</v>
      </c>
      <c r="L24" s="2675" t="s">
        <v>363</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2375</v>
      </c>
      <c r="B25" s="684" t="s">
        <v>370</v>
      </c>
      <c r="C25" s="313"/>
      <c r="D25" s="471" t="s">
        <v>954</v>
      </c>
      <c r="E25" s="3397"/>
      <c r="F25" s="315"/>
      <c r="G25" s="2284"/>
      <c r="H25" s="2662" t="s">
        <v>2351</v>
      </c>
      <c r="I25" s="2679" t="s">
        <v>955</v>
      </c>
      <c r="J25" s="692">
        <f ca="1">J5-J16</f>
        <v>-116</v>
      </c>
      <c r="K25" s="2680" t="s">
        <v>376</v>
      </c>
      <c r="L25" s="2681"/>
      <c r="M25" s="2682"/>
    </row>
    <row r="26" spans="1:37" ht="18" customHeight="1">
      <c r="A26" s="2434" t="s">
        <v>2368</v>
      </c>
      <c r="B26" s="684" t="s">
        <v>2525</v>
      </c>
      <c r="C26" s="313">
        <f ca="1">ROUND((C19+C20)*F26,0)</f>
        <v>716</v>
      </c>
      <c r="D26" s="709" t="s">
        <v>957</v>
      </c>
      <c r="E26" s="695" t="s">
        <v>958</v>
      </c>
      <c r="F26" s="694">
        <f ca="1">INDIRECT("'数据-取费表'!q"&amp;$G$1)</f>
        <v>0.2</v>
      </c>
      <c r="G26" s="2284"/>
      <c r="H26" s="681" t="s">
        <v>2354</v>
      </c>
      <c r="I26" s="682" t="s">
        <v>959</v>
      </c>
      <c r="J26" s="683">
        <f ca="1">IF(J5&lt;&gt;0,ROUND(J25*(1-((1+M28)/(1+M26))^M27)/(M26-M28),0),0)</f>
        <v>0</v>
      </c>
      <c r="K26" s="710" t="s">
        <v>960</v>
      </c>
      <c r="L26" s="684" t="s">
        <v>372</v>
      </c>
      <c r="M26" s="694">
        <f ca="1">INDIRECT("'数据-取费表'!I"&amp;$G$1)</f>
        <v>5.5E-2</v>
      </c>
    </row>
    <row r="27" spans="1:37" ht="18" customHeight="1">
      <c r="A27" s="2434" t="s">
        <v>2374</v>
      </c>
      <c r="B27" s="684" t="s">
        <v>373</v>
      </c>
      <c r="C27" s="313">
        <f ca="1">ROUND(F21*F26,4)</f>
        <v>3.0000000000000001E-3</v>
      </c>
      <c r="D27" s="709" t="s">
        <v>961</v>
      </c>
      <c r="E27" s="704"/>
      <c r="F27" s="705"/>
      <c r="G27" s="2284"/>
      <c r="H27" s="686"/>
      <c r="I27" s="687"/>
      <c r="J27" s="688"/>
      <c r="K27" s="718" t="s">
        <v>962</v>
      </c>
      <c r="L27" s="684" t="s">
        <v>379</v>
      </c>
      <c r="M27" s="719">
        <f ca="1">INDIRECT("'数据-取费表'!ag"&amp;$G$1)</f>
        <v>0</v>
      </c>
    </row>
    <row r="28" spans="1:37" s="706" customFormat="1" ht="18" customHeight="1">
      <c r="A28" s="2434" t="s">
        <v>2376</v>
      </c>
      <c r="B28" s="684" t="s">
        <v>374</v>
      </c>
      <c r="C28" s="313">
        <f>ROUND(F28/(1+'数据-取费表'!C42),4)</f>
        <v>5.33E-2</v>
      </c>
      <c r="D28" s="709" t="s">
        <v>968</v>
      </c>
      <c r="E28" s="684" t="s">
        <v>363</v>
      </c>
      <c r="F28" s="707">
        <f>'数据-取费表'!B41</f>
        <v>5.6000000000000001E-2</v>
      </c>
      <c r="G28" s="2285"/>
      <c r="H28" s="690"/>
      <c r="I28" s="691"/>
      <c r="J28" s="692"/>
      <c r="K28" s="713"/>
      <c r="L28" s="684" t="s">
        <v>969</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2377</v>
      </c>
      <c r="B29" s="2675" t="s">
        <v>970</v>
      </c>
      <c r="C29" s="2676">
        <f ca="1">ROUND((C19+C20+C23+C26)/(1-F21-C24-C27-C28),0)</f>
        <v>4907</v>
      </c>
      <c r="D29" s="2677"/>
      <c r="E29" s="2675"/>
      <c r="F29" s="2678"/>
      <c r="G29" s="2285"/>
      <c r="H29" s="720" t="s">
        <v>2361</v>
      </c>
      <c r="I29" s="721" t="s">
        <v>963</v>
      </c>
      <c r="J29" s="722">
        <f ca="1">ROUND(J26/(1+F40)^F41,0)</f>
        <v>0</v>
      </c>
      <c r="K29" s="723" t="s">
        <v>964</v>
      </c>
      <c r="L29" s="724"/>
      <c r="M29" s="725">
        <f ca="1">INDIRECT("'数据-取费表'!k"&amp;$G$1)</f>
        <v>16940.830000000002</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2336</v>
      </c>
      <c r="B30" s="2663" t="s">
        <v>928</v>
      </c>
      <c r="C30" s="692">
        <f ca="1">ROUND(C31+C36+C37+C38,0)</f>
        <v>192</v>
      </c>
      <c r="D30" s="2672" t="s">
        <v>929</v>
      </c>
      <c r="E30" s="2673"/>
      <c r="F30" s="2624"/>
      <c r="G30" s="2284"/>
      <c r="H30" s="1277"/>
      <c r="I30" s="1278"/>
      <c r="J30" s="1279"/>
      <c r="K30" s="1280"/>
      <c r="L30" s="1281"/>
      <c r="M30" s="1282"/>
    </row>
    <row r="31" spans="1:37" ht="18" customHeight="1">
      <c r="A31" s="2434" t="s">
        <v>2371</v>
      </c>
      <c r="B31" s="684" t="s">
        <v>361</v>
      </c>
      <c r="C31" s="313">
        <f ca="1">ROUND(IF(项目基本情况!B11="自然人",C5*F31,C32+C33+C34),1)</f>
        <v>98.8</v>
      </c>
      <c r="D31" s="3392" t="s">
        <v>932</v>
      </c>
      <c r="E31" s="3394" t="s">
        <v>971</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2368</v>
      </c>
      <c r="B32" s="684" t="s">
        <v>934</v>
      </c>
      <c r="C32" s="313">
        <f ca="1">IF(项目基本情况!B11="自然人","——",ROUND(C5*F32/(1+'数据-取费表'!C42),2))</f>
        <v>56.16</v>
      </c>
      <c r="D32" s="3394" t="s">
        <v>935</v>
      </c>
      <c r="E32" s="684" t="s">
        <v>363</v>
      </c>
      <c r="F32" s="717">
        <f>'数据-取费表'!B41</f>
        <v>5.6000000000000001E-2</v>
      </c>
      <c r="G32" s="2284"/>
      <c r="H32" s="1283"/>
      <c r="I32" s="1284"/>
      <c r="J32" s="1285"/>
      <c r="K32" s="1286"/>
      <c r="L32" s="1287"/>
      <c r="M32" s="1288"/>
    </row>
    <row r="33" spans="1:18" ht="18" customHeight="1">
      <c r="A33" s="2434" t="s">
        <v>2604</v>
      </c>
      <c r="B33" s="684" t="s">
        <v>937</v>
      </c>
      <c r="C33" s="313">
        <f ca="1">IF(项目基本情况!B11="自然人","——",IF(D33="按租金收入计税",ROUND(C5*F33,2),IF(D33="按房产原值计税",ROUND(C29*F33*0.7,2),INDIRECT("'数据-取费表'!Aj"&amp;$G$1))))</f>
        <v>41.22</v>
      </c>
      <c r="D33" s="1300" t="s">
        <v>2411</v>
      </c>
      <c r="E33" s="684" t="s">
        <v>363</v>
      </c>
      <c r="F33" s="707">
        <f>IF(D33="按票据","——",IF(D33="按租金收入计税",'数据-取费表'!B51,'数据-取费表'!B50))</f>
        <v>1.2E-2</v>
      </c>
      <c r="G33" s="2284"/>
      <c r="H33" s="1289"/>
      <c r="I33" s="2877"/>
      <c r="J33" s="2878"/>
      <c r="K33" s="1290"/>
      <c r="L33" s="1289"/>
      <c r="M33" s="1289"/>
    </row>
    <row r="34" spans="1:18" ht="18" customHeight="1">
      <c r="A34" s="2618" t="s">
        <v>2605</v>
      </c>
      <c r="B34" s="496" t="s">
        <v>939</v>
      </c>
      <c r="C34" s="314">
        <f ca="1">IF(项目基本情况!B11="自然人","——",ROUND(F34*F35/10000,2))</f>
        <v>1.37</v>
      </c>
      <c r="D34" s="710" t="s">
        <v>940</v>
      </c>
      <c r="E34" s="684" t="s">
        <v>941</v>
      </c>
      <c r="F34" s="711">
        <f>'数据-取费表'!B52</f>
        <v>4</v>
      </c>
      <c r="G34" s="2284"/>
      <c r="H34" s="1277"/>
      <c r="I34" s="2877"/>
      <c r="J34" s="2878"/>
      <c r="K34" s="1291"/>
      <c r="L34" s="1292"/>
      <c r="M34" s="1292"/>
    </row>
    <row r="35" spans="1:18" ht="18" customHeight="1">
      <c r="A35" s="2692"/>
      <c r="B35" s="2690"/>
      <c r="C35" s="318"/>
      <c r="D35" s="713"/>
      <c r="E35" s="684" t="s">
        <v>945</v>
      </c>
      <c r="F35" s="685">
        <f ca="1">INDIRECT("'数据-取费表'!r"&amp;$G$1)</f>
        <v>3426.96</v>
      </c>
      <c r="G35" s="2284"/>
      <c r="H35" s="1277"/>
      <c r="I35" s="2877"/>
      <c r="J35" s="2878"/>
      <c r="K35" s="1290"/>
      <c r="L35" s="1289"/>
      <c r="M35" s="1289"/>
    </row>
    <row r="36" spans="1:18" ht="18" customHeight="1">
      <c r="A36" s="2691" t="s">
        <v>2378</v>
      </c>
      <c r="B36" s="684" t="s">
        <v>947</v>
      </c>
      <c r="C36" s="313">
        <f ca="1">ROUND(C29*F36,1)</f>
        <v>73.599999999999994</v>
      </c>
      <c r="D36" s="3394" t="s">
        <v>977</v>
      </c>
      <c r="E36" s="684" t="s">
        <v>363</v>
      </c>
      <c r="F36" s="714">
        <f ca="1">INDIRECT("'数据-取费表'!Ak"&amp;$G$1)</f>
        <v>1.4999999999999999E-2</v>
      </c>
      <c r="G36" s="2284"/>
      <c r="H36" s="1289"/>
      <c r="I36" s="2877"/>
      <c r="J36" s="2878"/>
      <c r="K36" s="1293"/>
      <c r="L36" s="1289"/>
      <c r="M36" s="1289"/>
    </row>
    <row r="37" spans="1:18" ht="18" customHeight="1">
      <c r="A37" s="2434" t="s">
        <v>2609</v>
      </c>
      <c r="B37" s="684" t="s">
        <v>366</v>
      </c>
      <c r="C37" s="313">
        <f ca="1">ROUND(C13*F37,1)</f>
        <v>9.5</v>
      </c>
      <c r="D37" s="3394" t="s">
        <v>367</v>
      </c>
      <c r="E37" s="684" t="s">
        <v>363</v>
      </c>
      <c r="F37" s="716">
        <f ca="1">INDIRECT("'数据-取费表'!Al"&amp;$G$1)</f>
        <v>2E-3</v>
      </c>
      <c r="G37" s="2284"/>
      <c r="H37" s="1289"/>
      <c r="I37" s="2877"/>
      <c r="J37" s="2878"/>
      <c r="K37" s="1293"/>
      <c r="L37" s="1289"/>
      <c r="M37" s="1289"/>
    </row>
    <row r="38" spans="1:18" ht="18" customHeight="1" thickBot="1">
      <c r="A38" s="2674" t="s">
        <v>2610</v>
      </c>
      <c r="B38" s="2675" t="s">
        <v>365</v>
      </c>
      <c r="C38" s="2676">
        <f ca="1">ROUND(C5*F38,1)</f>
        <v>10.5</v>
      </c>
      <c r="D38" s="2677" t="s">
        <v>369</v>
      </c>
      <c r="E38" s="2675" t="s">
        <v>363</v>
      </c>
      <c r="F38" s="2671">
        <f ca="1">INDIRECT("'数据-取费表'!Am"&amp;$G$1)</f>
        <v>0.01</v>
      </c>
      <c r="G38" s="2284"/>
      <c r="H38" s="1289"/>
      <c r="I38" s="2877"/>
      <c r="J38" s="2878"/>
      <c r="K38" s="1294"/>
      <c r="L38" s="1289"/>
      <c r="M38" s="1289"/>
    </row>
    <row r="39" spans="1:18" ht="24.6" customHeight="1" thickTop="1">
      <c r="A39" s="2662" t="s">
        <v>2351</v>
      </c>
      <c r="B39" s="2679" t="s">
        <v>375</v>
      </c>
      <c r="C39" s="692">
        <f ca="1">C5-C30</f>
        <v>861</v>
      </c>
      <c r="D39" s="2680" t="s">
        <v>376</v>
      </c>
      <c r="E39" s="2681"/>
      <c r="F39" s="2682"/>
      <c r="G39" s="2284"/>
      <c r="H39" s="1289"/>
      <c r="I39" s="2877"/>
      <c r="J39" s="2878"/>
      <c r="K39" s="1294"/>
      <c r="L39" s="1289"/>
      <c r="M39" s="1289"/>
    </row>
    <row r="40" spans="1:18" ht="18" customHeight="1">
      <c r="A40" s="681" t="s">
        <v>2354</v>
      </c>
      <c r="B40" s="682" t="s">
        <v>377</v>
      </c>
      <c r="C40" s="683">
        <f ca="1">ROUND(C39*(1-((1+F42)/(1+F40))^F41)/(F40-F42),0)</f>
        <v>19005</v>
      </c>
      <c r="D40" s="710" t="s">
        <v>371</v>
      </c>
      <c r="E40" s="684" t="s">
        <v>372</v>
      </c>
      <c r="F40" s="694">
        <f ca="1">INDIRECT("'数据-取费表'!I"&amp;$G$1)</f>
        <v>5.5E-2</v>
      </c>
      <c r="G40" s="2284"/>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37.619999999999997</v>
      </c>
      <c r="G41" s="2284"/>
      <c r="H41" s="1191"/>
      <c r="I41" s="2877"/>
      <c r="J41" s="2878"/>
      <c r="K41" s="1293"/>
      <c r="L41" s="1191"/>
      <c r="M41" s="1191"/>
    </row>
    <row r="42" spans="1:18" ht="18" customHeight="1">
      <c r="A42" s="690"/>
      <c r="B42" s="691"/>
      <c r="C42" s="692"/>
      <c r="D42" s="713"/>
      <c r="E42" s="684" t="s">
        <v>380</v>
      </c>
      <c r="F42" s="694">
        <f ca="1">INDIRECT("'数据-取费表'!v"&amp;$G$1)</f>
        <v>2.5000000000000001E-2</v>
      </c>
      <c r="G42" s="2284"/>
      <c r="H42" s="1191"/>
      <c r="I42" s="2877"/>
      <c r="J42" s="2878"/>
      <c r="K42" s="1293"/>
      <c r="L42" s="1191"/>
      <c r="M42" s="1191"/>
    </row>
    <row r="43" spans="1:18" ht="18" customHeight="1" thickBot="1">
      <c r="A43" s="720" t="s">
        <v>2361</v>
      </c>
      <c r="B43" s="721" t="s">
        <v>381</v>
      </c>
      <c r="C43" s="722">
        <f ca="1">ROUND(C40*10000/F43,0)</f>
        <v>11218</v>
      </c>
      <c r="D43" s="723" t="s">
        <v>382</v>
      </c>
      <c r="E43" s="724" t="s">
        <v>383</v>
      </c>
      <c r="F43" s="725">
        <f ca="1">INDIRECT("'数据-取费表'!k"&amp;$G$1)</f>
        <v>16940.830000000002</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2484</v>
      </c>
      <c r="P45" s="1295"/>
      <c r="Q45" s="1295"/>
      <c r="R45" s="1295"/>
    </row>
    <row r="46" spans="1:18" s="1454" customFormat="1" ht="21" thickBot="1">
      <c r="A46" s="2392" t="s">
        <v>2323</v>
      </c>
      <c r="B46" s="2393"/>
      <c r="C46" s="2721">
        <f ca="1">C68-C40</f>
        <v>-20990</v>
      </c>
      <c r="D46" s="2722" t="str">
        <f>C2</f>
        <v>万元</v>
      </c>
      <c r="E46" s="1432"/>
      <c r="F46" s="1432"/>
      <c r="I46" s="2574" t="s">
        <v>2419</v>
      </c>
      <c r="J46" s="2575"/>
      <c r="K46" s="2576"/>
      <c r="L46" s="2578">
        <f ca="1">IF(M47="住宅",0,IF(L48&gt;J51,L60,J60))</f>
        <v>1963</v>
      </c>
      <c r="O46" s="2590" t="s">
        <v>2462</v>
      </c>
      <c r="P46" s="2591" t="s">
        <v>2463</v>
      </c>
      <c r="Q46" s="2592" t="s">
        <v>2461</v>
      </c>
      <c r="R46" s="2592" t="s">
        <v>2464</v>
      </c>
    </row>
    <row r="47" spans="1:18" s="1454" customFormat="1" ht="15.75" thickBot="1">
      <c r="A47" s="2394" t="s">
        <v>2325</v>
      </c>
      <c r="B47" s="2430" t="s">
        <v>913</v>
      </c>
      <c r="C47" s="2726" t="s">
        <v>2327</v>
      </c>
      <c r="D47" s="2430" t="s">
        <v>915</v>
      </c>
      <c r="E47" s="2533" t="s">
        <v>2329</v>
      </c>
      <c r="F47" s="2534"/>
      <c r="G47" s="1456"/>
      <c r="I47" s="2549" t="s">
        <v>2412</v>
      </c>
      <c r="J47" s="2550" t="s">
        <v>3874</v>
      </c>
      <c r="K47" s="2559" t="s">
        <v>2435</v>
      </c>
      <c r="L47" s="2560">
        <f ca="1">INDIRECT("'数据-取费表'!d"&amp;$G$1)</f>
        <v>0</v>
      </c>
      <c r="M47" s="2580" t="str">
        <f>IF(ISNUMBER(FIND("住宅",C1)),"住宅","非住宅")</f>
        <v>非住宅</v>
      </c>
      <c r="O47" s="2583" t="s">
        <v>2447</v>
      </c>
      <c r="P47" s="2593" t="s">
        <v>2465</v>
      </c>
      <c r="Q47" s="2584">
        <f ca="1">C40+J29</f>
        <v>19005</v>
      </c>
      <c r="R47" s="2584" t="s">
        <v>2466</v>
      </c>
    </row>
    <row r="48" spans="1:18" s="1454" customFormat="1" ht="47.25" thickBot="1">
      <c r="A48" s="2707" t="s">
        <v>2615</v>
      </c>
      <c r="B48" s="682" t="s">
        <v>2330</v>
      </c>
      <c r="C48" s="3396">
        <f ca="1">C49+C53+C55</f>
        <v>0</v>
      </c>
      <c r="D48" s="2711"/>
      <c r="E48" s="2712"/>
      <c r="F48" s="2414"/>
      <c r="G48" s="1456"/>
      <c r="H48" s="1457"/>
      <c r="I48" s="2540" t="s">
        <v>2413</v>
      </c>
      <c r="J48" s="2551" t="s">
        <v>2414</v>
      </c>
      <c r="K48" s="2561" t="s">
        <v>681</v>
      </c>
      <c r="L48" s="2164">
        <f ca="1">INDIRECT("'数据-取费表'!f"&amp;$G$1)</f>
        <v>37.619999999999997</v>
      </c>
      <c r="O48" s="2583" t="s">
        <v>2448</v>
      </c>
      <c r="P48" s="2593" t="s">
        <v>2467</v>
      </c>
      <c r="Q48" s="2584">
        <f ca="1">J60</f>
        <v>1963</v>
      </c>
      <c r="R48" s="2584" t="s">
        <v>2475</v>
      </c>
    </row>
    <row r="49" spans="1:18" s="1454" customFormat="1" ht="15.75" thickBot="1">
      <c r="A49" s="2427" t="s">
        <v>2616</v>
      </c>
      <c r="B49" s="2710" t="s">
        <v>2618</v>
      </c>
      <c r="C49" s="2719">
        <f ca="1">ROUND(F49*F51*F50*(1-F52)/10000,0)</f>
        <v>0</v>
      </c>
      <c r="D49" s="2529" t="s">
        <v>2331</v>
      </c>
      <c r="E49" s="2532" t="s">
        <v>2324</v>
      </c>
      <c r="F49" s="2535"/>
      <c r="G49" s="1458"/>
      <c r="H49" s="1457"/>
      <c r="I49" s="2540" t="s">
        <v>2433</v>
      </c>
      <c r="J49" s="2552">
        <v>2015</v>
      </c>
      <c r="K49" s="2562" t="s">
        <v>2438</v>
      </c>
      <c r="L49" s="2563"/>
      <c r="O49" s="2585" t="s">
        <v>2449</v>
      </c>
      <c r="P49" s="2593" t="s">
        <v>2468</v>
      </c>
      <c r="Q49" s="2584">
        <f ca="1">C29</f>
        <v>4907</v>
      </c>
      <c r="R49" s="2584" t="s">
        <v>2466</v>
      </c>
    </row>
    <row r="50" spans="1:18" s="1454" customFormat="1" ht="15.75" thickBot="1">
      <c r="A50" s="2428"/>
      <c r="B50" s="2431"/>
      <c r="C50" s="2727"/>
      <c r="D50" s="2401"/>
      <c r="E50" s="2530" t="s">
        <v>918</v>
      </c>
      <c r="F50" s="2531">
        <f ca="1">F7</f>
        <v>16940.830000000002</v>
      </c>
      <c r="H50" s="1457"/>
      <c r="I50" s="2540" t="s">
        <v>2415</v>
      </c>
      <c r="J50" s="2553">
        <f>SUMPRODUCT((I63:I65=J47)*(J62:L62=J48)*(J63:L65))</f>
        <v>60</v>
      </c>
      <c r="K50" s="2562" t="s">
        <v>2439</v>
      </c>
      <c r="L50" s="2563"/>
      <c r="M50" s="2557"/>
      <c r="O50" s="2585" t="s">
        <v>2450</v>
      </c>
      <c r="P50" s="2593" t="s">
        <v>2476</v>
      </c>
      <c r="Q50" s="2586">
        <f ca="1">J58</f>
        <v>0.4</v>
      </c>
      <c r="R50" s="2584"/>
    </row>
    <row r="51" spans="1:18" s="1454" customFormat="1" ht="15.75" thickBot="1">
      <c r="A51" s="2429"/>
      <c r="B51" s="2431"/>
      <c r="C51" s="2432"/>
      <c r="D51" s="2401"/>
      <c r="E51" s="2433" t="s">
        <v>2333</v>
      </c>
      <c r="F51" s="685">
        <f ca="1">F8</f>
        <v>365</v>
      </c>
      <c r="I51" s="2554" t="s">
        <v>2420</v>
      </c>
      <c r="J51" s="2555">
        <f>IF(J49="",J50,J49+J50-YEAR('数据-取费表'!B2))</f>
        <v>58</v>
      </c>
      <c r="K51" s="2564" t="s">
        <v>2440</v>
      </c>
      <c r="L51" s="2577">
        <f ca="1">ROUND(-PV(INDIRECT("'数据-取费表'!h"&amp;$G$1),L48,(C39-C13*C76),0),0)</f>
        <v>10773</v>
      </c>
      <c r="M51" s="2558"/>
      <c r="O51" s="2585" t="s">
        <v>2451</v>
      </c>
      <c r="P51" s="2593" t="s">
        <v>2477</v>
      </c>
      <c r="Q51" s="2586">
        <f>J52</f>
        <v>0</v>
      </c>
      <c r="R51" s="2584"/>
    </row>
    <row r="52" spans="1:18" s="1454" customFormat="1" ht="15.75" thickBot="1">
      <c r="A52" s="2429"/>
      <c r="B52" s="2431"/>
      <c r="C52" s="2432"/>
      <c r="D52" s="2401"/>
      <c r="E52" s="2433" t="s">
        <v>2334</v>
      </c>
      <c r="F52" s="2528"/>
      <c r="I52" s="2556" t="s">
        <v>2443</v>
      </c>
      <c r="J52" s="2570"/>
      <c r="K52" s="2556" t="s">
        <v>2428</v>
      </c>
      <c r="L52" s="2570"/>
      <c r="M52" s="2393"/>
      <c r="O52" s="2585" t="s">
        <v>2452</v>
      </c>
      <c r="P52" s="2593" t="s">
        <v>2469</v>
      </c>
      <c r="Q52" s="2584">
        <f ca="1">J53</f>
        <v>37.619999999999997</v>
      </c>
      <c r="R52" s="2584" t="s">
        <v>2470</v>
      </c>
    </row>
    <row r="53" spans="1:18" s="1454" customFormat="1" ht="43.5" thickBot="1">
      <c r="A53" s="2822" t="s">
        <v>2617</v>
      </c>
      <c r="B53" s="433" t="s">
        <v>2527</v>
      </c>
      <c r="C53" s="698">
        <f ca="1">ROUND(IF(F53="押一",F49*F51*F50/12*F11,IF(F53="押二",F49*F51*F50/12*2*F11,IF(F53="押三",F49*F51*F50/12*3*F11,C54*F11)))/10000,0)</f>
        <v>0</v>
      </c>
      <c r="D53" s="2630" t="s">
        <v>2535</v>
      </c>
      <c r="E53" s="2093" t="s">
        <v>2529</v>
      </c>
      <c r="F53" s="2824"/>
      <c r="I53" s="2566" t="s">
        <v>2445</v>
      </c>
      <c r="J53" s="2567">
        <f ca="1">IF(M47="住宅",J51,MIN(J51,L48))</f>
        <v>37.619999999999997</v>
      </c>
      <c r="K53" s="3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9"/>
      <c r="O53" s="2583" t="s">
        <v>2453</v>
      </c>
      <c r="P53" s="2593" t="s">
        <v>2471</v>
      </c>
      <c r="Q53" s="2584">
        <f ca="1">Q47+Q48</f>
        <v>20968</v>
      </c>
      <c r="R53" s="2584" t="s">
        <v>2454</v>
      </c>
    </row>
    <row r="54" spans="1:18" s="1454" customFormat="1" ht="16.5" thickBot="1">
      <c r="A54" s="2823"/>
      <c r="B54" s="2620" t="s">
        <v>2693</v>
      </c>
      <c r="C54" s="2411"/>
      <c r="D54" s="2630"/>
      <c r="E54" s="3384"/>
      <c r="F54" s="2536"/>
      <c r="I54" s="2408"/>
      <c r="J54" s="2565"/>
      <c r="K54" s="2565"/>
      <c r="L54" s="2565"/>
      <c r="M54" s="1458"/>
      <c r="O54" s="2587" t="s">
        <v>2478</v>
      </c>
      <c r="P54" s="1295"/>
      <c r="Q54" s="1295"/>
      <c r="R54" s="1295"/>
    </row>
    <row r="55" spans="1:18" s="1454" customFormat="1" ht="15.75" thickBot="1">
      <c r="A55" s="2666" t="s">
        <v>2540</v>
      </c>
      <c r="B55" s="2667" t="s">
        <v>2528</v>
      </c>
      <c r="C55" s="2668"/>
      <c r="D55" s="2630"/>
      <c r="E55" s="3384"/>
      <c r="F55" s="2536"/>
      <c r="I55" s="3314" t="s">
        <v>2421</v>
      </c>
      <c r="J55" s="3313">
        <f ca="1">ROUND(IF(J47="钢混",J57/J50,1-(1-2%)*(J50-J57)/J50),3)</f>
        <v>0.34</v>
      </c>
      <c r="K55" s="2547" t="s">
        <v>2422</v>
      </c>
      <c r="L55" s="2569"/>
      <c r="O55" s="2590" t="s">
        <v>2462</v>
      </c>
      <c r="P55" s="2591" t="s">
        <v>2463</v>
      </c>
      <c r="Q55" s="2592" t="s">
        <v>2461</v>
      </c>
      <c r="R55" s="2592" t="s">
        <v>2464</v>
      </c>
    </row>
    <row r="56" spans="1:18" s="1454" customFormat="1" ht="44.25" thickTop="1" thickBot="1">
      <c r="A56" s="2405">
        <v>2</v>
      </c>
      <c r="B56" s="2406" t="s">
        <v>2335</v>
      </c>
      <c r="C56" s="608">
        <f ca="1">C13</f>
        <v>4760</v>
      </c>
      <c r="D56" s="2694"/>
      <c r="E56" s="2407"/>
      <c r="F56" s="2536"/>
      <c r="I56" s="2539" t="s">
        <v>2423</v>
      </c>
      <c r="J56" s="2568" t="s">
        <v>41</v>
      </c>
      <c r="K56" s="2540" t="s">
        <v>2427</v>
      </c>
      <c r="L56" s="2164" t="str">
        <f ca="1">IF(L48&lt;J51,"——",L48-J51)</f>
        <v>——</v>
      </c>
      <c r="O56" s="2583" t="s">
        <v>2447</v>
      </c>
      <c r="P56" s="2593" t="s">
        <v>2465</v>
      </c>
      <c r="Q56" s="2584">
        <f ca="1">C40+J29</f>
        <v>19005</v>
      </c>
      <c r="R56" s="2584" t="s">
        <v>2466</v>
      </c>
    </row>
    <row r="57" spans="1:18" s="1454" customFormat="1" ht="29.25" thickBot="1">
      <c r="A57" s="2537"/>
      <c r="B57" s="2398" t="s">
        <v>970</v>
      </c>
      <c r="C57" s="614">
        <f ca="1">C29</f>
        <v>4907</v>
      </c>
      <c r="D57" s="2409"/>
      <c r="E57" s="2410"/>
      <c r="F57" s="2538"/>
      <c r="I57" s="2541" t="s">
        <v>2444</v>
      </c>
      <c r="J57" s="2545">
        <f ca="1">IF(OR(M47="住宅",J51&lt;L48,J56="是"),"——",J51-L48)</f>
        <v>20.380000000000003</v>
      </c>
      <c r="K57" s="2540" t="s">
        <v>2896</v>
      </c>
      <c r="L57" s="2164" t="str">
        <f ca="1">IF(L48&lt;J51,"——",IF(L55="比较法",L49,IF(L55="基准地价",L50,L51)))</f>
        <v>——</v>
      </c>
      <c r="O57" s="2583" t="s">
        <v>2448</v>
      </c>
      <c r="P57" s="2593" t="s">
        <v>2472</v>
      </c>
      <c r="Q57" s="2584">
        <f ca="1">L60</f>
        <v>0</v>
      </c>
      <c r="R57" s="2584" t="s">
        <v>2487</v>
      </c>
    </row>
    <row r="58" spans="1:18" s="1454" customFormat="1" ht="29.25" thickBot="1">
      <c r="A58" s="697" t="s">
        <v>2336</v>
      </c>
      <c r="B58" s="2406" t="s">
        <v>928</v>
      </c>
      <c r="C58" s="698">
        <f ca="1">ROUND(C59+C64+C65+C66,0)</f>
        <v>126</v>
      </c>
      <c r="D58" s="2412" t="s">
        <v>2367</v>
      </c>
      <c r="E58" s="2413"/>
      <c r="F58" s="2414"/>
      <c r="I58" s="2541" t="s">
        <v>2424</v>
      </c>
      <c r="J58" s="3315">
        <f ca="1">IF(J55&lt;0.4,0.4,J55)</f>
        <v>0.4</v>
      </c>
      <c r="K58" s="2564" t="s">
        <v>2897</v>
      </c>
      <c r="L58" s="2164">
        <f ca="1">IF(ISERROR(POWER(1+L52,L47-L48)*(POWER(1+L52,L48)-1)/(POWER(1+L52,L47)-1)),0,POWER(1+L52,L47-L48)*(POWER(1+L52,L48)-1)/(POWER(1+L52,L47)-1))</f>
        <v>0</v>
      </c>
      <c r="O58" s="2585" t="s">
        <v>2449</v>
      </c>
      <c r="P58" s="2593" t="s">
        <v>2479</v>
      </c>
      <c r="Q58" s="2584">
        <f>IF(L55="比较法",L49,IF(L55="基准地价",L50,0))</f>
        <v>0</v>
      </c>
      <c r="R58" s="2584" t="s">
        <v>2466</v>
      </c>
    </row>
    <row r="59" spans="1:18" s="1454" customFormat="1" ht="29.25" thickBot="1">
      <c r="A59" s="2434" t="s">
        <v>2371</v>
      </c>
      <c r="B59" s="2398" t="s">
        <v>361</v>
      </c>
      <c r="C59" s="313">
        <f ca="1">ROUND(IF(项目基本情况!B11="自然人",C48*F59,C60+C61+C62),1)</f>
        <v>42.6</v>
      </c>
      <c r="D59" s="2415" t="s">
        <v>2337</v>
      </c>
      <c r="E59" s="2416" t="s">
        <v>2338</v>
      </c>
      <c r="F59" s="708" t="str">
        <f ca="1">IF(项目基本情况!B11="企业","",IF(INDIRECT("'数据-取费表'!c"&amp;$G$1)="住宅",5%,IF(F49*F50*F51/12/(1+'数据-取费表'!C42)&gt;20000,12%,7%)))</f>
        <v/>
      </c>
      <c r="I59" s="2541" t="s">
        <v>2425</v>
      </c>
      <c r="J59" s="2545">
        <f ca="1">IF(OR(M47="住宅",J51&lt;L48,J56="是"),"——",ROUND(C29*J58,0))</f>
        <v>1963</v>
      </c>
      <c r="K59" s="2564" t="s">
        <v>2898</v>
      </c>
      <c r="L59" s="2164">
        <f ca="1">IF(ISERROR(POWER(1+L52,L47-J51)*(POWER(1+L52,J51)-1)/(POWER(1+L52,L47)-1)),0,POWER(1+L52,L47-J51)*(POWER(1+L52,J51)-1)/(POWER(1+L52,L47)-1))</f>
        <v>0</v>
      </c>
      <c r="O59" s="2585" t="s">
        <v>2450</v>
      </c>
      <c r="P59" s="2593" t="s">
        <v>2480</v>
      </c>
      <c r="Q59" s="2586">
        <f>L52</f>
        <v>0</v>
      </c>
      <c r="R59" s="2584"/>
    </row>
    <row r="60" spans="1:18" s="1454" customFormat="1" ht="20.25" thickBot="1">
      <c r="A60" s="2434" t="s">
        <v>2368</v>
      </c>
      <c r="B60" s="2398" t="s">
        <v>2339</v>
      </c>
      <c r="C60" s="313">
        <f ca="1">IF(项目基本情况!B11="自然人","——",ROUND(C48*F60/(1+'数据-取费表'!C42),2))</f>
        <v>0</v>
      </c>
      <c r="D60" s="2416" t="s">
        <v>2340</v>
      </c>
      <c r="E60" s="2398" t="s">
        <v>363</v>
      </c>
      <c r="F60" s="717">
        <f t="shared" ref="F60:F66" si="0">F32</f>
        <v>5.6000000000000001E-2</v>
      </c>
      <c r="I60" s="2542" t="s">
        <v>2426</v>
      </c>
      <c r="J60" s="2546">
        <f ca="1">IF(OR(M47="住宅",J51&lt;L48,J56="是"),"0",ROUND(J59/(1+J52)^J53,0))</f>
        <v>1963</v>
      </c>
      <c r="K60" s="2548" t="s">
        <v>2429</v>
      </c>
      <c r="L60" s="2546">
        <f ca="1">IF(OR(M47="住宅",L48&lt;J51),0,ROUND(L57*(L58/L59-1),0))</f>
        <v>0</v>
      </c>
      <c r="O60" s="2585" t="s">
        <v>2451</v>
      </c>
      <c r="P60" s="2593" t="s">
        <v>2481</v>
      </c>
      <c r="Q60" s="2584">
        <f ca="1">L58</f>
        <v>0</v>
      </c>
      <c r="R60" s="2584" t="s">
        <v>2456</v>
      </c>
    </row>
    <row r="61" spans="1:18" s="1454" customFormat="1" ht="20.25" thickBot="1">
      <c r="A61" s="2434" t="s">
        <v>2369</v>
      </c>
      <c r="B61" s="2398" t="s">
        <v>937</v>
      </c>
      <c r="C61" s="313">
        <f ca="1">IF(项目基本情况!B11="自然人","——",IF(D61="按租金收入计税",ROUND(C48*F61,2),IF(D61="按房产原值计税",ROUND(C57*F61*0.7,2),INDIRECT("'数据-取费表'!Aj"&amp;$G$1))))</f>
        <v>41.22</v>
      </c>
      <c r="D61" s="1300" t="s">
        <v>2411</v>
      </c>
      <c r="E61" s="2398" t="s">
        <v>363</v>
      </c>
      <c r="F61" s="707">
        <f t="shared" si="0"/>
        <v>1.2E-2</v>
      </c>
      <c r="I61" s="2408"/>
      <c r="J61" s="2408"/>
      <c r="K61" s="2408"/>
      <c r="L61" s="2408"/>
      <c r="O61" s="2585" t="s">
        <v>2452</v>
      </c>
      <c r="P61" s="2593" t="s">
        <v>2482</v>
      </c>
      <c r="Q61" s="2584">
        <f ca="1">L59</f>
        <v>0</v>
      </c>
      <c r="R61" s="2584" t="s">
        <v>2457</v>
      </c>
    </row>
    <row r="62" spans="1:18" s="1454" customFormat="1" ht="15.75" thickBot="1">
      <c r="A62" s="2434" t="s">
        <v>2370</v>
      </c>
      <c r="B62" s="2397" t="s">
        <v>939</v>
      </c>
      <c r="C62" s="314">
        <f ca="1">IF(项目基本情况!B11="自然人","——",ROUND(F62*F63/10000,2))</f>
        <v>1.37</v>
      </c>
      <c r="D62" s="2417" t="s">
        <v>940</v>
      </c>
      <c r="E62" s="2398" t="s">
        <v>941</v>
      </c>
      <c r="F62" s="711">
        <f t="shared" si="0"/>
        <v>4</v>
      </c>
      <c r="I62" s="2543" t="s">
        <v>2416</v>
      </c>
      <c r="J62" s="2544" t="s">
        <v>2417</v>
      </c>
      <c r="K62" s="2544" t="s">
        <v>2418</v>
      </c>
      <c r="L62" s="2544" t="s">
        <v>2414</v>
      </c>
      <c r="M62" s="3316" t="s">
        <v>3031</v>
      </c>
      <c r="O62" s="2583" t="s">
        <v>2453</v>
      </c>
      <c r="P62" s="2593" t="s">
        <v>2471</v>
      </c>
      <c r="Q62" s="2584">
        <f ca="1">Q56+Q57</f>
        <v>19005</v>
      </c>
      <c r="R62" s="2584" t="s">
        <v>2454</v>
      </c>
    </row>
    <row r="63" spans="1:18" s="1454" customFormat="1" ht="16.5" thickBot="1">
      <c r="A63" s="712"/>
      <c r="B63" s="2404"/>
      <c r="C63" s="318"/>
      <c r="D63" s="2418"/>
      <c r="E63" s="2398" t="s">
        <v>945</v>
      </c>
      <c r="F63" s="685">
        <f t="shared" ca="1" si="0"/>
        <v>3426.96</v>
      </c>
      <c r="I63" s="2543" t="s">
        <v>2430</v>
      </c>
      <c r="J63" s="3319">
        <v>70</v>
      </c>
      <c r="K63" s="3319">
        <v>50</v>
      </c>
      <c r="L63" s="3319">
        <v>80</v>
      </c>
      <c r="M63" s="3317">
        <v>0.02</v>
      </c>
      <c r="O63" s="2587" t="s">
        <v>2485</v>
      </c>
      <c r="P63" s="1295"/>
      <c r="Q63" s="1295"/>
      <c r="R63" s="1295"/>
    </row>
    <row r="64" spans="1:18" s="1454" customFormat="1" ht="15.75" thickBot="1">
      <c r="A64" s="2434" t="s">
        <v>2378</v>
      </c>
      <c r="B64" s="2398" t="s">
        <v>2347</v>
      </c>
      <c r="C64" s="313">
        <f ca="1">ROUND(C57*F64,1)</f>
        <v>73.599999999999994</v>
      </c>
      <c r="D64" s="2416" t="s">
        <v>2348</v>
      </c>
      <c r="E64" s="2398" t="s">
        <v>363</v>
      </c>
      <c r="F64" s="714">
        <f t="shared" ca="1" si="0"/>
        <v>1.4999999999999999E-2</v>
      </c>
      <c r="I64" s="2543" t="s">
        <v>105</v>
      </c>
      <c r="J64" s="3319">
        <v>50</v>
      </c>
      <c r="K64" s="3319">
        <v>35</v>
      </c>
      <c r="L64" s="3319">
        <v>60</v>
      </c>
      <c r="M64" s="3318">
        <v>0</v>
      </c>
      <c r="O64" s="2590" t="s">
        <v>2462</v>
      </c>
      <c r="P64" s="2591" t="s">
        <v>2463</v>
      </c>
      <c r="Q64" s="2592" t="s">
        <v>2461</v>
      </c>
      <c r="R64" s="2592" t="s">
        <v>2464</v>
      </c>
    </row>
    <row r="65" spans="1:18" s="1454" customFormat="1" ht="15.75" thickBot="1">
      <c r="A65" s="2434" t="s">
        <v>2372</v>
      </c>
      <c r="B65" s="2398" t="s">
        <v>366</v>
      </c>
      <c r="C65" s="313">
        <f ca="1">ROUND(C56*F65,1)</f>
        <v>9.5</v>
      </c>
      <c r="D65" s="2416" t="s">
        <v>367</v>
      </c>
      <c r="E65" s="2398" t="s">
        <v>363</v>
      </c>
      <c r="F65" s="716">
        <f t="shared" ca="1" si="0"/>
        <v>2E-3</v>
      </c>
      <c r="I65" s="2543" t="s">
        <v>2432</v>
      </c>
      <c r="J65" s="3319">
        <v>40</v>
      </c>
      <c r="K65" s="3319">
        <v>30</v>
      </c>
      <c r="L65" s="3319">
        <v>50</v>
      </c>
      <c r="M65" s="3317">
        <v>0.02</v>
      </c>
      <c r="O65" s="2583" t="s">
        <v>2447</v>
      </c>
      <c r="P65" s="2593" t="s">
        <v>2465</v>
      </c>
      <c r="Q65" s="2584">
        <f ca="1">C40+J29</f>
        <v>19005</v>
      </c>
      <c r="R65" s="2584" t="s">
        <v>2466</v>
      </c>
    </row>
    <row r="66" spans="1:18" s="1454" customFormat="1" ht="20.25" thickBot="1">
      <c r="A66" s="2434" t="s">
        <v>2373</v>
      </c>
      <c r="B66" s="2398" t="s">
        <v>365</v>
      </c>
      <c r="C66" s="313">
        <f ca="1">ROUND(C48*F66,1)</f>
        <v>0</v>
      </c>
      <c r="D66" s="2416" t="s">
        <v>369</v>
      </c>
      <c r="E66" s="2398" t="s">
        <v>363</v>
      </c>
      <c r="F66" s="694">
        <f t="shared" ca="1" si="0"/>
        <v>0.01</v>
      </c>
      <c r="O66" s="2583" t="s">
        <v>2448</v>
      </c>
      <c r="P66" s="2593" t="s">
        <v>2472</v>
      </c>
      <c r="Q66" s="2584">
        <f ca="1">L60</f>
        <v>0</v>
      </c>
      <c r="R66" s="2584" t="s">
        <v>2455</v>
      </c>
    </row>
    <row r="67" spans="1:18" s="1454" customFormat="1" ht="24.75" thickBot="1">
      <c r="A67" s="2405" t="s">
        <v>2351</v>
      </c>
      <c r="B67" s="2419" t="s">
        <v>2352</v>
      </c>
      <c r="C67" s="698">
        <f ca="1">C48-C58</f>
        <v>-126</v>
      </c>
      <c r="D67" s="2415" t="s">
        <v>376</v>
      </c>
      <c r="E67" s="2420"/>
      <c r="F67" s="2421"/>
      <c r="O67" s="2585" t="s">
        <v>2449</v>
      </c>
      <c r="P67" s="2593" t="s">
        <v>2479</v>
      </c>
      <c r="Q67" s="2588">
        <f ca="1">L51</f>
        <v>10773</v>
      </c>
      <c r="R67" s="2589" t="s">
        <v>2489</v>
      </c>
    </row>
    <row r="68" spans="1:18" s="1454" customFormat="1" ht="20.25" thickBot="1">
      <c r="A68" s="2395" t="s">
        <v>2354</v>
      </c>
      <c r="B68" s="2396" t="s">
        <v>2355</v>
      </c>
      <c r="C68" s="683">
        <f ca="1">ROUND(C67*(1-((1+F70)/(1+F68))^F69)/(F68-F70),0)</f>
        <v>-1985</v>
      </c>
      <c r="D68" s="2417" t="s">
        <v>2356</v>
      </c>
      <c r="E68" s="2398" t="s">
        <v>372</v>
      </c>
      <c r="F68" s="694">
        <f ca="1">F40</f>
        <v>5.5E-2</v>
      </c>
      <c r="O68" s="2585" t="s">
        <v>2450</v>
      </c>
      <c r="P68" s="2594" t="s">
        <v>2483</v>
      </c>
      <c r="Q68" s="2584">
        <f ca="1">ROUND(Q69-Q70*Q71,0)</f>
        <v>599</v>
      </c>
      <c r="R68" s="2584" t="s">
        <v>2488</v>
      </c>
    </row>
    <row r="69" spans="1:18" s="1454" customFormat="1" ht="15.75" thickBot="1">
      <c r="A69" s="2399"/>
      <c r="B69" s="2400"/>
      <c r="C69" s="688"/>
      <c r="D69" s="2422" t="s">
        <v>2358</v>
      </c>
      <c r="E69" s="2398" t="s">
        <v>379</v>
      </c>
      <c r="F69" s="719">
        <f ca="1">F41</f>
        <v>37.619999999999997</v>
      </c>
      <c r="O69" s="2585" t="s">
        <v>2458</v>
      </c>
      <c r="P69" s="2594" t="s">
        <v>2473</v>
      </c>
      <c r="Q69" s="2584">
        <f ca="1">C39</f>
        <v>861</v>
      </c>
      <c r="R69" s="2584" t="s">
        <v>2466</v>
      </c>
    </row>
    <row r="70" spans="1:18" s="1454" customFormat="1" ht="15.75" thickBot="1">
      <c r="A70" s="2402"/>
      <c r="B70" s="2403"/>
      <c r="C70" s="692"/>
      <c r="D70" s="2418"/>
      <c r="E70" s="2398" t="s">
        <v>2360</v>
      </c>
      <c r="F70" s="2528"/>
      <c r="O70" s="2585" t="s">
        <v>2459</v>
      </c>
      <c r="P70" s="2594" t="s">
        <v>2474</v>
      </c>
      <c r="Q70" s="2584">
        <f ca="1">C13</f>
        <v>4760</v>
      </c>
      <c r="R70" s="2584" t="s">
        <v>2466</v>
      </c>
    </row>
    <row r="71" spans="1:18" s="1454" customFormat="1" ht="15.75" thickBot="1">
      <c r="A71" s="2423" t="s">
        <v>2361</v>
      </c>
      <c r="B71" s="2424" t="s">
        <v>2362</v>
      </c>
      <c r="C71" s="722">
        <f ca="1">ROUND(C68*10000/F71,0)</f>
        <v>-1172</v>
      </c>
      <c r="D71" s="2425" t="s">
        <v>382</v>
      </c>
      <c r="E71" s="2426" t="s">
        <v>383</v>
      </c>
      <c r="F71" s="725">
        <f ca="1">F43</f>
        <v>16940.830000000002</v>
      </c>
      <c r="I71" s="2393"/>
      <c r="K71" s="2393"/>
      <c r="O71" s="2585" t="s">
        <v>2460</v>
      </c>
      <c r="P71" s="2594" t="s">
        <v>2486</v>
      </c>
      <c r="Q71" s="2586">
        <f ca="1">C76</f>
        <v>5.5E-2</v>
      </c>
      <c r="R71" s="2584"/>
    </row>
    <row r="72" spans="1:18" s="1454" customFormat="1" ht="15.75" thickBot="1">
      <c r="B72" s="1459"/>
      <c r="C72" s="1459"/>
      <c r="I72" s="2393"/>
      <c r="O72" s="2585" t="s">
        <v>2451</v>
      </c>
      <c r="P72" s="2593" t="s">
        <v>2480</v>
      </c>
      <c r="Q72" s="2586">
        <f>L52</f>
        <v>0</v>
      </c>
      <c r="R72" s="2584"/>
    </row>
    <row r="73" spans="1:18" ht="20.25" thickBot="1">
      <c r="A73" s="1454"/>
      <c r="B73" s="1459"/>
      <c r="C73" s="1459"/>
      <c r="D73" s="1454"/>
      <c r="E73" s="1454"/>
      <c r="F73" s="1454"/>
      <c r="I73" s="2579"/>
      <c r="O73" s="2585" t="s">
        <v>2452</v>
      </c>
      <c r="P73" s="2593" t="s">
        <v>2481</v>
      </c>
      <c r="Q73" s="2584">
        <f ca="1">L58</f>
        <v>0</v>
      </c>
      <c r="R73" s="2584" t="s">
        <v>2456</v>
      </c>
    </row>
    <row r="74" spans="1:18" ht="20.25" thickBot="1">
      <c r="A74" s="1454"/>
      <c r="B74" s="727" t="s">
        <v>384</v>
      </c>
      <c r="C74" s="728"/>
      <c r="D74" s="1454"/>
      <c r="E74" s="1454"/>
      <c r="F74" s="1454"/>
      <c r="O74" s="2585" t="s">
        <v>2490</v>
      </c>
      <c r="P74" s="2593" t="s">
        <v>2482</v>
      </c>
      <c r="Q74" s="2584">
        <f ca="1">L59</f>
        <v>0</v>
      </c>
      <c r="R74" s="2584" t="s">
        <v>2457</v>
      </c>
    </row>
    <row r="75" spans="1:18" ht="15.75" thickBot="1">
      <c r="A75" s="1454"/>
      <c r="B75" s="729" t="s">
        <v>975</v>
      </c>
      <c r="C75" s="730">
        <f ca="1">ROUND(C13*C76,0)</f>
        <v>262</v>
      </c>
      <c r="D75" s="1454"/>
      <c r="E75" s="1454"/>
      <c r="F75" s="1454"/>
      <c r="K75" s="1455"/>
      <c r="L75" s="1454"/>
      <c r="O75" s="2583" t="s">
        <v>2453</v>
      </c>
      <c r="P75" s="2593" t="s">
        <v>2471</v>
      </c>
      <c r="Q75" s="2584">
        <f ca="1">Q65+Q66</f>
        <v>19005</v>
      </c>
      <c r="R75" s="2584" t="s">
        <v>2454</v>
      </c>
    </row>
    <row r="76" spans="1:18">
      <c r="B76" s="731" t="s">
        <v>976</v>
      </c>
      <c r="C76" s="732">
        <f ca="1">INDIRECT("'数据-取费表'!j"&amp;$G$1)</f>
        <v>5.5E-2</v>
      </c>
      <c r="I76" s="1454"/>
      <c r="J76" s="1454"/>
      <c r="K76" s="1455"/>
      <c r="L76" s="1454"/>
    </row>
    <row r="77" spans="1:18">
      <c r="B77" s="733" t="s">
        <v>979</v>
      </c>
      <c r="C77" s="734"/>
      <c r="I77" s="1454"/>
      <c r="J77" s="1454"/>
      <c r="K77" s="1455"/>
      <c r="L77" s="1454"/>
    </row>
    <row r="78" spans="1:18">
      <c r="B78" s="646" t="s">
        <v>2694</v>
      </c>
      <c r="C78" s="735"/>
    </row>
    <row r="79" spans="1:18">
      <c r="B79" s="2869" t="s">
        <v>2698</v>
      </c>
      <c r="C79" s="650">
        <f ca="1">1-C80</f>
        <v>0.69599999999999995</v>
      </c>
    </row>
    <row r="80" spans="1:18">
      <c r="B80" s="2869" t="s">
        <v>2697</v>
      </c>
      <c r="C80" s="650">
        <f ca="1">ROUND(C75/C39,3)</f>
        <v>0.30399999999999999</v>
      </c>
    </row>
    <row r="81" spans="2:3">
      <c r="B81" s="646" t="s">
        <v>385</v>
      </c>
      <c r="C81" s="647"/>
    </row>
    <row r="82" spans="2:3">
      <c r="B82" s="2868" t="s">
        <v>2696</v>
      </c>
      <c r="C82" s="651">
        <f ca="1">1-C83</f>
        <v>0.75</v>
      </c>
    </row>
    <row r="83" spans="2:3">
      <c r="B83" s="2868" t="s">
        <v>2695</v>
      </c>
      <c r="C83" s="650">
        <f ca="1">ROUND(C13/C40,3)</f>
        <v>0.25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0" priority="5">
      <formula>$L$48&gt;$J$51</formula>
    </cfRule>
  </conditionalFormatting>
  <conditionalFormatting sqref="I55 I60">
    <cfRule type="expression" dxfId="89" priority="4">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88"/>
      <c r="D1" s="1273"/>
      <c r="E1" s="2581" t="s">
        <v>537</v>
      </c>
      <c r="F1" s="2582">
        <f ca="1">J53</f>
        <v>0</v>
      </c>
      <c r="G1" s="672">
        <f>MATCH(C1,'数据-取费表'!A6:A16,0)+5</f>
        <v>10</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t="e">
        <f ca="1">ROUND(D2/10000,0)</f>
        <v>#DIV/0!</v>
      </c>
      <c r="C2" s="1299" t="s">
        <v>1100</v>
      </c>
      <c r="D2" s="2720" t="e">
        <f ca="1">C40+J29+L46</f>
        <v>#DIV/0!</v>
      </c>
      <c r="E2" s="2571" t="s">
        <v>2619</v>
      </c>
      <c r="F2" s="1276"/>
      <c r="G2" s="2283"/>
      <c r="H2" s="1274"/>
      <c r="I2" s="1274"/>
      <c r="J2" s="1274"/>
      <c r="K2" s="1298"/>
      <c r="L2" s="1274"/>
      <c r="M2" s="1274"/>
    </row>
    <row r="3" spans="1:37" ht="18" customHeight="1" thickBot="1">
      <c r="A3" s="675" t="s">
        <v>344</v>
      </c>
      <c r="B3" s="1407">
        <f ca="1">IF(ISERROR(D2/F43),0,ROUND(D2/F43,0))</f>
        <v>0</v>
      </c>
      <c r="C3" s="1299" t="s">
        <v>1101</v>
      </c>
      <c r="D3" s="1275"/>
      <c r="E3" s="2571"/>
      <c r="F3" s="1276"/>
      <c r="G3" s="2283"/>
      <c r="H3" s="676" t="s">
        <v>911</v>
      </c>
      <c r="I3" s="1274"/>
      <c r="J3" s="1274"/>
      <c r="K3" s="1298"/>
      <c r="L3" s="1274"/>
      <c r="M3" s="1274"/>
    </row>
    <row r="4" spans="1:37" ht="18" customHeight="1">
      <c r="A4" s="677" t="s">
        <v>912</v>
      </c>
      <c r="B4" s="678" t="s">
        <v>913</v>
      </c>
      <c r="C4" s="678" t="s">
        <v>914</v>
      </c>
      <c r="D4" s="678" t="s">
        <v>915</v>
      </c>
      <c r="E4" s="679" t="s">
        <v>916</v>
      </c>
      <c r="F4" s="680"/>
      <c r="G4" s="2284"/>
      <c r="H4" s="677" t="s">
        <v>912</v>
      </c>
      <c r="I4" s="678" t="s">
        <v>913</v>
      </c>
      <c r="J4" s="678" t="s">
        <v>914</v>
      </c>
      <c r="K4" s="678" t="s">
        <v>915</v>
      </c>
      <c r="L4" s="679" t="s">
        <v>916</v>
      </c>
      <c r="M4" s="680"/>
    </row>
    <row r="5" spans="1:37" ht="18" customHeight="1">
      <c r="A5" s="681">
        <v>1</v>
      </c>
      <c r="B5" s="682" t="s">
        <v>2330</v>
      </c>
      <c r="C5" s="2622">
        <f ca="1">C6+C10+C12</f>
        <v>0</v>
      </c>
      <c r="D5" s="2632" t="s">
        <v>2533</v>
      </c>
      <c r="E5" s="2623"/>
      <c r="F5" s="2624"/>
      <c r="G5" s="2284"/>
      <c r="H5" s="681">
        <v>1</v>
      </c>
      <c r="I5" s="682" t="s">
        <v>2330</v>
      </c>
      <c r="J5" s="2622">
        <f ca="1">J6+J10+J12</f>
        <v>0</v>
      </c>
      <c r="K5" s="2625" t="s">
        <v>2533</v>
      </c>
      <c r="L5" s="2623"/>
      <c r="M5" s="2624"/>
    </row>
    <row r="6" spans="1:37" ht="18" customHeight="1">
      <c r="A6" s="2618" t="s">
        <v>2371</v>
      </c>
      <c r="B6" s="3760" t="s">
        <v>2532</v>
      </c>
      <c r="C6" s="2627">
        <f ca="1">ROUND(F6*F8*F7*(1-F9),0)</f>
        <v>0</v>
      </c>
      <c r="D6" s="2621" t="s">
        <v>2534</v>
      </c>
      <c r="E6" s="684" t="s">
        <v>917</v>
      </c>
      <c r="F6" s="685">
        <f ca="1">INDIRECT("'数据-取费表'!u"&amp;$G$1)</f>
        <v>0</v>
      </c>
      <c r="G6" s="2284"/>
      <c r="H6" s="2618" t="s">
        <v>2371</v>
      </c>
      <c r="I6" s="3760" t="s">
        <v>2532</v>
      </c>
      <c r="J6" s="683">
        <f ca="1">ROUND(M6*M8*M7*(1-M9),0)</f>
        <v>0</v>
      </c>
      <c r="K6" s="2621" t="s">
        <v>2534</v>
      </c>
      <c r="L6" s="684" t="s">
        <v>917</v>
      </c>
      <c r="M6" s="685">
        <f ca="1">INDIRECT("'数据-取费表'!z"&amp;$G$1)</f>
        <v>0</v>
      </c>
    </row>
    <row r="7" spans="1:37" ht="18" customHeight="1">
      <c r="A7" s="2626"/>
      <c r="B7" s="3761"/>
      <c r="C7" s="2628"/>
      <c r="D7" s="2057"/>
      <c r="E7" s="2629" t="s">
        <v>918</v>
      </c>
      <c r="F7" s="685">
        <f ca="1">IF(INDIRECT("'数据-取费表'!ah"&amp;$G$1)="",INDIRECT("'数据-取费表'!k"&amp;$G$1),INDIRECT("'数据-取费表'!ah"&amp;$G$1))</f>
        <v>0</v>
      </c>
      <c r="G7" s="2284"/>
      <c r="H7" s="686"/>
      <c r="I7" s="3761"/>
      <c r="J7" s="688"/>
      <c r="K7" s="689"/>
      <c r="L7" s="684" t="s">
        <v>918</v>
      </c>
      <c r="M7" s="685">
        <f ca="1">F7</f>
        <v>0</v>
      </c>
    </row>
    <row r="8" spans="1:37" ht="18" customHeight="1">
      <c r="A8" s="686"/>
      <c r="B8" s="3761"/>
      <c r="C8" s="688"/>
      <c r="D8" s="689"/>
      <c r="E8" s="684" t="s">
        <v>919</v>
      </c>
      <c r="F8" s="685">
        <f ca="1">INDIRECT("'数据-取费表'!ai"&amp;$G$1)</f>
        <v>0</v>
      </c>
      <c r="G8" s="2284"/>
      <c r="H8" s="686"/>
      <c r="I8" s="3761"/>
      <c r="J8" s="688"/>
      <c r="K8" s="689"/>
      <c r="L8" s="684" t="s">
        <v>919</v>
      </c>
      <c r="M8" s="685">
        <f ca="1">INDIRECT("'数据-取费表'!ai"&amp;$G$1)</f>
        <v>0</v>
      </c>
    </row>
    <row r="9" spans="1:37" ht="18" customHeight="1">
      <c r="A9" s="686"/>
      <c r="B9" s="3762"/>
      <c r="C9" s="688"/>
      <c r="D9" s="689"/>
      <c r="E9" s="684" t="s">
        <v>920</v>
      </c>
      <c r="F9" s="694">
        <f ca="1">INDIRECT("'数据-取费表'!w"&amp;$G$1)</f>
        <v>0</v>
      </c>
      <c r="G9" s="2284"/>
      <c r="H9" s="686"/>
      <c r="I9" s="3762"/>
      <c r="J9" s="688"/>
      <c r="K9" s="689"/>
      <c r="L9" s="695" t="s">
        <v>920</v>
      </c>
      <c r="M9" s="696">
        <f ca="1">INDIRECT("'数据-取费表'!ab"&amp;$G$1)</f>
        <v>0</v>
      </c>
    </row>
    <row r="10" spans="1:37" ht="18" customHeight="1">
      <c r="A10" s="2618" t="s">
        <v>2378</v>
      </c>
      <c r="B10" s="2619" t="s">
        <v>2527</v>
      </c>
      <c r="C10" s="698">
        <f ca="1">ROUND(IF(F10="押一",F6*F8*F7/12*F11,IF(F10="押二",F6*F8*F7/12*2*F11,IF(F10="押三",F6*F8*F7/12*3*F11,C11*F11))),0)</f>
        <v>0</v>
      </c>
      <c r="D10" s="2630" t="s">
        <v>2535</v>
      </c>
      <c r="E10" s="2093" t="s">
        <v>2529</v>
      </c>
      <c r="F10" s="2824"/>
      <c r="G10" s="2284"/>
      <c r="H10" s="2618" t="s">
        <v>2378</v>
      </c>
      <c r="I10" s="2619" t="s">
        <v>2527</v>
      </c>
      <c r="J10" s="683">
        <f ca="1">ROUND(IF(M10="押一",M6*M8*M7/12*M11,IF(M10="押二",M6*M8*M7/12*2*M11,IF(M10="押三",M6*M8*M7/12*3*M11,J11*M11))),0)</f>
        <v>0</v>
      </c>
      <c r="K10" s="2630" t="s">
        <v>2535</v>
      </c>
      <c r="L10" s="2093" t="s">
        <v>2529</v>
      </c>
      <c r="M10" s="2824" t="s">
        <v>2690</v>
      </c>
    </row>
    <row r="11" spans="1:37" ht="18" customHeight="1">
      <c r="A11" s="690"/>
      <c r="B11" s="2620" t="s">
        <v>2537</v>
      </c>
      <c r="C11" s="2411"/>
      <c r="D11" s="689"/>
      <c r="E11" s="2093" t="s">
        <v>2530</v>
      </c>
      <c r="F11" s="696">
        <f ca="1">'数据-取费表'!B39</f>
        <v>1.4999999999999999E-2</v>
      </c>
      <c r="G11" s="2284"/>
      <c r="H11" s="2631"/>
      <c r="I11" s="2620" t="s">
        <v>2691</v>
      </c>
      <c r="J11" s="2411"/>
      <c r="K11" s="1280"/>
      <c r="L11" s="2093" t="s">
        <v>2530</v>
      </c>
      <c r="M11" s="2092">
        <f ca="1">'数据-取费表'!B39</f>
        <v>1.4999999999999999E-2</v>
      </c>
    </row>
    <row r="12" spans="1:37" ht="18" customHeight="1" thickBot="1">
      <c r="A12" s="2666" t="s">
        <v>2540</v>
      </c>
      <c r="B12" s="2667" t="s">
        <v>2528</v>
      </c>
      <c r="C12" s="2668"/>
      <c r="D12" s="2669"/>
      <c r="E12" s="2670"/>
      <c r="F12" s="2671"/>
      <c r="G12" s="2284"/>
      <c r="H12" s="2666" t="s">
        <v>2540</v>
      </c>
      <c r="I12" s="2667" t="s">
        <v>2528</v>
      </c>
      <c r="J12" s="2668"/>
      <c r="K12" s="2685"/>
      <c r="L12" s="2670"/>
      <c r="M12" s="2686"/>
    </row>
    <row r="13" spans="1:37" ht="18" customHeight="1" thickTop="1">
      <c r="A13" s="2662">
        <v>2</v>
      </c>
      <c r="B13" s="2663" t="s">
        <v>921</v>
      </c>
      <c r="C13" s="692">
        <f ca="1">ROUND(C29*F13,0)</f>
        <v>0</v>
      </c>
      <c r="D13" s="2664" t="s">
        <v>922</v>
      </c>
      <c r="E13" s="2664" t="s">
        <v>923</v>
      </c>
      <c r="F13" s="2665">
        <f ca="1">INDIRECT("'数据-取费表'!y"&amp;$G$1)</f>
        <v>0</v>
      </c>
      <c r="G13" s="2284"/>
      <c r="H13" s="2662">
        <v>2</v>
      </c>
      <c r="I13" s="2663" t="s">
        <v>921</v>
      </c>
      <c r="J13" s="2617">
        <f ca="1">ROUND(J14*J15,0)</f>
        <v>0</v>
      </c>
      <c r="K13" s="2672" t="s">
        <v>922</v>
      </c>
      <c r="L13" s="2683"/>
      <c r="M13" s="2684"/>
    </row>
    <row r="14" spans="1:37" ht="18" customHeight="1">
      <c r="A14" s="2434" t="s">
        <v>2368</v>
      </c>
      <c r="B14" s="684" t="s">
        <v>357</v>
      </c>
      <c r="C14" s="702">
        <f ca="1">ROUND(INDIRECT("'数据-取费表'!l"&amp;$G$1)*F43+'数据-取费表'!L14*INDIRECT("'数据-取费表'!S"&amp;$G$1),0)</f>
        <v>0</v>
      </c>
      <c r="D14" s="3357" t="s">
        <v>924</v>
      </c>
      <c r="E14" s="3356"/>
      <c r="F14" s="703"/>
      <c r="G14" s="2284"/>
      <c r="H14" s="2434" t="s">
        <v>2371</v>
      </c>
      <c r="I14" s="684" t="s">
        <v>925</v>
      </c>
      <c r="J14" s="313">
        <f ca="1">C29</f>
        <v>0</v>
      </c>
      <c r="K14" s="303"/>
      <c r="L14" s="700"/>
      <c r="M14" s="701"/>
    </row>
    <row r="15" spans="1:37" s="706" customFormat="1" ht="18" customHeight="1" thickBot="1">
      <c r="A15" s="2434" t="s">
        <v>2604</v>
      </c>
      <c r="B15" s="684" t="s">
        <v>358</v>
      </c>
      <c r="C15" s="313">
        <f ca="1">ROUND(C14*F15,0)</f>
        <v>0</v>
      </c>
      <c r="D15" s="704" t="s">
        <v>926</v>
      </c>
      <c r="E15" s="704" t="s">
        <v>363</v>
      </c>
      <c r="F15" s="705">
        <f>'数据-取费表'!B33</f>
        <v>0.03</v>
      </c>
      <c r="G15" s="2285"/>
      <c r="H15" s="2674" t="s">
        <v>2378</v>
      </c>
      <c r="I15" s="2675" t="s">
        <v>923</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2605</v>
      </c>
      <c r="B16" s="684" t="s">
        <v>359</v>
      </c>
      <c r="C16" s="313">
        <f ca="1">ROUND(INDIRECT("'数据-取费表'!l"&amp;$G$1)*F43*F16,0)</f>
        <v>0</v>
      </c>
      <c r="D16" s="684" t="s">
        <v>926</v>
      </c>
      <c r="E16" s="684" t="s">
        <v>363</v>
      </c>
      <c r="F16" s="707">
        <f ca="1">IF(INDIRECT("'数据-取费表'!c"&amp;$G$1)="住宅",'数据-取费表'!B34,0)</f>
        <v>0</v>
      </c>
      <c r="G16" s="2284"/>
      <c r="H16" s="2662" t="s">
        <v>2336</v>
      </c>
      <c r="I16" s="2663" t="s">
        <v>928</v>
      </c>
      <c r="J16" s="692">
        <f ca="1">ROUND(J17+J22+J23+J24,0)</f>
        <v>0</v>
      </c>
      <c r="K16" s="2672" t="s">
        <v>929</v>
      </c>
      <c r="L16" s="2673"/>
      <c r="M16" s="2624"/>
    </row>
    <row r="17" spans="1:37" s="706" customFormat="1" ht="18" customHeight="1">
      <c r="A17" s="2434" t="s">
        <v>2606</v>
      </c>
      <c r="B17" s="684" t="s">
        <v>360</v>
      </c>
      <c r="C17" s="313">
        <f ca="1">ROUND(F17*(F43+INDIRECT("'数据-取费表'!S"&amp;$G$1)),0)</f>
        <v>0</v>
      </c>
      <c r="D17" s="684" t="s">
        <v>930</v>
      </c>
      <c r="E17" s="684" t="s">
        <v>931</v>
      </c>
      <c r="F17" s="315">
        <f>'数据-取费表'!B35</f>
        <v>200</v>
      </c>
      <c r="G17" s="2285"/>
      <c r="H17" s="2434" t="s">
        <v>2371</v>
      </c>
      <c r="I17" s="684" t="s">
        <v>361</v>
      </c>
      <c r="J17" s="313">
        <f ca="1">ROUND(IF(项目基本情况!B11="自然人",J5*M17,J18+J19+J20),0)</f>
        <v>0</v>
      </c>
      <c r="K17" s="3357" t="s">
        <v>932</v>
      </c>
      <c r="L17" s="3358"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2607</v>
      </c>
      <c r="B18" s="684" t="s">
        <v>362</v>
      </c>
      <c r="C18" s="313">
        <f ca="1">ROUND(C14*F18,0)</f>
        <v>0</v>
      </c>
      <c r="D18" s="684" t="s">
        <v>926</v>
      </c>
      <c r="E18" s="684" t="s">
        <v>363</v>
      </c>
      <c r="F18" s="707">
        <f>'数据-取费表'!B36</f>
        <v>1.4999999999999999E-2</v>
      </c>
      <c r="G18" s="2285"/>
      <c r="H18" s="2434" t="s">
        <v>2368</v>
      </c>
      <c r="I18" s="684" t="s">
        <v>934</v>
      </c>
      <c r="J18" s="313">
        <f ca="1">ROUND(J5*M18/(1+'数据-取费表'!C42),0)</f>
        <v>0</v>
      </c>
      <c r="K18" s="3358" t="s">
        <v>935</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2371</v>
      </c>
      <c r="B19" s="684" t="s">
        <v>364</v>
      </c>
      <c r="C19" s="313">
        <f ca="1">SUM(C14:C18)</f>
        <v>0</v>
      </c>
      <c r="D19" s="471" t="s">
        <v>936</v>
      </c>
      <c r="E19" s="3360"/>
      <c r="F19" s="315"/>
      <c r="G19" s="2284"/>
      <c r="H19" s="2434" t="s">
        <v>2604</v>
      </c>
      <c r="I19" s="684" t="s">
        <v>937</v>
      </c>
      <c r="J19" s="313">
        <f ca="1">IF(K19="按租金收入计税",ROUND(J5*M19,0),ROUND(C29*M19*0.7,0))</f>
        <v>0</v>
      </c>
      <c r="K19" s="1300" t="s">
        <v>2411</v>
      </c>
      <c r="L19" s="684" t="s">
        <v>363</v>
      </c>
      <c r="M19" s="707">
        <f>IF(K19="按租金收入计税",'数据-取费表'!B51,'数据-取费表'!B50)</f>
        <v>1.2E-2</v>
      </c>
    </row>
    <row r="20" spans="1:37" s="706" customFormat="1" ht="18" customHeight="1">
      <c r="A20" s="2434" t="s">
        <v>2608</v>
      </c>
      <c r="B20" s="684" t="s">
        <v>365</v>
      </c>
      <c r="C20" s="313">
        <f ca="1">ROUND(C19*F20,0)</f>
        <v>0</v>
      </c>
      <c r="D20" s="709" t="s">
        <v>938</v>
      </c>
      <c r="E20" s="684" t="s">
        <v>363</v>
      </c>
      <c r="F20" s="707">
        <f>'数据-取费表'!B37</f>
        <v>1.4999999999999999E-2</v>
      </c>
      <c r="G20" s="2285"/>
      <c r="H20" s="2434" t="s">
        <v>2605</v>
      </c>
      <c r="I20" s="496" t="s">
        <v>939</v>
      </c>
      <c r="J20" s="314">
        <f ca="1">ROUND(M20*M21,0)</f>
        <v>0</v>
      </c>
      <c r="K20" s="710" t="s">
        <v>940</v>
      </c>
      <c r="L20" s="684" t="s">
        <v>941</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2609</v>
      </c>
      <c r="B21" s="684" t="s">
        <v>942</v>
      </c>
      <c r="C21" s="313" t="s">
        <v>23</v>
      </c>
      <c r="D21" s="709" t="s">
        <v>943</v>
      </c>
      <c r="E21" s="684" t="s">
        <v>944</v>
      </c>
      <c r="F21" s="707">
        <f>'数据-取费表'!B38</f>
        <v>1.4999999999999999E-2</v>
      </c>
      <c r="G21" s="2285"/>
      <c r="H21" s="712"/>
      <c r="I21" s="693"/>
      <c r="J21" s="318"/>
      <c r="K21" s="713"/>
      <c r="L21" s="684" t="s">
        <v>945</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2610</v>
      </c>
      <c r="B22" s="684" t="s">
        <v>946</v>
      </c>
      <c r="C22" s="313"/>
      <c r="D22" s="2697" t="str">
        <f>IF(F23&lt;=1,"单利计息。","复利计息。")&amp;"建造成本、管理费用、销售费用产生的利息。"</f>
        <v>复利计息。建造成本、管理费用、销售费用产生的利息。</v>
      </c>
      <c r="E22" s="3360"/>
      <c r="F22" s="315"/>
      <c r="G22" s="2284"/>
      <c r="H22" s="2434" t="s">
        <v>2378</v>
      </c>
      <c r="I22" s="684" t="s">
        <v>947</v>
      </c>
      <c r="J22" s="313">
        <f ca="1">ROUND(J14*M22,0)</f>
        <v>0</v>
      </c>
      <c r="K22" s="3358" t="s">
        <v>948</v>
      </c>
      <c r="L22" s="684" t="s">
        <v>363</v>
      </c>
      <c r="M22" s="714">
        <f ca="1">INDIRECT("'数据-取费表'!Ak"&amp;$G$1)</f>
        <v>0</v>
      </c>
    </row>
    <row r="23" spans="1:37" s="706" customFormat="1" ht="18" customHeight="1">
      <c r="A23" s="2434" t="s">
        <v>2368</v>
      </c>
      <c r="B23" s="684" t="s">
        <v>2524</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949</v>
      </c>
      <c r="F23" s="711">
        <f>'数据-取费表'!B20</f>
        <v>3</v>
      </c>
      <c r="G23" s="2285"/>
      <c r="H23" s="2434" t="s">
        <v>2609</v>
      </c>
      <c r="I23" s="684" t="s">
        <v>366</v>
      </c>
      <c r="J23" s="313">
        <f ca="1">ROUND(J13*M23,0)</f>
        <v>0</v>
      </c>
      <c r="K23" s="3358" t="s">
        <v>367</v>
      </c>
      <c r="L23" s="684" t="s">
        <v>363</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2374</v>
      </c>
      <c r="B24" s="684" t="s">
        <v>951</v>
      </c>
      <c r="C24" s="313">
        <f ca="1">ROUND(IF('数据-取费表'!B22&lt;=1,F21*F24*F23/2,F21*(POWER((1+F24),F23/2)-1)),4)</f>
        <v>1.1000000000000001E-3</v>
      </c>
      <c r="D24" s="2701" t="str">
        <f>IF(F23&lt;=1,"销售费用×利率×(建设周期÷2)","销售费用×((1+利率)^(建设周期÷2)-1)")</f>
        <v>销售费用×((1+利率)^(建设周期÷2)-1)</v>
      </c>
      <c r="E24" s="684" t="s">
        <v>952</v>
      </c>
      <c r="F24" s="717">
        <f ca="1">'数据-取费表'!B40</f>
        <v>4.7500000000000001E-2</v>
      </c>
      <c r="G24" s="2285"/>
      <c r="H24" s="2674" t="s">
        <v>2610</v>
      </c>
      <c r="I24" s="2675" t="s">
        <v>365</v>
      </c>
      <c r="J24" s="2676">
        <f ca="1">ROUND(J5*M24,0)</f>
        <v>0</v>
      </c>
      <c r="K24" s="2677" t="s">
        <v>369</v>
      </c>
      <c r="L24" s="2675" t="s">
        <v>363</v>
      </c>
      <c r="M24" s="2671">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2375</v>
      </c>
      <c r="B25" s="684" t="s">
        <v>370</v>
      </c>
      <c r="C25" s="313"/>
      <c r="D25" s="471" t="s">
        <v>954</v>
      </c>
      <c r="E25" s="3360"/>
      <c r="F25" s="315"/>
      <c r="G25" s="2284"/>
      <c r="H25" s="2662" t="s">
        <v>2351</v>
      </c>
      <c r="I25" s="2679" t="s">
        <v>375</v>
      </c>
      <c r="J25" s="692">
        <f ca="1">J5-J16</f>
        <v>0</v>
      </c>
      <c r="K25" s="2680" t="s">
        <v>376</v>
      </c>
      <c r="L25" s="2681"/>
      <c r="M25" s="2682"/>
    </row>
    <row r="26" spans="1:37" ht="18" customHeight="1">
      <c r="A26" s="2434" t="s">
        <v>2368</v>
      </c>
      <c r="B26" s="684" t="s">
        <v>2525</v>
      </c>
      <c r="C26" s="313">
        <f ca="1">ROUND((C19+C20)*F26,0)</f>
        <v>0</v>
      </c>
      <c r="D26" s="709" t="s">
        <v>957</v>
      </c>
      <c r="E26" s="695" t="s">
        <v>958</v>
      </c>
      <c r="F26" s="694">
        <f ca="1">INDIRECT("'数据-取费表'!q"&amp;$G$1)</f>
        <v>0</v>
      </c>
      <c r="G26" s="2284"/>
      <c r="H26" s="681" t="s">
        <v>2354</v>
      </c>
      <c r="I26" s="682" t="s">
        <v>959</v>
      </c>
      <c r="J26" s="683">
        <f ca="1">IF(J5&lt;&gt;0,ROUND(J25*(1-((1+M28)/(1+M26))^M27)/(M26-M28),0),0)</f>
        <v>0</v>
      </c>
      <c r="K26" s="710" t="s">
        <v>371</v>
      </c>
      <c r="L26" s="684" t="s">
        <v>372</v>
      </c>
      <c r="M26" s="694">
        <f ca="1">INDIRECT("'数据-取费表'!I"&amp;$G$1)</f>
        <v>0</v>
      </c>
    </row>
    <row r="27" spans="1:37" ht="18" customHeight="1">
      <c r="A27" s="2434" t="s">
        <v>2374</v>
      </c>
      <c r="B27" s="684" t="s">
        <v>373</v>
      </c>
      <c r="C27" s="313">
        <f ca="1">ROUND(F21*F26,4)</f>
        <v>0</v>
      </c>
      <c r="D27" s="709" t="s">
        <v>961</v>
      </c>
      <c r="E27" s="704"/>
      <c r="F27" s="705"/>
      <c r="G27" s="2284"/>
      <c r="H27" s="686"/>
      <c r="I27" s="687"/>
      <c r="J27" s="688"/>
      <c r="K27" s="718" t="s">
        <v>962</v>
      </c>
      <c r="L27" s="684" t="s">
        <v>379</v>
      </c>
      <c r="M27" s="719">
        <f ca="1">INDIRECT("'数据-取费表'!ag"&amp;$G$1)</f>
        <v>0</v>
      </c>
    </row>
    <row r="28" spans="1:37" s="706" customFormat="1" ht="18" customHeight="1">
      <c r="A28" s="2434" t="s">
        <v>2376</v>
      </c>
      <c r="B28" s="684" t="s">
        <v>374</v>
      </c>
      <c r="C28" s="313">
        <f>ROUND(F28/(1+'数据-取费表'!C42),4)</f>
        <v>5.33E-2</v>
      </c>
      <c r="D28" s="709" t="s">
        <v>968</v>
      </c>
      <c r="E28" s="684" t="s">
        <v>363</v>
      </c>
      <c r="F28" s="707">
        <f>'数据-取费表'!B41</f>
        <v>5.6000000000000001E-2</v>
      </c>
      <c r="G28" s="2285"/>
      <c r="H28" s="690"/>
      <c r="I28" s="691"/>
      <c r="J28" s="692"/>
      <c r="K28" s="713"/>
      <c r="L28" s="684" t="s">
        <v>380</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2377</v>
      </c>
      <c r="B29" s="2675" t="s">
        <v>970</v>
      </c>
      <c r="C29" s="2676">
        <f ca="1">ROUND((C19+C20+C23+C26)/(1-F21-C24-C27-C28),0)</f>
        <v>0</v>
      </c>
      <c r="D29" s="2677"/>
      <c r="E29" s="2675"/>
      <c r="F29" s="2678"/>
      <c r="G29" s="2285"/>
      <c r="H29" s="720" t="s">
        <v>2361</v>
      </c>
      <c r="I29" s="721" t="s">
        <v>963</v>
      </c>
      <c r="J29" s="722">
        <f ca="1">ROUND(J26/(1+F40)^F41,0)</f>
        <v>0</v>
      </c>
      <c r="K29" s="723" t="s">
        <v>964</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2336</v>
      </c>
      <c r="B30" s="2663" t="s">
        <v>928</v>
      </c>
      <c r="C30" s="692">
        <f ca="1">ROUND(C31+C36+C37+C38,0)</f>
        <v>0</v>
      </c>
      <c r="D30" s="2672" t="s">
        <v>929</v>
      </c>
      <c r="E30" s="2673"/>
      <c r="F30" s="2624"/>
      <c r="G30" s="2284"/>
      <c r="H30" s="1277"/>
      <c r="I30" s="1278"/>
      <c r="J30" s="1279"/>
      <c r="K30" s="1280"/>
      <c r="L30" s="1281"/>
      <c r="M30" s="1282"/>
    </row>
    <row r="31" spans="1:37" ht="18" customHeight="1">
      <c r="A31" s="2434" t="s">
        <v>2371</v>
      </c>
      <c r="B31" s="684" t="s">
        <v>361</v>
      </c>
      <c r="C31" s="313">
        <f ca="1">ROUND(IF(项目基本情况!B11="自然人",C5*F31,C32+C33+C34),0)</f>
        <v>0</v>
      </c>
      <c r="D31" s="3357" t="s">
        <v>932</v>
      </c>
      <c r="E31" s="3358" t="s">
        <v>971</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2368</v>
      </c>
      <c r="B32" s="684" t="s">
        <v>934</v>
      </c>
      <c r="C32" s="313">
        <f ca="1">IF(项目基本情况!B11="自然人","——",ROUND(C5*F32/(1+'数据-取费表'!C42),0))</f>
        <v>0</v>
      </c>
      <c r="D32" s="3358" t="s">
        <v>935</v>
      </c>
      <c r="E32" s="684" t="s">
        <v>363</v>
      </c>
      <c r="F32" s="717">
        <f>'数据-取费表'!B41</f>
        <v>5.6000000000000001E-2</v>
      </c>
      <c r="G32" s="2284"/>
      <c r="H32" s="1283"/>
      <c r="I32" s="1284"/>
      <c r="J32" s="1285"/>
      <c r="K32" s="1286"/>
      <c r="L32" s="1287"/>
      <c r="M32" s="1288"/>
    </row>
    <row r="33" spans="1:18" ht="18" customHeight="1">
      <c r="A33" s="2434" t="s">
        <v>2604</v>
      </c>
      <c r="B33" s="684" t="s">
        <v>937</v>
      </c>
      <c r="C33" s="313">
        <f ca="1">IF(项目基本情况!B11="自然人","——",IF(D33="按租金收入计税",ROUND(C5*F33,0),IF(D33="按房产原值计税",ROUND(C29*F33*0.7,0),INDIRECT("'数据-取费表'!Aj"&amp;$G$1))))</f>
        <v>0</v>
      </c>
      <c r="D33" s="1300" t="s">
        <v>2411</v>
      </c>
      <c r="E33" s="684" t="s">
        <v>363</v>
      </c>
      <c r="F33" s="707">
        <f>IF(D33="按票据","——",IF(D33="按租金收入计税",'数据-取费表'!B51,'数据-取费表'!B50))</f>
        <v>1.2E-2</v>
      </c>
      <c r="G33" s="2284"/>
      <c r="H33" s="1289"/>
      <c r="I33" s="2877"/>
      <c r="J33" s="2878"/>
      <c r="K33" s="1290"/>
      <c r="L33" s="1289"/>
      <c r="M33" s="1289"/>
    </row>
    <row r="34" spans="1:18" ht="18" customHeight="1">
      <c r="A34" s="2618" t="s">
        <v>2605</v>
      </c>
      <c r="B34" s="496" t="s">
        <v>939</v>
      </c>
      <c r="C34" s="314">
        <f ca="1">IF(项目基本情况!B11="自然人","——",ROUND(F34*F35,))</f>
        <v>0</v>
      </c>
      <c r="D34" s="710" t="s">
        <v>940</v>
      </c>
      <c r="E34" s="684" t="s">
        <v>941</v>
      </c>
      <c r="F34" s="711">
        <f>'数据-取费表'!B52</f>
        <v>4</v>
      </c>
      <c r="G34" s="2284"/>
      <c r="H34" s="1277"/>
      <c r="I34" s="2877"/>
      <c r="J34" s="2878"/>
      <c r="K34" s="1291"/>
      <c r="L34" s="1292"/>
      <c r="M34" s="1292"/>
    </row>
    <row r="35" spans="1:18" ht="18" customHeight="1">
      <c r="A35" s="2692"/>
      <c r="B35" s="2690"/>
      <c r="C35" s="318"/>
      <c r="D35" s="713"/>
      <c r="E35" s="684" t="s">
        <v>945</v>
      </c>
      <c r="F35" s="685">
        <f ca="1">INDIRECT("'数据-取费表'!r"&amp;$G$1)</f>
        <v>0</v>
      </c>
      <c r="G35" s="2284"/>
      <c r="H35" s="1277"/>
      <c r="I35" s="2877"/>
      <c r="J35" s="2878"/>
      <c r="K35" s="1290"/>
      <c r="L35" s="1289"/>
      <c r="M35" s="1289"/>
    </row>
    <row r="36" spans="1:18" ht="18" customHeight="1">
      <c r="A36" s="2691" t="s">
        <v>2378</v>
      </c>
      <c r="B36" s="684" t="s">
        <v>947</v>
      </c>
      <c r="C36" s="313">
        <f ca="1">ROUND(C29*F36,0)</f>
        <v>0</v>
      </c>
      <c r="D36" s="3358" t="s">
        <v>977</v>
      </c>
      <c r="E36" s="684" t="s">
        <v>363</v>
      </c>
      <c r="F36" s="714">
        <f ca="1">INDIRECT("'数据-取费表'!Ak"&amp;$G$1)</f>
        <v>0</v>
      </c>
      <c r="G36" s="2284"/>
      <c r="H36" s="1289"/>
      <c r="I36" s="2877"/>
      <c r="J36" s="2878"/>
      <c r="K36" s="1293"/>
      <c r="L36" s="1289"/>
      <c r="M36" s="1289"/>
    </row>
    <row r="37" spans="1:18" ht="18" customHeight="1">
      <c r="A37" s="2434" t="s">
        <v>2609</v>
      </c>
      <c r="B37" s="684" t="s">
        <v>366</v>
      </c>
      <c r="C37" s="313">
        <f ca="1">ROUND(C13*F37,0)</f>
        <v>0</v>
      </c>
      <c r="D37" s="3358" t="s">
        <v>367</v>
      </c>
      <c r="E37" s="684" t="s">
        <v>363</v>
      </c>
      <c r="F37" s="716">
        <f ca="1">INDIRECT("'数据-取费表'!Al"&amp;$G$1)</f>
        <v>0</v>
      </c>
      <c r="G37" s="2284"/>
      <c r="H37" s="1289"/>
      <c r="I37" s="2877"/>
      <c r="J37" s="2878"/>
      <c r="K37" s="1293"/>
      <c r="L37" s="1289"/>
      <c r="M37" s="1289"/>
    </row>
    <row r="38" spans="1:18" ht="18" customHeight="1" thickBot="1">
      <c r="A38" s="2674" t="s">
        <v>2610</v>
      </c>
      <c r="B38" s="2675" t="s">
        <v>365</v>
      </c>
      <c r="C38" s="2676">
        <f ca="1">ROUND(C5*F38,1)</f>
        <v>0</v>
      </c>
      <c r="D38" s="2677" t="s">
        <v>369</v>
      </c>
      <c r="E38" s="2675" t="s">
        <v>363</v>
      </c>
      <c r="F38" s="2671">
        <f ca="1">INDIRECT("'数据-取费表'!Am"&amp;$G$1)</f>
        <v>0</v>
      </c>
      <c r="G38" s="2284"/>
      <c r="H38" s="1289"/>
      <c r="I38" s="2877"/>
      <c r="J38" s="2878"/>
      <c r="K38" s="1294"/>
      <c r="L38" s="1289"/>
      <c r="M38" s="1289"/>
    </row>
    <row r="39" spans="1:18" ht="24.6" customHeight="1" thickTop="1">
      <c r="A39" s="2662" t="s">
        <v>2351</v>
      </c>
      <c r="B39" s="2679" t="s">
        <v>375</v>
      </c>
      <c r="C39" s="692">
        <f ca="1">C5-C30</f>
        <v>0</v>
      </c>
      <c r="D39" s="2680" t="s">
        <v>376</v>
      </c>
      <c r="E39" s="2681"/>
      <c r="F39" s="2682"/>
      <c r="G39" s="2284"/>
      <c r="H39" s="1289"/>
      <c r="I39" s="2877"/>
      <c r="J39" s="2878"/>
      <c r="K39" s="1294"/>
      <c r="L39" s="1289"/>
      <c r="M39" s="1289"/>
    </row>
    <row r="40" spans="1:18" ht="18" customHeight="1">
      <c r="A40" s="681" t="s">
        <v>2354</v>
      </c>
      <c r="B40" s="682" t="s">
        <v>377</v>
      </c>
      <c r="C40" s="683" t="e">
        <f ca="1">ROUND(C39*(1-((1+F42)/(1+F40))^F41)/(F40-F42),0)</f>
        <v>#DIV/0!</v>
      </c>
      <c r="D40" s="710" t="s">
        <v>371</v>
      </c>
      <c r="E40" s="684" t="s">
        <v>372</v>
      </c>
      <c r="F40" s="694">
        <f ca="1">INDIRECT("'数据-取费表'!I"&amp;$G$1)</f>
        <v>0</v>
      </c>
      <c r="G40" s="2284"/>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0</v>
      </c>
      <c r="G41" s="2284"/>
      <c r="H41" s="1191"/>
      <c r="I41" s="2877"/>
      <c r="J41" s="2878"/>
      <c r="K41" s="1293"/>
      <c r="L41" s="1191"/>
      <c r="M41" s="1191"/>
    </row>
    <row r="42" spans="1:18" ht="18" customHeight="1">
      <c r="A42" s="690"/>
      <c r="B42" s="691"/>
      <c r="C42" s="692"/>
      <c r="D42" s="713"/>
      <c r="E42" s="684" t="s">
        <v>380</v>
      </c>
      <c r="F42" s="694">
        <f ca="1">INDIRECT("'数据-取费表'!v"&amp;$G$1)</f>
        <v>0</v>
      </c>
      <c r="G42" s="2284"/>
      <c r="H42" s="1191"/>
      <c r="I42" s="2877"/>
      <c r="J42" s="2878"/>
      <c r="K42" s="1293"/>
      <c r="L42" s="1191"/>
      <c r="M42" s="1191"/>
    </row>
    <row r="43" spans="1:18" ht="18" customHeight="1" thickBot="1">
      <c r="A43" s="720" t="s">
        <v>2361</v>
      </c>
      <c r="B43" s="721" t="s">
        <v>381</v>
      </c>
      <c r="C43" s="722" t="e">
        <f ca="1">ROUND(C40/F43,0)</f>
        <v>#DIV/0!</v>
      </c>
      <c r="D43" s="723" t="s">
        <v>382</v>
      </c>
      <c r="E43" s="724" t="s">
        <v>383</v>
      </c>
      <c r="F43" s="725">
        <f ca="1">INDIRECT("'数据-取费表'!k"&amp;$G$1)</f>
        <v>0</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3" t="e">
        <f ca="1">C68-C40</f>
        <v>#DIV/0!</v>
      </c>
      <c r="D45" s="2724" t="s">
        <v>2619</v>
      </c>
      <c r="E45" s="1432"/>
      <c r="F45" s="1432"/>
      <c r="O45" s="2587" t="s">
        <v>2484</v>
      </c>
      <c r="P45" s="1295"/>
      <c r="Q45" s="1295"/>
      <c r="R45" s="1295"/>
    </row>
    <row r="46" spans="1:18" s="1454" customFormat="1" ht="21" thickBot="1">
      <c r="A46" s="2392" t="s">
        <v>2323</v>
      </c>
      <c r="B46" s="2393"/>
      <c r="C46" s="2721" t="e">
        <f ca="1">ROUND(C45/10000,0)</f>
        <v>#DIV/0!</v>
      </c>
      <c r="D46" s="2722" t="str">
        <f>C2</f>
        <v>万元</v>
      </c>
      <c r="I46" s="2574" t="s">
        <v>2419</v>
      </c>
      <c r="J46" s="2575"/>
      <c r="K46" s="2576"/>
      <c r="L46" s="2578" t="e">
        <f ca="1">IF(M47="住宅",0,IF(L48&gt;J51,L60,J60))</f>
        <v>#DIV/0!</v>
      </c>
      <c r="O46" s="2590" t="s">
        <v>2462</v>
      </c>
      <c r="P46" s="2591" t="s">
        <v>2463</v>
      </c>
      <c r="Q46" s="2592" t="s">
        <v>2461</v>
      </c>
      <c r="R46" s="2592" t="s">
        <v>2464</v>
      </c>
    </row>
    <row r="47" spans="1:18" s="1454" customFormat="1" ht="15.75" thickBot="1">
      <c r="A47" s="2394" t="s">
        <v>912</v>
      </c>
      <c r="B47" s="2430" t="s">
        <v>913</v>
      </c>
      <c r="C47" s="2430" t="s">
        <v>914</v>
      </c>
      <c r="D47" s="2430" t="s">
        <v>915</v>
      </c>
      <c r="E47" s="2533" t="s">
        <v>916</v>
      </c>
      <c r="F47" s="2534"/>
      <c r="G47" s="1456"/>
      <c r="I47" s="2549" t="s">
        <v>2412</v>
      </c>
      <c r="J47" s="2550"/>
      <c r="K47" s="2559" t="s">
        <v>2435</v>
      </c>
      <c r="L47" s="2560">
        <f ca="1">INDIRECT("'数据-取费表'!d"&amp;$G$1)</f>
        <v>0</v>
      </c>
      <c r="M47" s="2580" t="str">
        <f>IF(ISNUMBER(FIND("住宅",C1)),"住宅","非住宅")</f>
        <v>非住宅</v>
      </c>
      <c r="O47" s="2583" t="s">
        <v>2447</v>
      </c>
      <c r="P47" s="2593" t="s">
        <v>2465</v>
      </c>
      <c r="Q47" s="2584" t="e">
        <f ca="1">C40+J29</f>
        <v>#DIV/0!</v>
      </c>
      <c r="R47" s="2584" t="s">
        <v>2466</v>
      </c>
    </row>
    <row r="48" spans="1:18" s="1454" customFormat="1" ht="47.25" thickBot="1">
      <c r="A48" s="2707" t="s">
        <v>2615</v>
      </c>
      <c r="B48" s="682" t="s">
        <v>2330</v>
      </c>
      <c r="C48" s="3359">
        <f ca="1">C49+C53+C55</f>
        <v>0</v>
      </c>
      <c r="D48" s="2711"/>
      <c r="E48" s="2712"/>
      <c r="F48" s="2414"/>
      <c r="G48" s="1456"/>
      <c r="H48" s="1457"/>
      <c r="I48" s="2540" t="s">
        <v>2413</v>
      </c>
      <c r="J48" s="2551"/>
      <c r="K48" s="2561" t="s">
        <v>681</v>
      </c>
      <c r="L48" s="2164">
        <f ca="1">INDIRECT("'数据-取费表'!f"&amp;$G$1)</f>
        <v>0</v>
      </c>
      <c r="O48" s="2583" t="s">
        <v>2448</v>
      </c>
      <c r="P48" s="2593" t="s">
        <v>2467</v>
      </c>
      <c r="Q48" s="2584" t="e">
        <f ca="1">J60</f>
        <v>#DIV/0!</v>
      </c>
      <c r="R48" s="2584" t="s">
        <v>2475</v>
      </c>
    </row>
    <row r="49" spans="1:18" s="1454" customFormat="1" ht="15.75" thickBot="1">
      <c r="A49" s="2427" t="s">
        <v>2616</v>
      </c>
      <c r="B49" s="2710" t="s">
        <v>2618</v>
      </c>
      <c r="C49" s="2719">
        <f ca="1">ROUND(F49*F51*F50*(1-F52),0)</f>
        <v>0</v>
      </c>
      <c r="D49" s="2529" t="s">
        <v>2331</v>
      </c>
      <c r="E49" s="2532" t="s">
        <v>2324</v>
      </c>
      <c r="F49" s="2535"/>
      <c r="G49" s="1458"/>
      <c r="H49" s="1457"/>
      <c r="I49" s="2540" t="s">
        <v>2433</v>
      </c>
      <c r="J49" s="2552"/>
      <c r="K49" s="2562" t="s">
        <v>2438</v>
      </c>
      <c r="L49" s="2563"/>
      <c r="O49" s="2585" t="s">
        <v>2449</v>
      </c>
      <c r="P49" s="2593" t="s">
        <v>2468</v>
      </c>
      <c r="Q49" s="2584">
        <f ca="1">C29</f>
        <v>0</v>
      </c>
      <c r="R49" s="2584" t="s">
        <v>2466</v>
      </c>
    </row>
    <row r="50" spans="1:18" s="1454" customFormat="1" ht="15.75" thickBot="1">
      <c r="A50" s="2428"/>
      <c r="B50" s="2431"/>
      <c r="C50" s="2432"/>
      <c r="D50" s="2401"/>
      <c r="E50" s="2530" t="s">
        <v>918</v>
      </c>
      <c r="F50" s="2531">
        <f ca="1">F7</f>
        <v>0</v>
      </c>
      <c r="H50" s="1457"/>
      <c r="I50" s="2540" t="s">
        <v>2415</v>
      </c>
      <c r="J50" s="2553">
        <f>SUMPRODUCT((I63:I65=J47)*(J62:L62=J48)*(J63:L65))</f>
        <v>0</v>
      </c>
      <c r="K50" s="2562" t="s">
        <v>2439</v>
      </c>
      <c r="L50" s="2563"/>
      <c r="M50" s="2557"/>
      <c r="O50" s="2585" t="s">
        <v>2450</v>
      </c>
      <c r="P50" s="2593" t="s">
        <v>2476</v>
      </c>
      <c r="Q50" s="2586" t="e">
        <f ca="1">J58</f>
        <v>#DIV/0!</v>
      </c>
      <c r="R50" s="2584"/>
    </row>
    <row r="51" spans="1:18" s="1454" customFormat="1" ht="15.75" thickBot="1">
      <c r="A51" s="2429"/>
      <c r="B51" s="2431"/>
      <c r="C51" s="2432"/>
      <c r="D51" s="2401"/>
      <c r="E51" s="2433" t="s">
        <v>919</v>
      </c>
      <c r="F51" s="685">
        <f ca="1">F8</f>
        <v>0</v>
      </c>
      <c r="I51" s="2554" t="s">
        <v>2420</v>
      </c>
      <c r="J51" s="2555">
        <f>IF(J49="",J50,J49+J50-YEAR('数据-取费表'!B2))</f>
        <v>0</v>
      </c>
      <c r="K51" s="2564" t="s">
        <v>2440</v>
      </c>
      <c r="L51" s="2577">
        <f ca="1">ROUND(-PV(INDIRECT("'数据-取费表'!h"&amp;$G$1),L48,(C39-C13*C76),0),0)</f>
        <v>0</v>
      </c>
      <c r="M51" s="2558"/>
      <c r="O51" s="2585" t="s">
        <v>2451</v>
      </c>
      <c r="P51" s="2593" t="s">
        <v>2477</v>
      </c>
      <c r="Q51" s="2586">
        <f>J52</f>
        <v>0</v>
      </c>
      <c r="R51" s="2584"/>
    </row>
    <row r="52" spans="1:18" s="1454" customFormat="1" ht="15.75" thickBot="1">
      <c r="A52" s="2429"/>
      <c r="B52" s="2431"/>
      <c r="C52" s="2432"/>
      <c r="D52" s="2401"/>
      <c r="E52" s="2433" t="s">
        <v>920</v>
      </c>
      <c r="F52" s="2528"/>
      <c r="I52" s="2556" t="s">
        <v>2443</v>
      </c>
      <c r="J52" s="2570"/>
      <c r="K52" s="2556" t="s">
        <v>2428</v>
      </c>
      <c r="L52" s="2570"/>
      <c r="M52" s="2393"/>
      <c r="O52" s="2585" t="s">
        <v>2452</v>
      </c>
      <c r="P52" s="2593" t="s">
        <v>2469</v>
      </c>
      <c r="Q52" s="2584">
        <f ca="1">J53</f>
        <v>0</v>
      </c>
      <c r="R52" s="2584" t="s">
        <v>2470</v>
      </c>
    </row>
    <row r="53" spans="1:18" s="1454" customFormat="1" ht="43.5" thickBot="1">
      <c r="A53" s="2708" t="s">
        <v>2617</v>
      </c>
      <c r="B53" s="2709" t="s">
        <v>2527</v>
      </c>
      <c r="C53" s="698">
        <f ca="1">ROUND(IF(F53="押一",F49*F51*F50/12*F11,IF(F53="押二",F49*F51*F50/12*2*F11,IF(F53="押三",F49*F51*F50/12*3*F11,C54*F11))),0)</f>
        <v>0</v>
      </c>
      <c r="D53" s="2630" t="s">
        <v>2535</v>
      </c>
      <c r="E53" s="2093" t="s">
        <v>2529</v>
      </c>
      <c r="F53" s="2824"/>
      <c r="I53" s="2566" t="s">
        <v>2445</v>
      </c>
      <c r="J53" s="2567">
        <f ca="1">IF(M47="住宅",J51,MIN(J51,L48))</f>
        <v>0</v>
      </c>
      <c r="K53" s="3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59"/>
      <c r="O53" s="2583" t="s">
        <v>2453</v>
      </c>
      <c r="P53" s="2593" t="s">
        <v>2471</v>
      </c>
      <c r="Q53" s="2584" t="e">
        <f ca="1">Q47+Q48</f>
        <v>#DIV/0!</v>
      </c>
      <c r="R53" s="2584" t="s">
        <v>2454</v>
      </c>
    </row>
    <row r="54" spans="1:18" s="1454" customFormat="1" ht="16.5" thickBot="1">
      <c r="A54" s="2427"/>
      <c r="B54" s="2821" t="s">
        <v>2691</v>
      </c>
      <c r="C54" s="2411"/>
      <c r="D54" s="2630"/>
      <c r="E54" s="3355"/>
      <c r="F54" s="2536"/>
      <c r="I54" s="2408"/>
      <c r="J54" s="2565"/>
      <c r="K54" s="2565"/>
      <c r="L54" s="2565"/>
      <c r="M54" s="1458"/>
      <c r="O54" s="2587" t="s">
        <v>2478</v>
      </c>
      <c r="P54" s="1295"/>
      <c r="Q54" s="1295"/>
      <c r="R54" s="1295"/>
    </row>
    <row r="55" spans="1:18" s="1454" customFormat="1" ht="15.75" thickBot="1">
      <c r="A55" s="2666" t="s">
        <v>2540</v>
      </c>
      <c r="B55" s="2667" t="s">
        <v>2528</v>
      </c>
      <c r="C55" s="2668"/>
      <c r="D55" s="2630"/>
      <c r="E55" s="3355"/>
      <c r="F55" s="2536"/>
      <c r="I55" s="3314" t="s">
        <v>2421</v>
      </c>
      <c r="J55" s="3313" t="e">
        <f ca="1">ROUND(IF(J47="钢混",J57/J50,1-(1-2%)*(J50-J57)/J50),3)</f>
        <v>#DIV/0!</v>
      </c>
      <c r="K55" s="2547" t="s">
        <v>2422</v>
      </c>
      <c r="L55" s="2569"/>
      <c r="O55" s="2590" t="s">
        <v>2462</v>
      </c>
      <c r="P55" s="2591" t="s">
        <v>2463</v>
      </c>
      <c r="Q55" s="2592" t="s">
        <v>2461</v>
      </c>
      <c r="R55" s="2592" t="s">
        <v>2464</v>
      </c>
    </row>
    <row r="56" spans="1:18" s="1454" customFormat="1" ht="44.25" thickTop="1" thickBot="1">
      <c r="A56" s="2405">
        <v>2</v>
      </c>
      <c r="B56" s="2406" t="s">
        <v>921</v>
      </c>
      <c r="C56" s="608">
        <f ca="1">C13</f>
        <v>0</v>
      </c>
      <c r="D56" s="2694"/>
      <c r="E56" s="2407"/>
      <c r="F56" s="2536"/>
      <c r="I56" s="2539" t="s">
        <v>2423</v>
      </c>
      <c r="J56" s="2568"/>
      <c r="K56" s="2540" t="s">
        <v>2427</v>
      </c>
      <c r="L56" s="2164">
        <f ca="1">IF(L48&lt;J51,"——",L48-J51)</f>
        <v>0</v>
      </c>
      <c r="O56" s="2583" t="s">
        <v>2447</v>
      </c>
      <c r="P56" s="2593" t="s">
        <v>2465</v>
      </c>
      <c r="Q56" s="2584" t="e">
        <f ca="1">C40+J29</f>
        <v>#DIV/0!</v>
      </c>
      <c r="R56" s="2584" t="s">
        <v>2466</v>
      </c>
    </row>
    <row r="57" spans="1:18" s="1454" customFormat="1" ht="29.25" thickBot="1">
      <c r="A57" s="2537"/>
      <c r="B57" s="2398" t="s">
        <v>970</v>
      </c>
      <c r="C57" s="614">
        <f ca="1">C29</f>
        <v>0</v>
      </c>
      <c r="D57" s="2409"/>
      <c r="E57" s="2410"/>
      <c r="F57" s="2538"/>
      <c r="I57" s="2541" t="s">
        <v>2444</v>
      </c>
      <c r="J57" s="2545">
        <f ca="1">IF(OR(M47="住宅",J51&lt;L48,J56="是"),"——",J51-L48)</f>
        <v>0</v>
      </c>
      <c r="K57" s="2540" t="s">
        <v>2437</v>
      </c>
      <c r="L57" s="2164">
        <f ca="1">IF(L48&lt;J51,"——",IF(L55="比较法",L49,IF(L55="基准地价",L50,L51)))</f>
        <v>0</v>
      </c>
      <c r="O57" s="2583" t="s">
        <v>2448</v>
      </c>
      <c r="P57" s="2593" t="s">
        <v>2472</v>
      </c>
      <c r="Q57" s="2584" t="e">
        <f ca="1">L60</f>
        <v>#DIV/0!</v>
      </c>
      <c r="R57" s="2584" t="s">
        <v>2487</v>
      </c>
    </row>
    <row r="58" spans="1:18" s="1454" customFormat="1" ht="29.25" thickBot="1">
      <c r="A58" s="697" t="s">
        <v>2336</v>
      </c>
      <c r="B58" s="2406" t="s">
        <v>928</v>
      </c>
      <c r="C58" s="698">
        <f ca="1">ROUND(C59+C64+C65+C66,0)</f>
        <v>0</v>
      </c>
      <c r="D58" s="2412" t="s">
        <v>929</v>
      </c>
      <c r="E58" s="2413"/>
      <c r="F58" s="2414"/>
      <c r="I58" s="2541" t="s">
        <v>2424</v>
      </c>
      <c r="J58" s="3315" t="e">
        <f ca="1">IF(J55&lt;0.4,0.4,J55)</f>
        <v>#DIV/0!</v>
      </c>
      <c r="K58" s="2564" t="s">
        <v>2446</v>
      </c>
      <c r="L58" s="2164">
        <f ca="1">IF(ISERROR(POWER(1+L52,L47-L48)*(POWER(1+L52,L48)-1)/(POWER(1+L52,L47)-1)),0,POWER(1+L52,L47-L48)*(POWER(1+L52,L48)-1)/(POWER(1+L52,L47)-1))</f>
        <v>0</v>
      </c>
      <c r="O58" s="2585" t="s">
        <v>2449</v>
      </c>
      <c r="P58" s="2593" t="s">
        <v>2479</v>
      </c>
      <c r="Q58" s="2584">
        <f>IF(L55="比较法",L49,IF(L55="基准地价",L50,0))</f>
        <v>0</v>
      </c>
      <c r="R58" s="2584" t="s">
        <v>2466</v>
      </c>
    </row>
    <row r="59" spans="1:18" s="1454" customFormat="1" ht="29.25" thickBot="1">
      <c r="A59" s="2434" t="s">
        <v>2371</v>
      </c>
      <c r="B59" s="2398" t="s">
        <v>361</v>
      </c>
      <c r="C59" s="313">
        <f ca="1">ROUND(IF(项目基本情况!B11="自然人",C48*F59,C60+C61+C62),0)</f>
        <v>0</v>
      </c>
      <c r="D59" s="2415" t="s">
        <v>932</v>
      </c>
      <c r="E59" s="2416" t="s">
        <v>933</v>
      </c>
      <c r="F59" s="708" t="str">
        <f ca="1">IF(项目基本情况!B11="企业","",IF(INDIRECT("'数据-取费表'!c"&amp;$G$1)="住宅",5%,IF(F49*F50*F51/12/(1+'数据-取费表'!C42)&gt;20000,12%,7%)))</f>
        <v/>
      </c>
      <c r="I59" s="2541" t="s">
        <v>2425</v>
      </c>
      <c r="J59" s="2545" t="e">
        <f ca="1">IF(OR(M47="住宅",J51&lt;L48,J56="是"),"——",ROUND(C29*J58,0))</f>
        <v>#DIV/0!</v>
      </c>
      <c r="K59" s="2564" t="s">
        <v>2434</v>
      </c>
      <c r="L59" s="2164">
        <f ca="1">IF(ISERROR(POWER(1+L52,L47-J51)*(POWER(1+L52,J51)-1)/(POWER(1+L52,L47)-1)),0,POWER(1+L52,L47-J51)*(POWER(1+L52,J51)-1)/(POWER(1+L52,L47)-1))</f>
        <v>0</v>
      </c>
      <c r="O59" s="2585" t="s">
        <v>2450</v>
      </c>
      <c r="P59" s="2593" t="s">
        <v>2480</v>
      </c>
      <c r="Q59" s="2586">
        <f>L52</f>
        <v>0</v>
      </c>
      <c r="R59" s="2584"/>
    </row>
    <row r="60" spans="1:18" s="1454" customFormat="1" ht="20.25" thickBot="1">
      <c r="A60" s="2434" t="s">
        <v>2368</v>
      </c>
      <c r="B60" s="2398" t="s">
        <v>934</v>
      </c>
      <c r="C60" s="313">
        <f ca="1">IF(项目基本情况!B11="自然人","——",ROUND(C48*F60/(1+'数据-取费表'!C42),0))</f>
        <v>0</v>
      </c>
      <c r="D60" s="2416" t="s">
        <v>935</v>
      </c>
      <c r="E60" s="2398" t="s">
        <v>363</v>
      </c>
      <c r="F60" s="717">
        <f t="shared" ref="F60:F66" si="0">F32</f>
        <v>5.6000000000000001E-2</v>
      </c>
      <c r="I60" s="2542" t="s">
        <v>2426</v>
      </c>
      <c r="J60" s="2546" t="e">
        <f ca="1">IF(OR(M47="住宅",J51&lt;L48,J56="是"),"0",ROUND(J59/(1+J52)^J53,0))</f>
        <v>#DIV/0!</v>
      </c>
      <c r="K60" s="2548" t="s">
        <v>2429</v>
      </c>
      <c r="L60" s="2546" t="e">
        <f ca="1">IF(OR(M47="住宅",L48&lt;J51),0,ROUND(L57*(L58/L59-1),0))</f>
        <v>#DIV/0!</v>
      </c>
      <c r="O60" s="2585" t="s">
        <v>2451</v>
      </c>
      <c r="P60" s="2593" t="s">
        <v>2481</v>
      </c>
      <c r="Q60" s="2584">
        <f ca="1">L58</f>
        <v>0</v>
      </c>
      <c r="R60" s="2584" t="s">
        <v>2456</v>
      </c>
    </row>
    <row r="61" spans="1:18" s="1454" customFormat="1" ht="20.25" thickBot="1">
      <c r="A61" s="2434" t="s">
        <v>2369</v>
      </c>
      <c r="B61" s="2398" t="s">
        <v>937</v>
      </c>
      <c r="C61" s="313">
        <f ca="1">IF(项目基本情况!B11="自然人","——",IF(D61="按租金收入计税",ROUND(C48*F61,0),IF(D61="按房产原值计税",ROUND(C57*F61*0.7,0),INDIRECT("'数据-取费表'!Aj"&amp;$G$1))))</f>
        <v>0</v>
      </c>
      <c r="D61" s="1300" t="s">
        <v>2411</v>
      </c>
      <c r="E61" s="2398" t="s">
        <v>363</v>
      </c>
      <c r="F61" s="707">
        <f t="shared" si="0"/>
        <v>1.2E-2</v>
      </c>
      <c r="I61" s="2408"/>
      <c r="J61" s="2408"/>
      <c r="K61" s="2408"/>
      <c r="L61" s="2408"/>
      <c r="O61" s="2585" t="s">
        <v>2452</v>
      </c>
      <c r="P61" s="2593" t="s">
        <v>2482</v>
      </c>
      <c r="Q61" s="2584">
        <f ca="1">L59</f>
        <v>0</v>
      </c>
      <c r="R61" s="2584" t="s">
        <v>2457</v>
      </c>
    </row>
    <row r="62" spans="1:18" s="1454" customFormat="1" ht="15.75" thickBot="1">
      <c r="A62" s="2434" t="s">
        <v>2370</v>
      </c>
      <c r="B62" s="2397" t="s">
        <v>939</v>
      </c>
      <c r="C62" s="314">
        <f ca="1">IF(项目基本情况!B11="自然人","——",ROUND(F62*F63,0))</f>
        <v>0</v>
      </c>
      <c r="D62" s="2417" t="s">
        <v>940</v>
      </c>
      <c r="E62" s="2398" t="s">
        <v>941</v>
      </c>
      <c r="F62" s="711">
        <f t="shared" si="0"/>
        <v>4</v>
      </c>
      <c r="I62" s="2543" t="s">
        <v>2416</v>
      </c>
      <c r="J62" s="2544" t="s">
        <v>2417</v>
      </c>
      <c r="K62" s="2544" t="s">
        <v>2418</v>
      </c>
      <c r="L62" s="2544" t="s">
        <v>2414</v>
      </c>
      <c r="M62" s="3316" t="s">
        <v>3031</v>
      </c>
      <c r="O62" s="2583" t="s">
        <v>2453</v>
      </c>
      <c r="P62" s="2593" t="s">
        <v>2471</v>
      </c>
      <c r="Q62" s="2584" t="e">
        <f ca="1">Q56+Q57</f>
        <v>#DIV/0!</v>
      </c>
      <c r="R62" s="2584" t="s">
        <v>2454</v>
      </c>
    </row>
    <row r="63" spans="1:18" s="1454" customFormat="1" ht="16.5" thickBot="1">
      <c r="A63" s="712"/>
      <c r="B63" s="2404"/>
      <c r="C63" s="318"/>
      <c r="D63" s="2418"/>
      <c r="E63" s="2398" t="s">
        <v>945</v>
      </c>
      <c r="F63" s="685">
        <f t="shared" ca="1" si="0"/>
        <v>0</v>
      </c>
      <c r="I63" s="2543" t="s">
        <v>2430</v>
      </c>
      <c r="J63" s="3319">
        <v>70</v>
      </c>
      <c r="K63" s="3319">
        <v>50</v>
      </c>
      <c r="L63" s="3319">
        <v>80</v>
      </c>
      <c r="M63" s="3317">
        <v>0.02</v>
      </c>
      <c r="O63" s="2587" t="s">
        <v>2485</v>
      </c>
      <c r="P63" s="1295"/>
      <c r="Q63" s="1295"/>
      <c r="R63" s="1295"/>
    </row>
    <row r="64" spans="1:18" s="1454" customFormat="1" ht="15.75" thickBot="1">
      <c r="A64" s="2434" t="s">
        <v>2378</v>
      </c>
      <c r="B64" s="2398" t="s">
        <v>947</v>
      </c>
      <c r="C64" s="313">
        <f ca="1">ROUND(C57*F64,0)</f>
        <v>0</v>
      </c>
      <c r="D64" s="2416" t="s">
        <v>977</v>
      </c>
      <c r="E64" s="2398" t="s">
        <v>363</v>
      </c>
      <c r="F64" s="714">
        <f t="shared" ca="1" si="0"/>
        <v>0</v>
      </c>
      <c r="I64" s="2543" t="s">
        <v>105</v>
      </c>
      <c r="J64" s="3319">
        <v>50</v>
      </c>
      <c r="K64" s="3319">
        <v>35</v>
      </c>
      <c r="L64" s="3319">
        <v>60</v>
      </c>
      <c r="M64" s="3318">
        <v>0</v>
      </c>
      <c r="O64" s="2590" t="s">
        <v>2462</v>
      </c>
      <c r="P64" s="2591" t="s">
        <v>2463</v>
      </c>
      <c r="Q64" s="2592" t="s">
        <v>2461</v>
      </c>
      <c r="R64" s="2592" t="s">
        <v>2464</v>
      </c>
    </row>
    <row r="65" spans="1:18" s="1454" customFormat="1" ht="15.75" thickBot="1">
      <c r="A65" s="2434" t="s">
        <v>2372</v>
      </c>
      <c r="B65" s="2398" t="s">
        <v>366</v>
      </c>
      <c r="C65" s="313">
        <f ca="1">ROUND(C56*F65,0)</f>
        <v>0</v>
      </c>
      <c r="D65" s="2416" t="s">
        <v>367</v>
      </c>
      <c r="E65" s="2398" t="s">
        <v>363</v>
      </c>
      <c r="F65" s="716">
        <f t="shared" ca="1" si="0"/>
        <v>0</v>
      </c>
      <c r="I65" s="2543" t="s">
        <v>2432</v>
      </c>
      <c r="J65" s="3319">
        <v>40</v>
      </c>
      <c r="K65" s="3319">
        <v>30</v>
      </c>
      <c r="L65" s="3319">
        <v>50</v>
      </c>
      <c r="M65" s="3317">
        <v>0.02</v>
      </c>
      <c r="O65" s="2583" t="s">
        <v>2447</v>
      </c>
      <c r="P65" s="2593" t="s">
        <v>2465</v>
      </c>
      <c r="Q65" s="2584" t="e">
        <f ca="1">C40+J29</f>
        <v>#DIV/0!</v>
      </c>
      <c r="R65" s="2584" t="s">
        <v>2466</v>
      </c>
    </row>
    <row r="66" spans="1:18" s="1454" customFormat="1" ht="20.25" thickBot="1">
      <c r="A66" s="2434" t="s">
        <v>2373</v>
      </c>
      <c r="B66" s="2398" t="s">
        <v>365</v>
      </c>
      <c r="C66" s="313">
        <f ca="1">ROUND(C48*F66,0)</f>
        <v>0</v>
      </c>
      <c r="D66" s="2416" t="s">
        <v>369</v>
      </c>
      <c r="E66" s="2398" t="s">
        <v>363</v>
      </c>
      <c r="F66" s="694">
        <f t="shared" ca="1" si="0"/>
        <v>0</v>
      </c>
      <c r="O66" s="2583" t="s">
        <v>2448</v>
      </c>
      <c r="P66" s="2593" t="s">
        <v>2472</v>
      </c>
      <c r="Q66" s="2584" t="e">
        <f ca="1">L60</f>
        <v>#DIV/0!</v>
      </c>
      <c r="R66" s="2584" t="s">
        <v>2455</v>
      </c>
    </row>
    <row r="67" spans="1:18" s="1454" customFormat="1" ht="24.75" thickBot="1">
      <c r="A67" s="2405" t="s">
        <v>2351</v>
      </c>
      <c r="B67" s="2419" t="s">
        <v>375</v>
      </c>
      <c r="C67" s="698">
        <f ca="1">C48-C58</f>
        <v>0</v>
      </c>
      <c r="D67" s="2415" t="s">
        <v>376</v>
      </c>
      <c r="E67" s="2420"/>
      <c r="F67" s="2421"/>
      <c r="O67" s="2585" t="s">
        <v>2449</v>
      </c>
      <c r="P67" s="2593" t="s">
        <v>2479</v>
      </c>
      <c r="Q67" s="2588">
        <f ca="1">L51</f>
        <v>0</v>
      </c>
      <c r="R67" s="2589" t="s">
        <v>2489</v>
      </c>
    </row>
    <row r="68" spans="1:18" s="1454" customFormat="1" ht="20.25" thickBot="1">
      <c r="A68" s="2395" t="s">
        <v>2354</v>
      </c>
      <c r="B68" s="2396" t="s">
        <v>377</v>
      </c>
      <c r="C68" s="683" t="e">
        <f ca="1">ROUND(C67*(1-((1+F70)/(1+F68))^F69)/(F68-F70),0)</f>
        <v>#DIV/0!</v>
      </c>
      <c r="D68" s="2417" t="s">
        <v>371</v>
      </c>
      <c r="E68" s="2398" t="s">
        <v>372</v>
      </c>
      <c r="F68" s="694">
        <f ca="1">F40</f>
        <v>0</v>
      </c>
      <c r="O68" s="2585" t="s">
        <v>2450</v>
      </c>
      <c r="P68" s="2594" t="s">
        <v>2483</v>
      </c>
      <c r="Q68" s="2584">
        <f ca="1">ROUND(Q69-Q70*Q71,0)</f>
        <v>0</v>
      </c>
      <c r="R68" s="2584" t="s">
        <v>2488</v>
      </c>
    </row>
    <row r="69" spans="1:18" s="1454" customFormat="1" ht="15.75" thickBot="1">
      <c r="A69" s="2399"/>
      <c r="B69" s="2400"/>
      <c r="C69" s="688"/>
      <c r="D69" s="2422" t="s">
        <v>962</v>
      </c>
      <c r="E69" s="2398" t="s">
        <v>379</v>
      </c>
      <c r="F69" s="719">
        <f ca="1">F41</f>
        <v>0</v>
      </c>
      <c r="O69" s="2585" t="s">
        <v>2458</v>
      </c>
      <c r="P69" s="2594" t="s">
        <v>2473</v>
      </c>
      <c r="Q69" s="2584">
        <f ca="1">C39</f>
        <v>0</v>
      </c>
      <c r="R69" s="2584" t="s">
        <v>2466</v>
      </c>
    </row>
    <row r="70" spans="1:18" s="1454" customFormat="1" ht="15.75" thickBot="1">
      <c r="A70" s="2402"/>
      <c r="B70" s="2403"/>
      <c r="C70" s="692"/>
      <c r="D70" s="2418"/>
      <c r="E70" s="2398" t="s">
        <v>380</v>
      </c>
      <c r="F70" s="2528">
        <f ca="1">F42</f>
        <v>0</v>
      </c>
      <c r="O70" s="2585" t="s">
        <v>2459</v>
      </c>
      <c r="P70" s="2594" t="s">
        <v>2474</v>
      </c>
      <c r="Q70" s="2584">
        <f ca="1">C13</f>
        <v>0</v>
      </c>
      <c r="R70" s="2584" t="s">
        <v>2466</v>
      </c>
    </row>
    <row r="71" spans="1:18" s="1454" customFormat="1" ht="15.75" thickBot="1">
      <c r="A71" s="2423" t="s">
        <v>2361</v>
      </c>
      <c r="B71" s="2424" t="s">
        <v>381</v>
      </c>
      <c r="C71" s="722" t="e">
        <f ca="1">ROUND(C68/F71,0)</f>
        <v>#DIV/0!</v>
      </c>
      <c r="D71" s="2425" t="s">
        <v>382</v>
      </c>
      <c r="E71" s="2426" t="s">
        <v>383</v>
      </c>
      <c r="F71" s="725">
        <f ca="1">F43</f>
        <v>0</v>
      </c>
      <c r="I71" s="2393"/>
      <c r="K71" s="2393"/>
      <c r="O71" s="2585" t="s">
        <v>2460</v>
      </c>
      <c r="P71" s="2594" t="s">
        <v>2486</v>
      </c>
      <c r="Q71" s="2586">
        <f ca="1">C76</f>
        <v>0</v>
      </c>
      <c r="R71" s="2584"/>
    </row>
    <row r="72" spans="1:18" s="1454" customFormat="1" ht="15.75" thickBot="1">
      <c r="B72" s="1459"/>
      <c r="C72" s="1459"/>
      <c r="I72" s="2393"/>
      <c r="O72" s="2585" t="s">
        <v>2451</v>
      </c>
      <c r="P72" s="2593" t="s">
        <v>2480</v>
      </c>
      <c r="Q72" s="2586">
        <f>L52</f>
        <v>0</v>
      </c>
      <c r="R72" s="2584"/>
    </row>
    <row r="73" spans="1:18" ht="20.25" thickBot="1">
      <c r="A73" s="1454"/>
      <c r="B73" s="1459"/>
      <c r="C73" s="1459"/>
      <c r="D73" s="1454"/>
      <c r="E73" s="1454"/>
      <c r="F73" s="1454"/>
      <c r="I73" s="2579"/>
      <c r="O73" s="2585" t="s">
        <v>2452</v>
      </c>
      <c r="P73" s="2593" t="s">
        <v>2481</v>
      </c>
      <c r="Q73" s="2584">
        <f ca="1">L58</f>
        <v>0</v>
      </c>
      <c r="R73" s="2584" t="s">
        <v>2456</v>
      </c>
    </row>
    <row r="74" spans="1:18" ht="20.25" thickBot="1">
      <c r="A74" s="1454"/>
      <c r="B74" s="727" t="s">
        <v>384</v>
      </c>
      <c r="C74" s="728"/>
      <c r="D74" s="1454"/>
      <c r="E74" s="1454"/>
      <c r="F74" s="1454"/>
      <c r="O74" s="2585" t="s">
        <v>2490</v>
      </c>
      <c r="P74" s="2593" t="s">
        <v>2482</v>
      </c>
      <c r="Q74" s="2584">
        <f ca="1">L59</f>
        <v>0</v>
      </c>
      <c r="R74" s="2584" t="s">
        <v>2457</v>
      </c>
    </row>
    <row r="75" spans="1:18" ht="15.75" thickBot="1">
      <c r="A75" s="1454"/>
      <c r="B75" s="729" t="s">
        <v>975</v>
      </c>
      <c r="C75" s="730">
        <f ca="1">ROUND(C13*C76,0)</f>
        <v>0</v>
      </c>
      <c r="D75" s="1454"/>
      <c r="E75" s="1454"/>
      <c r="F75" s="1454"/>
      <c r="K75" s="1455"/>
      <c r="L75" s="1454"/>
      <c r="O75" s="2583" t="s">
        <v>2453</v>
      </c>
      <c r="P75" s="2593" t="s">
        <v>2471</v>
      </c>
      <c r="Q75" s="2584" t="e">
        <f ca="1">Q65+Q66</f>
        <v>#DIV/0!</v>
      </c>
      <c r="R75" s="2584" t="s">
        <v>2454</v>
      </c>
    </row>
    <row r="76" spans="1:18">
      <c r="B76" s="731" t="s">
        <v>976</v>
      </c>
      <c r="C76" s="732">
        <f ca="1">INDIRECT("'数据-取费表'!j"&amp;$G$1)</f>
        <v>0</v>
      </c>
      <c r="I76" s="1454"/>
      <c r="J76" s="1454"/>
      <c r="K76" s="1455"/>
      <c r="L76" s="1454"/>
    </row>
    <row r="77" spans="1:18">
      <c r="B77" s="733" t="s">
        <v>979</v>
      </c>
      <c r="C77" s="734"/>
      <c r="I77" s="1454"/>
      <c r="J77" s="1454"/>
      <c r="K77" s="1455"/>
      <c r="L77" s="1454"/>
    </row>
    <row r="78" spans="1:18">
      <c r="B78" s="646" t="s">
        <v>965</v>
      </c>
      <c r="C78" s="735"/>
    </row>
    <row r="79" spans="1:18">
      <c r="B79" s="2869" t="s">
        <v>2698</v>
      </c>
      <c r="C79" s="650" t="e">
        <f ca="1">1-C80</f>
        <v>#DIV/0!</v>
      </c>
    </row>
    <row r="80" spans="1:18">
      <c r="B80" s="2869" t="s">
        <v>2697</v>
      </c>
      <c r="C80" s="650" t="e">
        <f ca="1">ROUND(C75/C39,3)</f>
        <v>#DIV/0!</v>
      </c>
    </row>
    <row r="81" spans="2:3">
      <c r="B81" s="646" t="s">
        <v>385</v>
      </c>
      <c r="C81" s="647"/>
    </row>
    <row r="82" spans="2:3">
      <c r="B82" s="2868" t="s">
        <v>2696</v>
      </c>
      <c r="C82" s="651" t="e">
        <f ca="1">1-C83</f>
        <v>#DIV/0!</v>
      </c>
    </row>
    <row r="83" spans="2:3">
      <c r="B83" s="2868" t="s">
        <v>2695</v>
      </c>
      <c r="C83" s="650"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5" priority="5">
      <formula>$L$48&gt;$J$51</formula>
    </cfRule>
  </conditionalFormatting>
  <conditionalFormatting sqref="I55 I60">
    <cfRule type="expression" dxfId="84" priority="4">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F16" sqref="F16"/>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4" t="s">
        <v>3985</v>
      </c>
      <c r="D1" s="1242"/>
      <c r="E1" s="1242"/>
      <c r="F1" s="2078" t="s">
        <v>2104</v>
      </c>
      <c r="G1" s="2051" t="s">
        <v>3105</v>
      </c>
      <c r="H1" s="2107" t="str">
        <f>IF(G1="现房","——","估价对象范围")</f>
        <v>——</v>
      </c>
      <c r="I1" s="2084" t="s">
        <v>3906</v>
      </c>
    </row>
    <row r="2" spans="1:12" ht="21.75" customHeight="1" thickBot="1">
      <c r="A2" s="3728" t="str">
        <f>项目基本情况!S2</f>
        <v>广东省中山市中山市南区永安一路9号悦盈新成花园房地产</v>
      </c>
      <c r="B2" s="3729"/>
      <c r="C2" s="3729"/>
      <c r="D2" s="3729"/>
      <c r="E2" s="3729"/>
      <c r="F2" s="3729"/>
      <c r="G2" s="3729"/>
      <c r="H2" s="3729"/>
      <c r="I2" s="3730"/>
    </row>
    <row r="3" spans="1:12" ht="12">
      <c r="A3" s="3732" t="s">
        <v>10</v>
      </c>
      <c r="B3" s="3733"/>
      <c r="C3" s="3733"/>
      <c r="D3" s="3733"/>
      <c r="E3" s="3733"/>
      <c r="F3" s="3733"/>
      <c r="G3" s="3733"/>
      <c r="H3" s="3733"/>
      <c r="I3" s="3733"/>
    </row>
    <row r="4" spans="1:12" ht="13.5">
      <c r="A4" s="429" t="s">
        <v>11</v>
      </c>
      <c r="B4" s="430" t="s">
        <v>12</v>
      </c>
      <c r="C4" s="431" t="s">
        <v>3998</v>
      </c>
      <c r="D4" s="431" t="s">
        <v>4000</v>
      </c>
      <c r="E4" s="3737" t="s">
        <v>763</v>
      </c>
      <c r="F4" s="3738"/>
      <c r="G4" s="3738"/>
      <c r="H4" s="3738"/>
      <c r="I4" s="3739"/>
      <c r="K4" s="2180" t="str">
        <f>IF(ISNUMBER(FIND("比较法",'结果表 (3)'!C4)),"比较法",IF(ISNUMBER(FIND("成本法",'结果表 (3)'!C4)),"成本法",IF(ISNUMBER(FIND("假设开发法",'结果表 (3)'!C4)),"假设开发法",IF(ISNUMBER(FIND("收益法",'结果表 (3)'!C4)),"收益法","基准地价系数修正法"))))</f>
        <v>收益法</v>
      </c>
      <c r="L4" s="2180" t="str">
        <f>IF(ISNUMBER(FIND("比较法",'结果表 (3)'!D4)),"比较法",IF(ISNUMBER(FIND("成本法",'结果表 (3)'!D4)),"成本法",IF(ISNUMBER(FIND("假设开发法",'结果表 (3)'!D4)),"假设开发法",IF(ISNUMBER(FIND("收益法",'结果表 (3)'!D4)),"收益法","基准地价系数修正法"))))</f>
        <v>比较法</v>
      </c>
    </row>
    <row r="5" spans="1:12" ht="12.75">
      <c r="A5" s="3703" t="s">
        <v>13</v>
      </c>
      <c r="B5" s="3731">
        <v>25</v>
      </c>
      <c r="C5" s="3734"/>
      <c r="D5" s="3721"/>
      <c r="E5" s="471" t="s">
        <v>807</v>
      </c>
      <c r="F5" s="432"/>
      <c r="G5" s="432"/>
      <c r="H5" s="432"/>
      <c r="I5" s="433"/>
    </row>
    <row r="6" spans="1:12" ht="12.75">
      <c r="A6" s="3703"/>
      <c r="B6" s="3731"/>
      <c r="C6" s="3736"/>
      <c r="D6" s="3721"/>
      <c r="E6" s="471" t="s">
        <v>808</v>
      </c>
      <c r="F6" s="432"/>
      <c r="G6" s="432"/>
      <c r="H6" s="432"/>
      <c r="I6" s="433"/>
    </row>
    <row r="7" spans="1:12" ht="12.75">
      <c r="A7" s="3703"/>
      <c r="B7" s="3731"/>
      <c r="C7" s="3735"/>
      <c r="D7" s="3721"/>
      <c r="E7" s="471" t="s">
        <v>809</v>
      </c>
      <c r="F7" s="432"/>
      <c r="G7" s="432"/>
      <c r="H7" s="432"/>
      <c r="I7" s="433"/>
    </row>
    <row r="8" spans="1:12" ht="12.75">
      <c r="A8" s="3703" t="s">
        <v>14</v>
      </c>
      <c r="B8" s="3731">
        <v>15</v>
      </c>
      <c r="C8" s="3734"/>
      <c r="D8" s="3721"/>
      <c r="E8" s="471" t="s">
        <v>810</v>
      </c>
      <c r="F8" s="432"/>
      <c r="G8" s="432"/>
      <c r="H8" s="432"/>
      <c r="I8" s="433"/>
    </row>
    <row r="9" spans="1:12" ht="12.75">
      <c r="A9" s="3703"/>
      <c r="B9" s="3731"/>
      <c r="C9" s="3735"/>
      <c r="D9" s="3721"/>
      <c r="E9" s="471" t="s">
        <v>811</v>
      </c>
      <c r="F9" s="432"/>
      <c r="G9" s="432"/>
      <c r="H9" s="432"/>
      <c r="I9" s="433"/>
    </row>
    <row r="10" spans="1:12" ht="12.75">
      <c r="A10" s="3703" t="s">
        <v>15</v>
      </c>
      <c r="B10" s="3731">
        <v>15</v>
      </c>
      <c r="C10" s="3734"/>
      <c r="D10" s="3721"/>
      <c r="E10" s="471" t="s">
        <v>812</v>
      </c>
      <c r="F10" s="432"/>
      <c r="G10" s="432"/>
      <c r="H10" s="432"/>
      <c r="I10" s="433"/>
    </row>
    <row r="11" spans="1:12" ht="12.75">
      <c r="A11" s="3703"/>
      <c r="B11" s="3731"/>
      <c r="C11" s="3735"/>
      <c r="D11" s="3721"/>
      <c r="E11" s="471" t="s">
        <v>813</v>
      </c>
      <c r="F11" s="432"/>
      <c r="G11" s="432"/>
      <c r="H11" s="432"/>
      <c r="I11" s="433"/>
    </row>
    <row r="12" spans="1:12" ht="12.75">
      <c r="A12" s="3703" t="s">
        <v>16</v>
      </c>
      <c r="B12" s="3731">
        <v>15</v>
      </c>
      <c r="C12" s="3734"/>
      <c r="D12" s="3721"/>
      <c r="E12" s="471" t="s">
        <v>814</v>
      </c>
      <c r="F12" s="432"/>
      <c r="G12" s="432"/>
      <c r="H12" s="432"/>
      <c r="I12" s="433"/>
    </row>
    <row r="13" spans="1:12" ht="12.75">
      <c r="A13" s="3703"/>
      <c r="B13" s="3731"/>
      <c r="C13" s="3735"/>
      <c r="D13" s="3721"/>
      <c r="E13" s="471" t="s">
        <v>815</v>
      </c>
      <c r="F13" s="432"/>
      <c r="G13" s="432"/>
      <c r="H13" s="432"/>
      <c r="I13" s="433"/>
    </row>
    <row r="14" spans="1:12" ht="12.75">
      <c r="A14" s="3703" t="s">
        <v>17</v>
      </c>
      <c r="B14" s="3731">
        <v>30</v>
      </c>
      <c r="C14" s="3734">
        <v>4</v>
      </c>
      <c r="D14" s="3721">
        <v>6</v>
      </c>
      <c r="E14" s="471" t="s">
        <v>816</v>
      </c>
      <c r="F14" s="432"/>
      <c r="G14" s="432"/>
      <c r="H14" s="432"/>
      <c r="I14" s="433"/>
    </row>
    <row r="15" spans="1:12" ht="12.75">
      <c r="A15" s="3703"/>
      <c r="B15" s="3731"/>
      <c r="C15" s="3736"/>
      <c r="D15" s="3721"/>
      <c r="E15" s="471" t="s">
        <v>817</v>
      </c>
      <c r="F15" s="432"/>
      <c r="G15" s="432"/>
      <c r="H15" s="432"/>
      <c r="I15" s="433"/>
    </row>
    <row r="16" spans="1:12" ht="12.75">
      <c r="A16" s="3703"/>
      <c r="B16" s="3731"/>
      <c r="C16" s="3735"/>
      <c r="D16" s="3721"/>
      <c r="E16" s="471" t="s">
        <v>818</v>
      </c>
      <c r="F16" s="432"/>
      <c r="G16" s="432"/>
      <c r="H16" s="432"/>
      <c r="I16" s="433"/>
    </row>
    <row r="17" spans="1:35" ht="14.25">
      <c r="A17" s="434" t="s">
        <v>18</v>
      </c>
      <c r="B17" s="38"/>
      <c r="C17" s="472">
        <f>SUM(C5:C16)</f>
        <v>4</v>
      </c>
      <c r="D17" s="472">
        <f>SUM(D5:D16)</f>
        <v>6</v>
      </c>
      <c r="E17" s="2273"/>
      <c r="F17" s="2273"/>
      <c r="G17" s="2273"/>
      <c r="H17" s="2273"/>
      <c r="I17" s="2273"/>
      <c r="K17" s="2180"/>
      <c r="L17" s="2181" t="s">
        <v>2312</v>
      </c>
      <c r="M17" s="2181" t="s">
        <v>2313</v>
      </c>
    </row>
    <row r="18" spans="1:35" ht="15" thickBot="1">
      <c r="A18" s="435" t="s">
        <v>19</v>
      </c>
      <c r="B18" s="18"/>
      <c r="C18" s="473">
        <f>ROUND(C17/SUM(C17:D17),2)</f>
        <v>0.4</v>
      </c>
      <c r="D18" s="473">
        <f>1-C18</f>
        <v>0.6</v>
      </c>
      <c r="E18" s="2273"/>
      <c r="F18" s="2273"/>
      <c r="G18" s="2273"/>
      <c r="H18" s="2273"/>
      <c r="I18" s="2273"/>
      <c r="K18" s="2180" t="s">
        <v>2126</v>
      </c>
      <c r="L18" s="2180">
        <f>IF(C1="",'数据-汇总表'!E3,SUMIF(项目类型,C1,'数据-汇总表'!E17:E26)+SUMIF(项目类型,C1,'数据-汇总表'!I17:I26))</f>
        <v>86900.44</v>
      </c>
      <c r="M18" s="2180">
        <f>IF(C1="",'数据-汇总表'!E3,SUMIF(项目类型,C1,'数据-汇总表'!E17:E26))</f>
        <v>86900.44</v>
      </c>
    </row>
    <row r="19" spans="1:35" ht="14.25">
      <c r="A19" s="436" t="s">
        <v>178</v>
      </c>
      <c r="B19" s="437" t="s">
        <v>20</v>
      </c>
      <c r="C19" s="474">
        <f ca="1">SUMIF(INDIRECT("'"&amp;C4&amp;"'"&amp;"!A:A"),'结果表 (3)'!B19,INDIRECT("'"&amp;C4&amp;"'"&amp;"!B:B"))</f>
        <v>20123</v>
      </c>
      <c r="D19" s="475">
        <f ca="1">SUMIF(INDIRECT("'"&amp;D4&amp;"'"&amp;"!A:A"),'结果表 (3)'!B19,INDIRECT("'"&amp;D4&amp;"'"&amp;"!B:B"))</f>
        <v>34566</v>
      </c>
      <c r="E19" s="436" t="s">
        <v>177</v>
      </c>
      <c r="F19" s="437" t="s">
        <v>20</v>
      </c>
      <c r="G19" s="476">
        <f ca="1">ROUND(C19*$C$18+D19*$D$18,0)</f>
        <v>28789</v>
      </c>
      <c r="H19" s="438" t="s">
        <v>226</v>
      </c>
      <c r="I19" s="2273"/>
      <c r="K19" s="2180" t="s">
        <v>2127</v>
      </c>
      <c r="L19" s="2180">
        <f>IF(C1="",'数据-汇总表'!D3,SUMIF(项目类型,C1,'数据-汇总表'!D17:D26)+SUMIF(项目类型,C1,'数据-汇总表'!H17:H27))</f>
        <v>17579.09</v>
      </c>
      <c r="M19" s="2180">
        <f>IF(C1="",'数据-汇总表'!D3,SUMIF(项目类型,C1,'数据-汇总表'!D17:D26))</f>
        <v>17579.09</v>
      </c>
    </row>
    <row r="20" spans="1:35" ht="14.25">
      <c r="A20" s="439"/>
      <c r="B20" s="440" t="s">
        <v>21</v>
      </c>
      <c r="C20" s="477">
        <f ca="1">SUMIF(INDIRECT("'"&amp;C4&amp;"'"&amp;"!A:A"),'结果表 (3)'!B20,INDIRECT("'"&amp;C4&amp;"'"&amp;"!B:B"))</f>
        <v>2316</v>
      </c>
      <c r="D20" s="478">
        <f ca="1">SUMIF(INDIRECT("'"&amp;D4&amp;"'"&amp;"!A:A"),'结果表 (3)'!B20,INDIRECT("'"&amp;D4&amp;"'"&amp;"!B:B"))</f>
        <v>3978</v>
      </c>
      <c r="E20" s="439"/>
      <c r="F20" s="440" t="s">
        <v>21</v>
      </c>
      <c r="G20" s="479">
        <f ca="1">ROUND(C20*$C$18+D20*$D$18,0)</f>
        <v>3313</v>
      </c>
      <c r="H20" s="441" t="s">
        <v>225</v>
      </c>
      <c r="I20" s="2273"/>
    </row>
    <row r="21" spans="1:35" ht="15" customHeight="1" thickBot="1">
      <c r="A21" s="443"/>
      <c r="B21" s="444" t="s">
        <v>22</v>
      </c>
      <c r="C21" s="1421">
        <f ca="1">ROUND(C19*10000/L19,0)</f>
        <v>11447</v>
      </c>
      <c r="D21" s="1422">
        <f ca="1">ROUND(D19*10000/L19,0)</f>
        <v>19663</v>
      </c>
      <c r="E21" s="443"/>
      <c r="F21" s="444" t="s">
        <v>22</v>
      </c>
      <c r="G21" s="480">
        <f ca="1">ROUND(G19*10000/L19,0)</f>
        <v>16377</v>
      </c>
      <c r="H21" s="445" t="s">
        <v>225</v>
      </c>
      <c r="I21" s="2273"/>
    </row>
    <row r="22" spans="1:35" ht="15" thickBot="1">
      <c r="A22" s="275" t="s">
        <v>179</v>
      </c>
      <c r="B22" s="1423"/>
      <c r="C22" s="1424"/>
      <c r="D22" s="1425">
        <f ca="1">IF(C19&lt;D19,D19/C19-1,C19/D19-1)</f>
        <v>0.71773592406698805</v>
      </c>
      <c r="E22" s="2273"/>
      <c r="F22" s="2273"/>
      <c r="G22" s="2273"/>
      <c r="H22" s="2273"/>
      <c r="I22" s="2273"/>
    </row>
    <row r="23" spans="1:35" ht="12.75" thickBot="1">
      <c r="A23" s="1242"/>
      <c r="B23" s="1242"/>
      <c r="C23" s="1242"/>
      <c r="D23" s="1242"/>
      <c r="E23" s="2273"/>
      <c r="F23" s="2273"/>
      <c r="G23" s="2273"/>
      <c r="H23" s="2273"/>
      <c r="I23" s="2273"/>
    </row>
    <row r="24" spans="1:35" ht="14.25">
      <c r="A24" s="3746" t="s">
        <v>175</v>
      </c>
      <c r="B24" s="437" t="s">
        <v>20</v>
      </c>
      <c r="C24" s="476">
        <f>IF(B30=0,0,D30)</f>
        <v>0</v>
      </c>
      <c r="D24" s="446"/>
      <c r="E24" s="2273"/>
      <c r="F24" s="2273"/>
      <c r="G24" s="2273"/>
      <c r="H24" s="2273"/>
      <c r="I24" s="2273"/>
    </row>
    <row r="25" spans="1:35" ht="14.25">
      <c r="A25" s="3747"/>
      <c r="B25" s="440" t="s">
        <v>21</v>
      </c>
      <c r="C25" s="481">
        <f>IF(B30=0,0,C30)</f>
        <v>0</v>
      </c>
      <c r="D25" s="447"/>
      <c r="E25" s="2273"/>
      <c r="F25" s="2273"/>
      <c r="G25" s="2273"/>
      <c r="H25" s="2273"/>
      <c r="I25" s="2273"/>
    </row>
    <row r="26" spans="1:35" ht="13.5" customHeight="1">
      <c r="A26" s="448" t="s">
        <v>176</v>
      </c>
      <c r="B26" s="449" t="s">
        <v>118</v>
      </c>
      <c r="C26" s="449" t="s">
        <v>119</v>
      </c>
      <c r="D26" s="450" t="s">
        <v>120</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174</v>
      </c>
      <c r="B30" s="484">
        <f>SUM(B27:B29)</f>
        <v>0</v>
      </c>
      <c r="C30" s="484" t="e">
        <f>ROUND(D30*10000/B30,0)</f>
        <v>#DIV/0!</v>
      </c>
      <c r="D30" s="484">
        <f>SUM(D27:D29)</f>
        <v>0</v>
      </c>
      <c r="E30" s="2273"/>
      <c r="F30" s="2273"/>
      <c r="G30" s="2273"/>
      <c r="H30" s="2273"/>
      <c r="I30" s="2273"/>
    </row>
    <row r="31" spans="1:35" s="1244" customFormat="1" ht="14.25" thickBot="1">
      <c r="A31" s="452"/>
      <c r="B31" s="452"/>
      <c r="C31" s="452"/>
      <c r="D31" s="452"/>
      <c r="E31" s="2273"/>
      <c r="F31" s="2273"/>
      <c r="G31" s="2273"/>
      <c r="H31" s="2273"/>
      <c r="I31" s="2273"/>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173</v>
      </c>
      <c r="B32" s="454"/>
      <c r="C32" s="485">
        <f ca="1">IF(D32="总价",G19-C24,G20-C25)</f>
        <v>28789</v>
      </c>
      <c r="D32" s="2088" t="s">
        <v>208</v>
      </c>
      <c r="E32" s="2273"/>
      <c r="F32" s="2273"/>
      <c r="G32" s="2273"/>
      <c r="H32" s="2273"/>
      <c r="I32" s="2273"/>
    </row>
    <row r="33" spans="1:15" ht="13.5">
      <c r="A33" s="457" t="s">
        <v>764</v>
      </c>
      <c r="B33" s="2087"/>
      <c r="C33" s="2870"/>
      <c r="D33" s="2873"/>
      <c r="E33" s="2085" t="s">
        <v>2106</v>
      </c>
      <c r="F33" s="3380" t="str">
        <f>IF(D32="楼面单价","取值（单价）","取值（总价）")</f>
        <v>取值（总价）</v>
      </c>
      <c r="G33" s="2273"/>
      <c r="H33" s="2273"/>
      <c r="I33" s="2273"/>
    </row>
    <row r="34" spans="1:15" ht="15">
      <c r="A34" s="458"/>
      <c r="B34" s="459" t="s">
        <v>767</v>
      </c>
      <c r="C34" s="489" t="e">
        <f ca="1">IF(C33="自定义",F34,C32-C35)</f>
        <v>#REF!</v>
      </c>
      <c r="D34" s="2089" t="e">
        <f ca="1">IF(C33="自定义",ROUND(C34/C32,3),IF(C33="收益比率",SUMIF(INDIRECT("'"&amp;D33&amp;"'"&amp;"!b:b"),"土地收益比率",INDIRECT("'"&amp;D33&amp;"'"&amp;"!c:c")),SUMIF(INDIRECT("'"&amp;D33&amp;"'"&amp;"!b:b"),"土地成本比率",INDIRECT("'"&amp;D33&amp;"'"&amp;"!c:c"))))</f>
        <v>#REF!</v>
      </c>
      <c r="E34" s="2871" t="s">
        <v>2107</v>
      </c>
      <c r="F34" s="3245"/>
      <c r="G34" s="2273"/>
      <c r="H34" s="2273"/>
      <c r="I34" s="2273"/>
    </row>
    <row r="35" spans="1:15" ht="15.75" thickBot="1">
      <c r="A35" s="461"/>
      <c r="B35" s="2874" t="s">
        <v>769</v>
      </c>
      <c r="C35" s="2875" t="e">
        <f ca="1">IF(C33="自定义",F35,ROUND(C32*D35,0))</f>
        <v>#REF!</v>
      </c>
      <c r="D35" s="2876" t="e">
        <f ca="1">IF(C33="自定义",ROUND(C35/C32,3),IF(C33="收益比率",SUMIF(INDIRECT("'"&amp;D33&amp;"'"&amp;"!b:b"),"建筑物收益比率",INDIRECT("'"&amp;D33&amp;"'"&amp;"!c:c")),SUMIF(INDIRECT("'"&amp;D33&amp;"'"&amp;"!b:b"),"建筑物成本比率",INDIRECT("'"&amp;D33&amp;"'"&amp;"!c:c"))))</f>
        <v>#REF!</v>
      </c>
      <c r="E35" s="2872" t="s">
        <v>2108</v>
      </c>
      <c r="F35" s="495"/>
      <c r="G35" s="2273"/>
      <c r="H35" s="2273"/>
      <c r="I35" s="2273"/>
    </row>
    <row r="36" spans="1:15" ht="15.75" thickBot="1">
      <c r="A36" s="3722" t="s">
        <v>765</v>
      </c>
      <c r="B36" s="455" t="s">
        <v>766</v>
      </c>
      <c r="C36" s="486"/>
      <c r="D36" s="456"/>
      <c r="E36" s="1245"/>
      <c r="F36" s="2274"/>
      <c r="G36" s="2273"/>
      <c r="H36" s="2273"/>
      <c r="I36" s="2273"/>
    </row>
    <row r="37" spans="1:15" ht="15.75" thickBot="1">
      <c r="A37" s="3723"/>
      <c r="B37" s="13" t="s">
        <v>768</v>
      </c>
      <c r="C37" s="488"/>
      <c r="D37" s="2222"/>
      <c r="E37" s="2222"/>
      <c r="F37" s="2274"/>
      <c r="G37" s="2273"/>
      <c r="H37" s="2273"/>
      <c r="I37" s="2273"/>
    </row>
    <row r="38" spans="1:15" ht="15.75" thickBot="1">
      <c r="A38" s="3724"/>
      <c r="B38" s="460" t="s">
        <v>770</v>
      </c>
      <c r="C38" s="1136"/>
      <c r="D38" s="1246" t="s">
        <v>771</v>
      </c>
      <c r="E38" s="2222"/>
      <c r="F38" s="2274"/>
      <c r="G38" s="2273"/>
      <c r="H38" s="2273"/>
      <c r="I38" s="2273"/>
    </row>
    <row r="39" spans="1:15" ht="13.5">
      <c r="A39" s="439" t="s">
        <v>772</v>
      </c>
      <c r="B39" s="462" t="s">
        <v>118</v>
      </c>
      <c r="C39" s="463" t="s">
        <v>119</v>
      </c>
      <c r="D39" s="463" t="s">
        <v>775</v>
      </c>
      <c r="E39" s="464" t="s">
        <v>120</v>
      </c>
      <c r="F39" s="2274"/>
      <c r="G39" s="2273"/>
      <c r="H39" s="2273"/>
      <c r="I39" s="2273"/>
    </row>
    <row r="40" spans="1:15" ht="13.5">
      <c r="A40" s="1247" t="s">
        <v>777</v>
      </c>
      <c r="B40" s="490"/>
      <c r="C40" s="491"/>
      <c r="D40" s="491"/>
      <c r="E40" s="492"/>
      <c r="F40" s="2274"/>
      <c r="G40" s="2273"/>
      <c r="H40" s="2273"/>
      <c r="I40" s="2273"/>
    </row>
    <row r="41" spans="1:15" ht="13.5">
      <c r="A41" s="1247" t="s">
        <v>778</v>
      </c>
      <c r="B41" s="490"/>
      <c r="C41" s="491"/>
      <c r="D41" s="491"/>
      <c r="E41" s="492"/>
      <c r="F41" s="2274"/>
      <c r="G41" s="2273"/>
      <c r="H41" s="2273"/>
      <c r="I41" s="2273"/>
    </row>
    <row r="42" spans="1:15" ht="14.25" thickBot="1">
      <c r="A42" s="1248"/>
      <c r="B42" s="493"/>
      <c r="C42" s="494"/>
      <c r="D42" s="494"/>
      <c r="E42" s="495"/>
      <c r="F42" s="2274"/>
      <c r="G42" s="2273"/>
      <c r="H42" s="2273"/>
      <c r="I42" s="2273"/>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62" t="s">
        <v>212</v>
      </c>
      <c r="K44" s="3263"/>
      <c r="L44" s="3263"/>
      <c r="M44" s="3263"/>
      <c r="N44" s="3263"/>
      <c r="O44" s="3263"/>
    </row>
    <row r="45" spans="1:15" ht="14.25" customHeight="1" thickBot="1">
      <c r="A45" s="3743" t="s">
        <v>799</v>
      </c>
      <c r="B45" s="3744"/>
      <c r="C45" s="3745"/>
      <c r="D45" s="496">
        <f ca="1">ROUND(H101*F45,0)</f>
        <v>28789</v>
      </c>
      <c r="E45" s="497" t="s">
        <v>800</v>
      </c>
      <c r="F45" s="498">
        <v>1</v>
      </c>
      <c r="G45" s="499" t="s">
        <v>801</v>
      </c>
      <c r="H45" s="2273"/>
      <c r="I45" s="2273"/>
      <c r="J45" s="3653" t="s">
        <v>213</v>
      </c>
      <c r="K45" s="3653"/>
      <c r="L45" s="3653"/>
      <c r="M45" s="3653"/>
      <c r="N45" s="3653"/>
      <c r="O45" s="3653"/>
    </row>
    <row r="46" spans="1:15" ht="14.25" customHeight="1">
      <c r="A46" s="3740" t="s">
        <v>285</v>
      </c>
      <c r="B46" s="3741"/>
      <c r="C46" s="3741"/>
      <c r="D46" s="3741"/>
      <c r="E46" s="3741"/>
      <c r="F46" s="3741"/>
      <c r="G46" s="3742"/>
      <c r="H46" s="2275"/>
      <c r="I46" s="2228"/>
      <c r="J46" s="3386">
        <v>1</v>
      </c>
      <c r="K46" s="3653" t="s">
        <v>214</v>
      </c>
      <c r="L46" s="3653"/>
      <c r="M46" s="3654"/>
      <c r="N46" s="3654"/>
      <c r="O46" s="3654"/>
    </row>
    <row r="47" spans="1:15" ht="12" customHeight="1">
      <c r="A47" s="501" t="s">
        <v>286</v>
      </c>
      <c r="B47" s="502"/>
      <c r="C47" s="503"/>
      <c r="D47" s="504" t="s">
        <v>287</v>
      </c>
      <c r="E47" s="313" t="s">
        <v>288</v>
      </c>
      <c r="F47" s="505" t="s">
        <v>802</v>
      </c>
      <c r="G47" s="506" t="s">
        <v>803</v>
      </c>
      <c r="H47" s="2275"/>
      <c r="I47" s="2228"/>
      <c r="J47" s="3386">
        <v>2</v>
      </c>
      <c r="K47" s="3653" t="s">
        <v>215</v>
      </c>
      <c r="L47" s="3653"/>
      <c r="M47" s="3655">
        <f>'数据-取费表'!B2</f>
        <v>42970</v>
      </c>
      <c r="N47" s="3655"/>
      <c r="O47" s="3655"/>
    </row>
    <row r="48" spans="1:15" ht="25.5">
      <c r="A48" s="3726" t="s">
        <v>289</v>
      </c>
      <c r="B48" s="3727"/>
      <c r="C48" s="3727"/>
      <c r="D48" s="471">
        <f>IF(H48="情况1",0,IF(H48="情况2",D52,IF(H48="情况3",D53,IF(H48="情况4",D54))))</f>
        <v>0</v>
      </c>
      <c r="E48" s="3394" t="str">
        <f>IF(H48="情况4","(销售额-原购置价)×税（费）率","销售额×税（费）率")</f>
        <v>销售额×税（费）率</v>
      </c>
      <c r="F48" s="507" t="str">
        <f>IF(H48="情况1","免征",'数据-取费表'!B41)</f>
        <v>免征</v>
      </c>
      <c r="G48" s="465" t="s">
        <v>168</v>
      </c>
      <c r="H48" s="1431" t="s">
        <v>2409</v>
      </c>
      <c r="I48" s="2275"/>
      <c r="J48" s="3386">
        <v>3</v>
      </c>
      <c r="K48" s="3653" t="s">
        <v>781</v>
      </c>
      <c r="L48" s="3653"/>
      <c r="M48" s="3656">
        <f ca="1">H101</f>
        <v>28789</v>
      </c>
      <c r="N48" s="3656"/>
      <c r="O48" s="3656"/>
    </row>
    <row r="49" spans="1:35" ht="25.5" customHeight="1">
      <c r="A49" s="508" t="s">
        <v>290</v>
      </c>
      <c r="B49" s="3706" t="s">
        <v>805</v>
      </c>
      <c r="C49" s="3706"/>
      <c r="D49" s="509">
        <v>0</v>
      </c>
      <c r="E49" s="312" t="s">
        <v>291</v>
      </c>
      <c r="F49" s="317" t="s">
        <v>169</v>
      </c>
      <c r="G49" s="3685"/>
      <c r="H49" s="2273"/>
      <c r="I49" s="2276"/>
      <c r="J49" s="3386">
        <v>4</v>
      </c>
      <c r="K49" s="3653" t="str">
        <f>IF(项目基本情况!E8="房地产抵押价值","房地产抵押价值","抵押担保权已注销时的房地产抵押价值")</f>
        <v>抵押担保权已注销时的房地产抵押价值</v>
      </c>
      <c r="L49" s="3653"/>
      <c r="M49" s="3656" t="str">
        <f>IF(项目基本情况!E8="房地产抵押价值",H107,H109)</f>
        <v>——</v>
      </c>
      <c r="N49" s="3656"/>
      <c r="O49" s="3656"/>
    </row>
    <row r="50" spans="1:35" ht="25.5" customHeight="1">
      <c r="A50" s="510"/>
      <c r="B50" s="3706" t="s">
        <v>292</v>
      </c>
      <c r="C50" s="3706"/>
      <c r="D50" s="511"/>
      <c r="E50" s="320"/>
      <c r="F50" s="512"/>
      <c r="G50" s="3686"/>
      <c r="H50" s="2273"/>
      <c r="I50" s="2276"/>
      <c r="J50" s="3653" t="s">
        <v>216</v>
      </c>
      <c r="K50" s="3653"/>
      <c r="L50" s="3653"/>
      <c r="M50" s="3653"/>
      <c r="N50" s="3653"/>
      <c r="O50" s="3653"/>
    </row>
    <row r="51" spans="1:35" ht="12" customHeight="1">
      <c r="A51" s="513"/>
      <c r="B51" s="3706" t="s">
        <v>293</v>
      </c>
      <c r="C51" s="3706"/>
      <c r="D51" s="514"/>
      <c r="E51" s="319"/>
      <c r="F51" s="512"/>
      <c r="G51" s="3687"/>
      <c r="H51" s="2273"/>
      <c r="I51" s="2276"/>
      <c r="J51" s="3382" t="s">
        <v>217</v>
      </c>
      <c r="K51" s="3653" t="s">
        <v>218</v>
      </c>
      <c r="L51" s="3653"/>
      <c r="M51" s="3382" t="s">
        <v>2993</v>
      </c>
      <c r="N51" s="3382" t="s">
        <v>219</v>
      </c>
      <c r="O51" s="3382" t="s">
        <v>220</v>
      </c>
    </row>
    <row r="52" spans="1:35" ht="24" customHeight="1">
      <c r="A52" s="515" t="s">
        <v>294</v>
      </c>
      <c r="B52" s="3706" t="s">
        <v>295</v>
      </c>
      <c r="C52" s="3706"/>
      <c r="D52" s="514">
        <f ca="1">ROUND(D45*'数据-取费表'!B41/(1+'数据-取费表'!C42),0)</f>
        <v>1535</v>
      </c>
      <c r="E52" s="299" t="s">
        <v>296</v>
      </c>
      <c r="F52" s="516">
        <f>'数据-取费表'!B41</f>
        <v>5.6000000000000001E-2</v>
      </c>
      <c r="G52" s="466"/>
      <c r="H52" s="2273"/>
      <c r="I52" s="2276"/>
      <c r="J52" s="3386">
        <v>1</v>
      </c>
      <c r="K52" s="3679" t="s">
        <v>782</v>
      </c>
      <c r="L52" s="3679"/>
      <c r="M52" s="3265">
        <f>D48</f>
        <v>0</v>
      </c>
      <c r="N52" s="3385" t="str">
        <f>E48</f>
        <v>销售额×税（费）率</v>
      </c>
      <c r="O52" s="3266" t="str">
        <f>F48</f>
        <v>免征</v>
      </c>
    </row>
    <row r="53" spans="1:35" ht="12" customHeight="1">
      <c r="A53" s="515" t="s">
        <v>297</v>
      </c>
      <c r="B53" s="3707" t="s">
        <v>298</v>
      </c>
      <c r="C53" s="3708"/>
      <c r="D53" s="514">
        <f ca="1">ROUND(D45*'数据-取费表'!B41/(1+'数据-取费表'!C42),0)</f>
        <v>1535</v>
      </c>
      <c r="E53" s="299" t="s">
        <v>296</v>
      </c>
      <c r="F53" s="516">
        <f>'数据-取费表'!B41</f>
        <v>5.6000000000000001E-2</v>
      </c>
      <c r="G53" s="466"/>
      <c r="H53" s="2273"/>
      <c r="I53" s="2276"/>
      <c r="J53" s="3386">
        <v>2</v>
      </c>
      <c r="K53" s="3679" t="s">
        <v>783</v>
      </c>
      <c r="L53" s="3679"/>
      <c r="M53" s="3265">
        <f t="shared" ref="M53:O54" ca="1" si="0">D55</f>
        <v>14</v>
      </c>
      <c r="N53" s="3385" t="str">
        <f t="shared" si="0"/>
        <v>销售额×税（费）率</v>
      </c>
      <c r="O53" s="3266">
        <f t="shared" si="0"/>
        <v>5.0000000000000001E-4</v>
      </c>
    </row>
    <row r="54" spans="1:35" ht="12" customHeight="1">
      <c r="A54" s="515" t="s">
        <v>299</v>
      </c>
      <c r="B54" s="3707" t="s">
        <v>300</v>
      </c>
      <c r="C54" s="3708"/>
      <c r="D54" s="514">
        <f ca="1">C68</f>
        <v>1535</v>
      </c>
      <c r="E54" s="319" t="s">
        <v>301</v>
      </c>
      <c r="F54" s="516">
        <f>'数据-取费表'!B41</f>
        <v>5.6000000000000001E-2</v>
      </c>
      <c r="G54" s="466"/>
      <c r="H54" s="2277"/>
      <c r="I54" s="2276"/>
      <c r="J54" s="3386">
        <v>3</v>
      </c>
      <c r="K54" s="3679" t="s">
        <v>784</v>
      </c>
      <c r="L54" s="3679"/>
      <c r="M54" s="3265">
        <f t="shared" ca="1" si="0"/>
        <v>16294</v>
      </c>
      <c r="N54" s="3385" t="str">
        <f t="shared" si="0"/>
        <v>增值额×税（费）率</v>
      </c>
      <c r="O54" s="3267" t="str">
        <f t="shared" si="0"/>
        <v>——</v>
      </c>
    </row>
    <row r="55" spans="1:35" ht="24" customHeight="1">
      <c r="A55" s="3749" t="s">
        <v>302</v>
      </c>
      <c r="B55" s="3727"/>
      <c r="C55" s="3727"/>
      <c r="D55" s="517">
        <f ca="1">IF(H55="个人住宅",0,ROUND(D45*I55,0))</f>
        <v>14</v>
      </c>
      <c r="E55" s="299" t="s">
        <v>303</v>
      </c>
      <c r="F55" s="516">
        <f>IF(H55="正常",I55,"免征")</f>
        <v>5.0000000000000001E-4</v>
      </c>
      <c r="G55" s="466"/>
      <c r="H55" s="1431" t="s">
        <v>153</v>
      </c>
      <c r="I55" s="518">
        <f>'数据-取费表'!B49</f>
        <v>5.0000000000000001E-4</v>
      </c>
      <c r="J55" s="3386" t="str">
        <f>IF(H59="非个人房产","",4)</f>
        <v/>
      </c>
      <c r="K55" s="3679" t="str">
        <f>IF(H59="非个人房产","——","个人所得税")</f>
        <v>——</v>
      </c>
      <c r="L55" s="3679"/>
      <c r="M55" s="3268" t="str">
        <f>D59</f>
        <v>——</v>
      </c>
      <c r="N55" s="3269" t="str">
        <f>E59</f>
        <v>——</v>
      </c>
      <c r="O55" s="3270" t="str">
        <f>F59</f>
        <v>——</v>
      </c>
    </row>
    <row r="56" spans="1:35" ht="24.75">
      <c r="A56" s="3749" t="s">
        <v>304</v>
      </c>
      <c r="B56" s="3727"/>
      <c r="C56" s="3727"/>
      <c r="D56" s="517">
        <f ca="1">IF(H56="个人住宅",D57,D58)</f>
        <v>16294</v>
      </c>
      <c r="E56" s="299" t="s">
        <v>305</v>
      </c>
      <c r="F56" s="516" t="str">
        <f>IF(H56="正常",F58,"免征")</f>
        <v>——</v>
      </c>
      <c r="G56" s="1255" t="s">
        <v>168</v>
      </c>
      <c r="H56" s="1430" t="s">
        <v>153</v>
      </c>
      <c r="I56" s="2278"/>
      <c r="J56" s="3386" t="str">
        <f>IF(项目基本情况!K6="上海银行",IF(J55="",4,J55+1),"")</f>
        <v/>
      </c>
      <c r="K56" s="3659" t="str">
        <f>IF(项目基本情况!K6="上海银行","其他处置费用","")</f>
        <v/>
      </c>
      <c r="L56" s="3660"/>
      <c r="M56" s="3265" t="str">
        <f>IF(项目基本情况!K6="上海银行",M69,"")</f>
        <v/>
      </c>
      <c r="N56" s="3662" t="str">
        <f>IF(项目基本情况!K6="上海银行","包含处置中涉及的律师、诉讼、拍卖、评估等费用","")</f>
        <v/>
      </c>
      <c r="O56" s="3663"/>
    </row>
    <row r="57" spans="1:35" ht="12.75">
      <c r="A57" s="515" t="s">
        <v>290</v>
      </c>
      <c r="B57" s="3712" t="s">
        <v>306</v>
      </c>
      <c r="C57" s="3713"/>
      <c r="D57" s="519">
        <v>0</v>
      </c>
      <c r="E57" s="312" t="s">
        <v>291</v>
      </c>
      <c r="F57" s="487"/>
      <c r="G57" s="466"/>
      <c r="H57" s="2278"/>
      <c r="I57" s="2278"/>
      <c r="J57" s="3691">
        <f>IF(AND(J55="",J56=""),4,IF(项目基本情况!K6="上海银行",'结果表 (3)'!J56+1,'结果表 (3)'!J55+1))</f>
        <v>4</v>
      </c>
      <c r="K57" s="3679" t="s">
        <v>174</v>
      </c>
      <c r="L57" s="3271" t="s">
        <v>221</v>
      </c>
      <c r="M57" s="3272"/>
      <c r="N57" s="3273">
        <f ca="1">SUMIF(M52:M56,"&lt;9e307")</f>
        <v>16308</v>
      </c>
      <c r="O57" s="3274"/>
      <c r="P57" s="3261" t="e">
        <f ca="1">N57/M49</f>
        <v>#VALUE!</v>
      </c>
    </row>
    <row r="58" spans="1:35" ht="24.75">
      <c r="A58" s="515" t="s">
        <v>294</v>
      </c>
      <c r="B58" s="3712" t="s">
        <v>307</v>
      </c>
      <c r="C58" s="3725"/>
      <c r="D58" s="517">
        <f ca="1">IF(H58="转让取得",C81,C97)</f>
        <v>16294</v>
      </c>
      <c r="E58" s="299" t="s">
        <v>305</v>
      </c>
      <c r="F58" s="313" t="s">
        <v>169</v>
      </c>
      <c r="G58" s="466"/>
      <c r="H58" s="1430" t="s">
        <v>1133</v>
      </c>
      <c r="I58" s="2278"/>
      <c r="J58" s="3691"/>
      <c r="K58" s="3679"/>
      <c r="L58" s="3271" t="s">
        <v>222</v>
      </c>
      <c r="M58" s="3275"/>
      <c r="N58" s="3276" t="str">
        <f ca="1">NUMBERSTRING(INT(N57*10000),2)&amp;"元整"</f>
        <v>壹亿陆仟叁佰零捌万元整</v>
      </c>
      <c r="O58" s="3277"/>
    </row>
    <row r="59" spans="1:35" ht="24.75" thickBot="1">
      <c r="A59" s="3683" t="s">
        <v>308</v>
      </c>
      <c r="B59" s="3684"/>
      <c r="C59" s="3684"/>
      <c r="D59" s="520" t="str">
        <f>IF(H59="非个人房产","——",IF(H59="个人住宅",0,ROUND(D45*I59,0)))</f>
        <v>——</v>
      </c>
      <c r="E59" s="521" t="str">
        <f>IF(H59="非个人房产","——","销售额×税（费）率")</f>
        <v>——</v>
      </c>
      <c r="F59" s="522" t="str">
        <f>IF(H59="非个人房产","——",IF(H59="个人住宅","免征",I59))</f>
        <v>——</v>
      </c>
      <c r="G59" s="1256" t="s">
        <v>168</v>
      </c>
      <c r="H59" s="1430" t="s">
        <v>1132</v>
      </c>
      <c r="I59" s="523">
        <v>0.01</v>
      </c>
      <c r="J59" s="3681">
        <f>J57+1</f>
        <v>5</v>
      </c>
      <c r="K59" s="3679" t="s">
        <v>170</v>
      </c>
      <c r="L59" s="3385" t="s">
        <v>221</v>
      </c>
      <c r="M59" s="3278"/>
      <c r="N59" s="3279" t="e">
        <f ca="1">M49-N57</f>
        <v>#VALUE!</v>
      </c>
      <c r="O59" s="3280"/>
    </row>
    <row r="60" spans="1:35" ht="12" customHeight="1">
      <c r="A60" s="1257"/>
      <c r="B60" s="1242"/>
      <c r="C60" s="1242"/>
      <c r="D60" s="1242"/>
      <c r="E60" s="229"/>
      <c r="F60" s="2278"/>
      <c r="G60" s="2278"/>
      <c r="H60" s="2279"/>
      <c r="I60" s="2273"/>
      <c r="J60" s="3682"/>
      <c r="K60" s="3679"/>
      <c r="L60" s="3271" t="s">
        <v>222</v>
      </c>
      <c r="M60" s="3275"/>
      <c r="N60" s="3276" t="e">
        <f ca="1">NUMBERSTRING(INT(N59*10000),2)&amp;"元整"</f>
        <v>#VALUE!</v>
      </c>
      <c r="O60" s="3277"/>
    </row>
    <row r="61" spans="1:35" ht="13.5" thickBot="1">
      <c r="A61" s="3748" t="s">
        <v>309</v>
      </c>
      <c r="B61" s="3748"/>
      <c r="C61" s="3748"/>
      <c r="D61" s="3748"/>
      <c r="E61" s="3748"/>
      <c r="F61" s="2278"/>
      <c r="G61" s="2278"/>
      <c r="H61" s="2279"/>
      <c r="I61" s="2273"/>
      <c r="J61" s="3386">
        <f>J59+1</f>
        <v>6</v>
      </c>
      <c r="K61" s="3679" t="s">
        <v>223</v>
      </c>
      <c r="L61" s="3679"/>
      <c r="M61" s="3281"/>
      <c r="N61" s="3282" t="e">
        <f ca="1">ROUND(N59*10000/'数据-汇总表'!E3,0)</f>
        <v>#VALUE!</v>
      </c>
      <c r="O61" s="3283"/>
    </row>
    <row r="62" spans="1:35" ht="12.75">
      <c r="A62" s="3700" t="s">
        <v>310</v>
      </c>
      <c r="B62" s="3701"/>
      <c r="C62" s="3390"/>
      <c r="D62" s="3390" t="s">
        <v>318</v>
      </c>
      <c r="E62" s="524" t="s">
        <v>319</v>
      </c>
      <c r="F62" s="2278"/>
      <c r="G62" s="2278"/>
      <c r="H62" s="2279"/>
      <c r="I62" s="2273"/>
    </row>
    <row r="63" spans="1:35" ht="12.75">
      <c r="A63" s="535" t="s">
        <v>1895</v>
      </c>
      <c r="B63" s="525" t="s">
        <v>311</v>
      </c>
      <c r="C63" s="526">
        <f ca="1">ROUND((C64+C65)/(1+'数据-取费表'!C42),0)</f>
        <v>27418</v>
      </c>
      <c r="D63" s="527"/>
      <c r="E63" s="528"/>
      <c r="F63" s="2278"/>
      <c r="G63" s="2278"/>
      <c r="H63" s="2279"/>
      <c r="I63" s="2273"/>
      <c r="J63" s="3661" t="s">
        <v>2986</v>
      </c>
      <c r="K63" s="3383" t="s">
        <v>2987</v>
      </c>
      <c r="L63" s="3258" t="e">
        <f>IF(M49&gt;10000,M49*0.5%,IF(AND(M49&gt;1000,M49&lt;=10000),M49*1%,IF(AND(M49&gt;100,M49&lt;=1000),M49*3%,IF(AND(M49&gt;10,M49&lt;=100),M49*5%,M49*8%))))</f>
        <v>#VALUE!</v>
      </c>
      <c r="M63" s="313" t="e">
        <f>ROUND(L63,1)</f>
        <v>#VALUE!</v>
      </c>
      <c r="Z63" s="1433"/>
      <c r="AI63" s="1243"/>
    </row>
    <row r="64" spans="1:35" ht="14.25" customHeight="1">
      <c r="A64" s="529" t="s">
        <v>1890</v>
      </c>
      <c r="B64" s="530" t="s">
        <v>312</v>
      </c>
      <c r="C64" s="531">
        <f ca="1">D45</f>
        <v>28789</v>
      </c>
      <c r="D64" s="532" t="s">
        <v>165</v>
      </c>
      <c r="E64" s="533"/>
      <c r="F64" s="2278"/>
      <c r="G64" s="2278"/>
      <c r="H64" s="2279"/>
      <c r="I64" s="2273"/>
      <c r="J64" s="3661"/>
      <c r="K64" s="3383" t="s">
        <v>2988</v>
      </c>
      <c r="L64" s="3258"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2994</v>
      </c>
      <c r="Z64" s="1433"/>
      <c r="AI64" s="1243"/>
    </row>
    <row r="65" spans="1:35" ht="14.25" customHeight="1">
      <c r="A65" s="529" t="s">
        <v>1891</v>
      </c>
      <c r="B65" s="530" t="s">
        <v>313</v>
      </c>
      <c r="C65" s="534"/>
      <c r="D65" s="532"/>
      <c r="E65" s="533"/>
      <c r="F65" s="2278"/>
      <c r="G65" s="2278"/>
      <c r="H65" s="2279"/>
      <c r="I65" s="2273"/>
      <c r="J65" s="3661"/>
      <c r="K65" s="3383" t="s">
        <v>2989</v>
      </c>
      <c r="L65" s="3258" t="e">
        <f>IF(M49&gt;1000,M49*0.1%,IF(AND(M49&gt;500,M49&lt;=1000),M49*0.5%,IF(AND(M49&gt;50,M49&lt;=500),M49*1%,IF(AND(M49&gt;1,M49&lt;=50),M49*1.5%))))</f>
        <v>#VALUE!</v>
      </c>
      <c r="M65" s="313" t="e">
        <f t="shared" si="1"/>
        <v>#VALUE!</v>
      </c>
      <c r="N65" s="469" t="s">
        <v>2994</v>
      </c>
      <c r="Z65" s="1433"/>
      <c r="AI65" s="1243"/>
    </row>
    <row r="66" spans="1:35" ht="14.25" customHeight="1">
      <c r="A66" s="535" t="s">
        <v>1892</v>
      </c>
      <c r="B66" s="536" t="s">
        <v>314</v>
      </c>
      <c r="C66" s="537"/>
      <c r="D66" s="538" t="s">
        <v>165</v>
      </c>
      <c r="E66" s="3312" t="s">
        <v>3030</v>
      </c>
      <c r="F66" s="2278"/>
      <c r="G66" s="2278"/>
      <c r="H66" s="2279"/>
      <c r="I66" s="2273"/>
      <c r="J66" s="3661"/>
      <c r="K66" s="3383" t="s">
        <v>2990</v>
      </c>
      <c r="L66" s="3258" t="e">
        <f>M49*0.5%</f>
        <v>#VALUE!</v>
      </c>
      <c r="M66" s="313" t="e">
        <f>IF(L66&gt;0.5,0.5,ROUND(L66,0))</f>
        <v>#VALUE!</v>
      </c>
      <c r="N66" s="469" t="s">
        <v>2996</v>
      </c>
      <c r="Z66" s="1433"/>
      <c r="AI66" s="1243"/>
    </row>
    <row r="67" spans="1:35" ht="14.25" customHeight="1">
      <c r="A67" s="535" t="s">
        <v>1893</v>
      </c>
      <c r="B67" s="536" t="s">
        <v>315</v>
      </c>
      <c r="C67" s="539">
        <f ca="1">C63-C66</f>
        <v>27418</v>
      </c>
      <c r="D67" s="532" t="s">
        <v>165</v>
      </c>
      <c r="E67" s="533"/>
      <c r="F67" s="2278"/>
      <c r="G67" s="2278"/>
      <c r="H67" s="2279"/>
      <c r="I67" s="2273"/>
      <c r="J67" s="3661"/>
      <c r="K67" s="3383" t="s">
        <v>2991</v>
      </c>
      <c r="L67" s="3258"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3"/>
      <c r="AI67" s="1243"/>
    </row>
    <row r="68" spans="1:35" ht="14.25" customHeight="1" thickBot="1">
      <c r="A68" s="540" t="s">
        <v>1894</v>
      </c>
      <c r="B68" s="541" t="s">
        <v>316</v>
      </c>
      <c r="C68" s="542">
        <f ca="1">IF(C67&lt;=0,0,ROUND(C67*D68,0))</f>
        <v>1535</v>
      </c>
      <c r="D68" s="543">
        <f>'数据-取费表'!B41</f>
        <v>5.6000000000000001E-2</v>
      </c>
      <c r="E68" s="544"/>
      <c r="F68" s="2278"/>
      <c r="G68" s="2278"/>
      <c r="H68" s="2279"/>
      <c r="I68" s="2273"/>
      <c r="J68" s="3661"/>
      <c r="K68" s="3383" t="s">
        <v>2992</v>
      </c>
      <c r="L68" s="3258" t="e">
        <f>IF(M49&gt;10000,M49*0.5%,IF(AND(M49&gt;5000,M49&lt;=10000),M49*1%,IF(AND(M49&gt;1000,M49&lt;=5000),M49*2%,IF(AND(M49&gt;200,M49&lt;=1000),M49*3%,M49*5%))))</f>
        <v>#VALUE!</v>
      </c>
      <c r="M68" s="313" t="e">
        <f>ROUND(L68,1)</f>
        <v>#VALUE!</v>
      </c>
      <c r="Z68" s="1433"/>
      <c r="AI68" s="1243"/>
    </row>
    <row r="69" spans="1:35" s="1244" customFormat="1" ht="16.5" customHeight="1">
      <c r="A69" s="1258"/>
      <c r="B69" s="1259"/>
      <c r="C69" s="1260"/>
      <c r="D69" s="1261"/>
      <c r="E69" s="1262"/>
      <c r="F69" s="229"/>
      <c r="G69" s="229"/>
      <c r="H69" s="241"/>
      <c r="I69" s="1242"/>
      <c r="J69" s="3661"/>
      <c r="K69" s="3383" t="s">
        <v>185</v>
      </c>
      <c r="L69" s="3259"/>
      <c r="M69" s="313" t="e">
        <f>ROUND(SUM(M63:M68),0)</f>
        <v>#VALUE!</v>
      </c>
      <c r="N69" s="3261" t="e">
        <f>M69/M49</f>
        <v>#VALUE!</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710" t="s">
        <v>317</v>
      </c>
      <c r="B70" s="3711"/>
      <c r="C70" s="3711"/>
      <c r="D70" s="3711"/>
      <c r="E70" s="3711"/>
      <c r="F70" s="3711"/>
      <c r="G70" s="3711"/>
      <c r="H70" s="3711"/>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c r="A71" s="3700" t="s">
        <v>310</v>
      </c>
      <c r="B71" s="3701"/>
      <c r="C71" s="3390"/>
      <c r="D71" s="3390" t="s">
        <v>318</v>
      </c>
      <c r="E71" s="545" t="s">
        <v>319</v>
      </c>
      <c r="F71" s="546"/>
      <c r="G71" s="546"/>
      <c r="H71" s="547"/>
      <c r="I71" s="2280"/>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c r="A72" s="535" t="s">
        <v>1895</v>
      </c>
      <c r="B72" s="536" t="s">
        <v>320</v>
      </c>
      <c r="C72" s="539">
        <f ca="1">ROUND(D45/(1+'数据-取费表'!C42),0)</f>
        <v>27418</v>
      </c>
      <c r="D72" s="532" t="s">
        <v>165</v>
      </c>
      <c r="E72" s="3392"/>
      <c r="F72" s="3391"/>
      <c r="G72" s="3391"/>
      <c r="H72" s="548"/>
      <c r="I72" s="2280"/>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c r="A73" s="535" t="s">
        <v>1892</v>
      </c>
      <c r="B73" s="505" t="s">
        <v>321</v>
      </c>
      <c r="C73" s="539">
        <f ca="1">C74+C78</f>
        <v>165</v>
      </c>
      <c r="D73" s="532" t="s">
        <v>165</v>
      </c>
      <c r="E73" s="3392"/>
      <c r="F73" s="3391"/>
      <c r="G73" s="3391"/>
      <c r="H73" s="548"/>
      <c r="I73" s="2280"/>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c r="A74" s="549" t="s">
        <v>1890</v>
      </c>
      <c r="B74" s="530" t="s">
        <v>322</v>
      </c>
      <c r="C74" s="532">
        <f>ROUND(IF(G77="2016年5月1日后购买",C75/(1+'数据-取费表'!C42)+C76+C77,C75+C76+C77),0)</f>
        <v>0</v>
      </c>
      <c r="D74" s="532" t="s">
        <v>165</v>
      </c>
      <c r="E74" s="3392"/>
      <c r="F74" s="3391"/>
      <c r="G74" s="3391"/>
      <c r="H74" s="548"/>
      <c r="I74" s="2280"/>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c r="A75" s="549" t="s">
        <v>1897</v>
      </c>
      <c r="B75" s="530" t="s">
        <v>323</v>
      </c>
      <c r="C75" s="550"/>
      <c r="D75" s="532" t="s">
        <v>165</v>
      </c>
      <c r="E75" s="551" t="s">
        <v>324</v>
      </c>
      <c r="F75" s="1426" t="s">
        <v>2410</v>
      </c>
      <c r="G75" s="551" t="s">
        <v>796</v>
      </c>
      <c r="H75" s="552"/>
      <c r="I75" s="2281"/>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customHeight="1">
      <c r="A76" s="549" t="s">
        <v>1899</v>
      </c>
      <c r="B76" s="553" t="s">
        <v>325</v>
      </c>
      <c r="C76" s="532">
        <f>IF(F75="购房发票",ROUND(C75*H75*D76,0),0)</f>
        <v>0</v>
      </c>
      <c r="D76" s="554">
        <v>0.05</v>
      </c>
      <c r="E76" s="3707" t="s">
        <v>326</v>
      </c>
      <c r="F76" s="3706"/>
      <c r="G76" s="3706"/>
      <c r="H76" s="3709"/>
      <c r="I76" s="2280"/>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customHeight="1">
      <c r="A77" s="549" t="s">
        <v>1900</v>
      </c>
      <c r="B77" s="530" t="s">
        <v>327</v>
      </c>
      <c r="C77" s="532">
        <f>ROUND(IF(G77="个人住宅",0,IF(G77="2016年5月1日前购买",C75*D77,C75*D77/(1+'数据-取费表'!C42))),0)</f>
        <v>0</v>
      </c>
      <c r="D77" s="555">
        <f>'数据-取费表'!B48+'数据-取费表'!B49</f>
        <v>3.0499999999999999E-2</v>
      </c>
      <c r="E77" s="303" t="s">
        <v>797</v>
      </c>
      <c r="F77" s="556"/>
      <c r="G77" s="1427" t="s">
        <v>2501</v>
      </c>
      <c r="H77" s="3393"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customHeight="1">
      <c r="A78" s="549" t="s">
        <v>1898</v>
      </c>
      <c r="B78" s="530" t="s">
        <v>328</v>
      </c>
      <c r="C78" s="557">
        <f ca="1">ROUND(D45*D78/(1+'数据-取费表'!C42),0)</f>
        <v>165</v>
      </c>
      <c r="D78" s="558">
        <f>'数据-取费表'!B43</f>
        <v>6.000000000000001E-3</v>
      </c>
      <c r="E78" s="3702" t="s">
        <v>2502</v>
      </c>
      <c r="F78" s="3698"/>
      <c r="G78" s="3698"/>
      <c r="H78" s="3699"/>
      <c r="I78" s="2282"/>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c r="A79" s="1796" t="s">
        <v>1893</v>
      </c>
      <c r="B79" s="536" t="s">
        <v>329</v>
      </c>
      <c r="C79" s="539">
        <f ca="1">C72-C73</f>
        <v>27253</v>
      </c>
      <c r="D79" s="532" t="s">
        <v>165</v>
      </c>
      <c r="E79" s="3392"/>
      <c r="F79" s="3391"/>
      <c r="G79" s="3391"/>
      <c r="H79" s="548"/>
      <c r="I79" s="2280"/>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c r="A80" s="1796" t="s">
        <v>1902</v>
      </c>
      <c r="B80" s="536" t="s">
        <v>330</v>
      </c>
      <c r="C80" s="559">
        <f ca="1">IF(C79&lt;=0,0,C79/C73)</f>
        <v>165.16969696969696</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91"/>
      <c r="G80" s="3391"/>
      <c r="H80" s="548"/>
      <c r="I80" s="2280"/>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thickBot="1">
      <c r="A81" s="1797" t="s">
        <v>1903</v>
      </c>
      <c r="B81" s="541" t="s">
        <v>331</v>
      </c>
      <c r="C81" s="560">
        <f ca="1">ROUND(IF(C79&lt;=0,0,IF(C80&gt;=200%,C79*60%-C73*35%,IF(C80&gt;=100%,C79*50%-C73*15%,IF(C80&gt;=50%,C79*40%-C73*5%,IF(C80&lt;50%,C79*30%,0))))),0)</f>
        <v>16294</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2"/>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thickBot="1">
      <c r="A83" s="3710" t="s">
        <v>332</v>
      </c>
      <c r="B83" s="3711"/>
      <c r="C83" s="3711"/>
      <c r="D83" s="3711"/>
      <c r="E83" s="3711"/>
      <c r="F83" s="3711"/>
      <c r="G83" s="3711"/>
      <c r="H83" s="3711"/>
      <c r="I83" s="2281"/>
      <c r="J83" s="2131"/>
      <c r="K83" s="2131"/>
      <c r="L83" s="2131"/>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c r="A84" s="3700" t="s">
        <v>310</v>
      </c>
      <c r="B84" s="3701"/>
      <c r="C84" s="3390"/>
      <c r="D84" s="3390" t="s">
        <v>318</v>
      </c>
      <c r="E84" s="545" t="s">
        <v>319</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c r="A85" s="535" t="s">
        <v>1895</v>
      </c>
      <c r="B85" s="536" t="s">
        <v>320</v>
      </c>
      <c r="C85" s="539">
        <f ca="1">ROUND(D45/(1+'数据-取费表'!C42),0)</f>
        <v>27418</v>
      </c>
      <c r="D85" s="532" t="s">
        <v>165</v>
      </c>
      <c r="E85" s="3392"/>
      <c r="F85" s="3391"/>
      <c r="G85" s="3391"/>
      <c r="H85" s="566"/>
      <c r="I85" s="2281"/>
      <c r="J85" s="2131"/>
      <c r="K85" s="2131"/>
      <c r="L85" s="2131"/>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c r="A86" s="535" t="s">
        <v>1892</v>
      </c>
      <c r="B86" s="505" t="s">
        <v>321</v>
      </c>
      <c r="C86" s="539">
        <f ca="1">IF(H88="仅含出让金",C87+C90+C91+C92+C93+C94,C87+C91+C92+C93+C94)</f>
        <v>165</v>
      </c>
      <c r="D86" s="567"/>
      <c r="E86" s="3392"/>
      <c r="F86" s="3391"/>
      <c r="G86" s="3391"/>
      <c r="H86" s="566"/>
      <c r="I86" s="2281"/>
      <c r="J86" s="2131"/>
      <c r="K86" s="2131"/>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c r="A87" s="549" t="s">
        <v>1890</v>
      </c>
      <c r="B87" s="530" t="s">
        <v>333</v>
      </c>
      <c r="C87" s="557">
        <f>C88+C89</f>
        <v>0</v>
      </c>
      <c r="D87" s="558"/>
      <c r="E87" s="3387"/>
      <c r="F87" s="3388"/>
      <c r="G87" s="3388"/>
      <c r="H87" s="3389"/>
      <c r="I87" s="2281"/>
      <c r="J87" s="2131"/>
      <c r="K87" s="2131"/>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c r="A88" s="549" t="s">
        <v>1897</v>
      </c>
      <c r="B88" s="530" t="s">
        <v>334</v>
      </c>
      <c r="C88" s="568"/>
      <c r="D88" s="558"/>
      <c r="E88" s="569" t="s">
        <v>335</v>
      </c>
      <c r="F88" s="3388"/>
      <c r="G88" s="570" t="s">
        <v>336</v>
      </c>
      <c r="H88" s="1428"/>
      <c r="I88" s="2281"/>
      <c r="J88" s="2131"/>
      <c r="K88" s="2131"/>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c r="A89" s="549" t="s">
        <v>1899</v>
      </c>
      <c r="B89" s="530" t="s">
        <v>327</v>
      </c>
      <c r="C89" s="557">
        <f>ROUND(C88*D89,0)</f>
        <v>0</v>
      </c>
      <c r="D89" s="558">
        <f>'数据-取费表'!B48+'数据-取费表'!B49</f>
        <v>3.0499999999999999E-2</v>
      </c>
      <c r="E89" s="569" t="s">
        <v>337</v>
      </c>
      <c r="F89" s="3388"/>
      <c r="G89" s="3388"/>
      <c r="H89" s="3389"/>
      <c r="I89" s="2281"/>
      <c r="J89" s="2131"/>
      <c r="K89" s="2131"/>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c r="A90" s="549" t="s">
        <v>1898</v>
      </c>
      <c r="B90" s="530" t="s">
        <v>338</v>
      </c>
      <c r="C90" s="568"/>
      <c r="D90" s="558"/>
      <c r="E90" s="569" t="str">
        <f>IF(H88="-","土地取得成本中已包含该笔费用"," ")</f>
        <v xml:space="preserve"> </v>
      </c>
      <c r="F90" s="3388"/>
      <c r="G90" s="3388"/>
      <c r="H90" s="3389"/>
      <c r="I90" s="2281"/>
      <c r="J90" s="2131"/>
      <c r="K90" s="2131"/>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customHeight="1">
      <c r="A91" s="1798" t="s">
        <v>1904</v>
      </c>
      <c r="B91" s="530" t="s">
        <v>339</v>
      </c>
      <c r="C91" s="557">
        <f>IF(H91="——",成本法!C33,I91)</f>
        <v>0</v>
      </c>
      <c r="D91" s="558"/>
      <c r="E91" s="3697" t="s">
        <v>798</v>
      </c>
      <c r="F91" s="3698"/>
      <c r="G91" s="3698"/>
      <c r="H91" s="1429" t="s">
        <v>2311</v>
      </c>
      <c r="I91" s="2178"/>
      <c r="J91" s="2131"/>
      <c r="K91" s="2131"/>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customHeight="1">
      <c r="A92" s="1798" t="s">
        <v>1905</v>
      </c>
      <c r="B92" s="530" t="s">
        <v>340</v>
      </c>
      <c r="C92" s="557">
        <f>ROUND((C87+C90+C91)*D92,0)</f>
        <v>0</v>
      </c>
      <c r="D92" s="558">
        <v>0.1</v>
      </c>
      <c r="E92" s="3697" t="s">
        <v>341</v>
      </c>
      <c r="F92" s="3698"/>
      <c r="G92" s="3698"/>
      <c r="H92" s="3699"/>
      <c r="I92" s="2281"/>
      <c r="J92" s="2131"/>
      <c r="K92" s="2131"/>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customHeight="1">
      <c r="A93" s="1798" t="s">
        <v>1906</v>
      </c>
      <c r="B93" s="530" t="s">
        <v>328</v>
      </c>
      <c r="C93" s="557">
        <f ca="1">ROUND(D45*D93/(1+'数据-取费表'!C42),0)</f>
        <v>165</v>
      </c>
      <c r="D93" s="558">
        <f>'数据-取费表'!B43</f>
        <v>6.000000000000001E-3</v>
      </c>
      <c r="E93" s="3702" t="s">
        <v>2502</v>
      </c>
      <c r="F93" s="3698"/>
      <c r="G93" s="3698"/>
      <c r="H93" s="3699"/>
      <c r="I93" s="2281"/>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36.75" customHeight="1">
      <c r="A94" s="1798" t="s">
        <v>1907</v>
      </c>
      <c r="B94" s="530" t="s">
        <v>342</v>
      </c>
      <c r="C94" s="568">
        <f>ROUND((C87+C90+C91)*D94,0)</f>
        <v>0</v>
      </c>
      <c r="D94" s="558">
        <v>0.2</v>
      </c>
      <c r="E94" s="3750" t="s">
        <v>3045</v>
      </c>
      <c r="F94" s="3751"/>
      <c r="G94" s="3751"/>
      <c r="H94" s="3752"/>
      <c r="I94" s="2281"/>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c r="A95" s="1796" t="s">
        <v>1893</v>
      </c>
      <c r="B95" s="536" t="s">
        <v>329</v>
      </c>
      <c r="C95" s="539">
        <f ca="1">ROUND(C85-C86,0)</f>
        <v>27253</v>
      </c>
      <c r="D95" s="532" t="s">
        <v>165</v>
      </c>
      <c r="E95" s="3392"/>
      <c r="F95" s="3391"/>
      <c r="G95" s="3391"/>
      <c r="H95" s="566"/>
      <c r="I95" s="2281"/>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c r="A96" s="1796" t="s">
        <v>1902</v>
      </c>
      <c r="B96" s="536" t="s">
        <v>330</v>
      </c>
      <c r="C96" s="559">
        <f ca="1">IF(C95&lt;=0,0,C95/C86)</f>
        <v>165.16969696969696</v>
      </c>
      <c r="D96" s="532"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91"/>
      <c r="G96" s="3391"/>
      <c r="H96" s="566"/>
      <c r="I96" s="2281"/>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thickBot="1">
      <c r="A97" s="1797" t="s">
        <v>1903</v>
      </c>
      <c r="B97" s="541" t="s">
        <v>331</v>
      </c>
      <c r="C97" s="560">
        <f ca="1">ROUND(IF(C95&lt;=0,0,IF(C96&gt;=200%,C95*60%-C86*35%,IF(C96&gt;=100%,C95*50%-C86*15%,IF(C96&gt;=50%,C95*40%-C86*5%,IF(C96&lt;50%,C95*30%,0))))),0)</f>
        <v>16294</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3"/>
    </row>
    <row r="99" spans="1:35" ht="21.75" customHeight="1" thickBot="1">
      <c r="A99" s="1251" t="s">
        <v>227</v>
      </c>
      <c r="B99" s="1242"/>
      <c r="C99" s="1242"/>
      <c r="D99" s="1242"/>
      <c r="E99" s="229"/>
      <c r="F99" s="229"/>
      <c r="G99" s="229"/>
      <c r="H99" s="241"/>
      <c r="I99" s="2273"/>
    </row>
    <row r="100" spans="1:35" ht="18.75" customHeight="1">
      <c r="A100" s="3645" t="s">
        <v>228</v>
      </c>
      <c r="B100" s="3646"/>
      <c r="C100" s="3646"/>
      <c r="D100" s="3680"/>
      <c r="E100" s="3646" t="s">
        <v>2899</v>
      </c>
      <c r="F100" s="3646"/>
      <c r="G100" s="3646"/>
      <c r="H100" s="3680"/>
      <c r="I100" s="2273"/>
    </row>
    <row r="101" spans="1:35" ht="18.75" customHeight="1">
      <c r="A101" s="3688" t="s">
        <v>206</v>
      </c>
      <c r="B101" s="3689"/>
      <c r="C101" s="1265" t="str">
        <f>C4</f>
        <v>收益法 (4)</v>
      </c>
      <c r="D101" s="1266" t="str">
        <f>D4</f>
        <v>比较法-车位</v>
      </c>
      <c r="E101" s="3657" t="s">
        <v>1909</v>
      </c>
      <c r="F101" s="3658"/>
      <c r="G101" s="1267" t="s">
        <v>208</v>
      </c>
      <c r="H101" s="1981">
        <f ca="1">H118</f>
        <v>28789</v>
      </c>
      <c r="I101" s="2273"/>
    </row>
    <row r="102" spans="1:35" ht="18.75" customHeight="1">
      <c r="A102" s="3690" t="s">
        <v>207</v>
      </c>
      <c r="B102" s="1267" t="s">
        <v>208</v>
      </c>
      <c r="C102" s="1234">
        <f ca="1">C19</f>
        <v>20123</v>
      </c>
      <c r="D102" s="1235">
        <f ca="1">D19</f>
        <v>34566</v>
      </c>
      <c r="E102" s="3657"/>
      <c r="F102" s="3658"/>
      <c r="G102" s="1267" t="s">
        <v>209</v>
      </c>
      <c r="H102" s="711">
        <f ca="1">I118</f>
        <v>3313</v>
      </c>
      <c r="I102" s="2273"/>
    </row>
    <row r="103" spans="1:35" ht="42.75" customHeight="1">
      <c r="A103" s="3690"/>
      <c r="B103" s="1267" t="s">
        <v>209</v>
      </c>
      <c r="C103" s="1236">
        <f ca="1">C20</f>
        <v>2316</v>
      </c>
      <c r="D103" s="1237">
        <f ca="1">D20</f>
        <v>3978</v>
      </c>
      <c r="E103" s="3651" t="s">
        <v>3009</v>
      </c>
      <c r="F103" s="3652"/>
      <c r="G103" s="1268" t="s">
        <v>211</v>
      </c>
      <c r="H103" s="1981">
        <f>IF(D36="正常操作",H104+H105+H106,H105+H106)</f>
        <v>0</v>
      </c>
      <c r="I103" s="2273"/>
    </row>
    <row r="104" spans="1:35" ht="18.75" customHeight="1">
      <c r="A104" s="3690" t="s">
        <v>210</v>
      </c>
      <c r="B104" s="1269" t="s">
        <v>208</v>
      </c>
      <c r="C104" s="1238">
        <f ca="1">H118</f>
        <v>28789</v>
      </c>
      <c r="D104" s="1239"/>
      <c r="E104" s="13" t="s">
        <v>1908</v>
      </c>
      <c r="F104" s="6"/>
      <c r="G104" s="1268" t="s">
        <v>211</v>
      </c>
      <c r="H104" s="1982">
        <f>IF(D36="同一抵押权人同一抵押物续贷",C36&amp;"（未扣减，详见特别提示）",C36)</f>
        <v>0</v>
      </c>
      <c r="I104" s="2273"/>
    </row>
    <row r="105" spans="1:35" ht="18.75" customHeight="1" thickBot="1">
      <c r="A105" s="3704"/>
      <c r="B105" s="1270" t="s">
        <v>209</v>
      </c>
      <c r="C105" s="1240">
        <f ca="1">I118</f>
        <v>3313</v>
      </c>
      <c r="D105" s="1241"/>
      <c r="E105" s="13" t="s">
        <v>1910</v>
      </c>
      <c r="F105" s="6"/>
      <c r="G105" s="1268" t="s">
        <v>211</v>
      </c>
      <c r="H105" s="1982">
        <f>C37</f>
        <v>0</v>
      </c>
      <c r="I105" s="2273"/>
    </row>
    <row r="106" spans="1:35" ht="18.75" customHeight="1">
      <c r="A106" s="1242" t="s">
        <v>2002</v>
      </c>
      <c r="B106" s="1242"/>
      <c r="C106" s="1242"/>
      <c r="D106" s="1242"/>
      <c r="E106" s="467" t="s">
        <v>1911</v>
      </c>
      <c r="F106" s="6"/>
      <c r="G106" s="1268" t="s">
        <v>211</v>
      </c>
      <c r="H106" s="1982">
        <f>C38</f>
        <v>0</v>
      </c>
      <c r="I106" s="2273"/>
    </row>
    <row r="107" spans="1:35" ht="18.75" customHeight="1">
      <c r="A107" s="2273"/>
      <c r="B107" s="2273"/>
      <c r="C107" s="2273"/>
      <c r="D107" s="2273"/>
      <c r="E107" s="3692" t="str">
        <f>IF(项目基本情况!E8="已注销","——","3.房地产抵押价值")</f>
        <v>3.房地产抵押价值</v>
      </c>
      <c r="F107" s="3658"/>
      <c r="G107" s="1267" t="s">
        <v>208</v>
      </c>
      <c r="H107" s="1981">
        <f ca="1">IF(E107="——","——",H101-H103)</f>
        <v>28789</v>
      </c>
      <c r="I107" s="2273"/>
    </row>
    <row r="108" spans="1:35" ht="18.75" customHeight="1">
      <c r="A108" s="2273"/>
      <c r="B108" s="2273"/>
      <c r="C108" s="2273"/>
      <c r="D108" s="2273"/>
      <c r="E108" s="3692"/>
      <c r="F108" s="3658"/>
      <c r="G108" s="1267" t="s">
        <v>209</v>
      </c>
      <c r="H108" s="711">
        <f ca="1">ROUND(H107*10000/'数据-汇总表'!E3,0)</f>
        <v>1740</v>
      </c>
      <c r="I108" s="2273"/>
    </row>
    <row r="109" spans="1:35" ht="18.75" customHeight="1">
      <c r="A109" s="2273"/>
      <c r="B109" s="2273"/>
      <c r="C109" s="2273"/>
      <c r="D109" s="2273"/>
      <c r="E109" s="3692" t="str">
        <f>IF(项目基本情况!E8="已注销及未注销","4.抵押担保权已注销时的房地产抵押价值",IF(项目基本情况!E8="已注销","3.抵押担保权已注销时的房地产抵押价值","——"))</f>
        <v>——</v>
      </c>
      <c r="F109" s="3658"/>
      <c r="G109" s="1267" t="s">
        <v>208</v>
      </c>
      <c r="H109" s="685" t="str">
        <f>IF(E109="——","——",H101-H105-H106)</f>
        <v>——</v>
      </c>
      <c r="I109" s="2273"/>
    </row>
    <row r="110" spans="1:35" ht="18.75" customHeight="1">
      <c r="A110" s="2273"/>
      <c r="B110" s="2273"/>
      <c r="C110" s="2273"/>
      <c r="D110" s="2273"/>
      <c r="E110" s="3692"/>
      <c r="F110" s="3658"/>
      <c r="G110" s="1267" t="s">
        <v>209</v>
      </c>
      <c r="H110" s="711" t="str">
        <f>IF(H109="——","——",ROUND(H109*10000/'数据-汇总表'!E3,0))</f>
        <v>——</v>
      </c>
      <c r="I110" s="2273"/>
    </row>
    <row r="111" spans="1:35" ht="18.75" customHeight="1">
      <c r="A111" s="2273"/>
      <c r="B111" s="2273"/>
      <c r="C111" s="2273"/>
      <c r="D111" s="2273"/>
      <c r="E111" s="3693" t="str">
        <f>IF(项目基本情况!E9="抵押净值",IF(OR(项目基本情况!E8="已注销",项目基本情况!E8="房地产抵押价值"),"4.抵押净值","5.抵押净值"),"——")</f>
        <v>——</v>
      </c>
      <c r="F111" s="3694"/>
      <c r="G111" s="1267" t="s">
        <v>208</v>
      </c>
      <c r="H111" s="1981" t="str">
        <f>IF(E111="——","——",N59)</f>
        <v>——</v>
      </c>
      <c r="I111" s="2273"/>
    </row>
    <row r="112" spans="1:35" ht="18.75" customHeight="1" thickBot="1">
      <c r="A112" s="2273"/>
      <c r="B112" s="2273"/>
      <c r="C112" s="2273"/>
      <c r="D112" s="2273"/>
      <c r="E112" s="3695"/>
      <c r="F112" s="3696"/>
      <c r="G112" s="1271" t="s">
        <v>209</v>
      </c>
      <c r="H112" s="1422" t="str">
        <f>IF(E111="——","——",N61)</f>
        <v>——</v>
      </c>
      <c r="I112" s="2273"/>
    </row>
    <row r="113" spans="1:11" ht="18.75" customHeight="1">
      <c r="A113" s="2273"/>
      <c r="B113" s="2273"/>
      <c r="C113" s="2273"/>
      <c r="D113" s="2273"/>
      <c r="E113" s="3705" t="s">
        <v>2002</v>
      </c>
      <c r="F113" s="3705"/>
      <c r="G113" s="3705"/>
      <c r="H113" s="3705"/>
      <c r="I113" s="2273"/>
    </row>
    <row r="114" spans="1:11" ht="3.75" customHeight="1">
      <c r="A114" s="1242"/>
      <c r="B114" s="1242"/>
      <c r="C114" s="1242"/>
      <c r="D114" s="1242"/>
      <c r="E114" s="1257"/>
      <c r="F114" s="1257"/>
      <c r="G114" s="1257"/>
      <c r="H114" s="1257"/>
      <c r="I114" s="1242"/>
    </row>
    <row r="115" spans="1:11" ht="18.75" customHeight="1">
      <c r="A115" s="3718" t="s">
        <v>224</v>
      </c>
      <c r="B115" s="3719"/>
      <c r="C115" s="3719"/>
      <c r="D115" s="3719"/>
      <c r="E115" s="3719"/>
      <c r="F115" s="3719"/>
      <c r="G115" s="3719"/>
      <c r="H115" s="3719"/>
      <c r="I115" s="3720"/>
    </row>
    <row r="116" spans="1:11" ht="27" customHeight="1">
      <c r="A116" s="3625" t="s">
        <v>5</v>
      </c>
      <c r="B116" s="3667" t="s">
        <v>787</v>
      </c>
      <c r="C116" s="3667" t="s">
        <v>788</v>
      </c>
      <c r="D116" s="3676" t="s">
        <v>204</v>
      </c>
      <c r="E116" s="3677"/>
      <c r="F116" s="3714" t="s">
        <v>2379</v>
      </c>
      <c r="G116" s="3714"/>
      <c r="H116" s="3625" t="s">
        <v>6</v>
      </c>
      <c r="I116" s="3625"/>
    </row>
    <row r="117" spans="1:11" ht="18.75" customHeight="1">
      <c r="A117" s="3625"/>
      <c r="B117" s="3668"/>
      <c r="C117" s="3668"/>
      <c r="D117" s="3381" t="s">
        <v>7</v>
      </c>
      <c r="E117" s="3381" t="s">
        <v>789</v>
      </c>
      <c r="F117" s="3381" t="s">
        <v>7</v>
      </c>
      <c r="G117" s="3381" t="s">
        <v>8</v>
      </c>
      <c r="H117" s="3381" t="s">
        <v>7</v>
      </c>
      <c r="I117" s="3381" t="s">
        <v>8</v>
      </c>
    </row>
    <row r="118" spans="1:11" ht="24.75" customHeight="1">
      <c r="A118" s="2028" t="str">
        <f>项目基本情况!S2</f>
        <v>广东省中山市中山市南区永安一路9号悦盈新成花园房地产</v>
      </c>
      <c r="B118" s="3395">
        <f>M18</f>
        <v>86900.44</v>
      </c>
      <c r="C118" s="3395">
        <f>M19</f>
        <v>17579.09</v>
      </c>
      <c r="D118" s="3395" t="e">
        <f ca="1">ROUND(IF(D32="总价",C34,E118*B118/10000),0)</f>
        <v>#REF!</v>
      </c>
      <c r="E118" s="3395" t="e">
        <f ca="1">ROUND(IF(C33="自定义",IF(D32="楼面单价",C34,D118*10000/B118),I118-G118),0)</f>
        <v>#REF!</v>
      </c>
      <c r="F118" s="3395" t="e">
        <f ca="1">ROUND(IF(D32="总价",C35,G118*B118/10000),0)</f>
        <v>#REF!</v>
      </c>
      <c r="G118" s="3395" t="e">
        <f ca="1">ROUND(IF(D32="楼面单价",C35,F118*10000/B118),0)</f>
        <v>#REF!</v>
      </c>
      <c r="H118" s="3395">
        <f ca="1">ROUND(IF(D32="总价",C32,I118*B118/10000),0)</f>
        <v>28789</v>
      </c>
      <c r="I118" s="3395">
        <f ca="1">ROUND(IF(D32="楼面单价",C32,H118*10000/B118),0)</f>
        <v>3313</v>
      </c>
    </row>
    <row r="119" spans="1:11" ht="18.75" customHeight="1">
      <c r="A119" s="3625" t="s">
        <v>9</v>
      </c>
      <c r="B119" s="3625"/>
      <c r="C119" s="3625"/>
      <c r="D119" s="3669" t="e">
        <f ca="1">NUMBERSTRING(INT(D118*10000),2)&amp;"元整"</f>
        <v>#REF!</v>
      </c>
      <c r="E119" s="3670"/>
      <c r="F119" s="3669" t="e">
        <f ca="1">NUMBERSTRING(INT(F118*10000),2)&amp;"元整"</f>
        <v>#REF!</v>
      </c>
      <c r="G119" s="3670"/>
      <c r="H119" s="3669" t="str">
        <f ca="1">NUMBERSTRING(INT(H118*10000),2)&amp;"元整"</f>
        <v>贰亿捌仟柒佰捌拾玖万元整</v>
      </c>
      <c r="I119" s="3670"/>
    </row>
    <row r="120" spans="1:11" ht="18.75" customHeight="1">
      <c r="A120" s="3671" t="str">
        <f>IF(项目基本情况!B9="房地产市场价值","",MID(E103,3,LEN(E103)-2))</f>
        <v/>
      </c>
      <c r="B120" s="3672"/>
      <c r="C120" s="3673"/>
      <c r="D120" s="3664">
        <f>H103</f>
        <v>0</v>
      </c>
      <c r="E120" s="3665"/>
      <c r="F120" s="3665"/>
      <c r="G120" s="3665"/>
      <c r="H120" s="3665"/>
      <c r="I120" s="3666"/>
      <c r="K120" s="1433" t="str">
        <f>IF(D120=0,"故，本次评估不存在"&amp;A120,"故，本次评估"&amp;A120&amp;"为人民币"&amp;D120&amp;"万元整。")</f>
        <v>故，本次评估不存在</v>
      </c>
    </row>
    <row r="121" spans="1:11" ht="18.75" customHeight="1">
      <c r="A121" s="3715" t="s">
        <v>9</v>
      </c>
      <c r="B121" s="3716"/>
      <c r="C121" s="3717"/>
      <c r="D121" s="3669" t="str">
        <f>IF(D120=0,"零元整",NUMBERSTRING(INT(D120*10000),2)&amp;"元整")</f>
        <v>零元整</v>
      </c>
      <c r="E121" s="3674"/>
      <c r="F121" s="3674"/>
      <c r="G121" s="3674"/>
      <c r="H121" s="3674"/>
      <c r="I121" s="3670"/>
    </row>
    <row r="122" spans="1:11" ht="18.75" customHeight="1">
      <c r="A122" s="3678" t="str">
        <f>IF(项目基本情况!B9="房地产市场价值","",MID(E107,3,LEN(E107)-2))</f>
        <v/>
      </c>
      <c r="B122" s="3678"/>
      <c r="C122" s="3678"/>
      <c r="D122" s="3664">
        <f ca="1">H107</f>
        <v>28789</v>
      </c>
      <c r="E122" s="3665"/>
      <c r="F122" s="3665"/>
      <c r="G122" s="3665"/>
      <c r="H122" s="3665"/>
      <c r="I122" s="3666"/>
    </row>
    <row r="123" spans="1:11" ht="18.75" customHeight="1">
      <c r="A123" s="3625" t="s">
        <v>9</v>
      </c>
      <c r="B123" s="3625"/>
      <c r="C123" s="3625"/>
      <c r="D123" s="3669" t="str">
        <f ca="1">NUMBERSTRING(INT(D122*10000),2)&amp;"元整"</f>
        <v>贰亿捌仟柒佰捌拾玖万元整</v>
      </c>
      <c r="E123" s="3674"/>
      <c r="F123" s="3674"/>
      <c r="G123" s="3674"/>
      <c r="H123" s="3674"/>
      <c r="I123" s="3670"/>
    </row>
    <row r="124" spans="1:11" ht="18.75" customHeight="1">
      <c r="A124" s="3678" t="str">
        <f>IF(项目基本情况!B9="房地产市场价值","",MID(E109,3,LEN(E109)-2))</f>
        <v/>
      </c>
      <c r="B124" s="3678"/>
      <c r="C124" s="3678"/>
      <c r="D124" s="3664" t="str">
        <f>H109</f>
        <v>——</v>
      </c>
      <c r="E124" s="3665"/>
      <c r="F124" s="3665"/>
      <c r="G124" s="3665"/>
      <c r="H124" s="3665"/>
      <c r="I124" s="3666"/>
    </row>
    <row r="125" spans="1:11" ht="18.75" customHeight="1">
      <c r="A125" s="3625" t="s">
        <v>9</v>
      </c>
      <c r="B125" s="3625"/>
      <c r="C125" s="3625"/>
      <c r="D125" s="3669" t="e">
        <f>NUMBERSTRING(INT(D124*10000),2)&amp;"元整"</f>
        <v>#VALUE!</v>
      </c>
      <c r="E125" s="3674"/>
      <c r="F125" s="3674"/>
      <c r="G125" s="3674"/>
      <c r="H125" s="3674"/>
      <c r="I125" s="3670"/>
    </row>
    <row r="126" spans="1:11" ht="18.75" customHeight="1">
      <c r="A126" s="3678" t="str">
        <f>IF(项目基本情况!B9="房地产市场价值","",MID(E111,3,LEN(E111)-2))</f>
        <v/>
      </c>
      <c r="B126" s="3678"/>
      <c r="C126" s="3678"/>
      <c r="D126" s="3664" t="str">
        <f>H111</f>
        <v>——</v>
      </c>
      <c r="E126" s="3665"/>
      <c r="F126" s="3665"/>
      <c r="G126" s="3665"/>
      <c r="H126" s="3665"/>
      <c r="I126" s="3666"/>
    </row>
    <row r="127" spans="1:11" ht="18.75" customHeight="1">
      <c r="A127" s="3625" t="s">
        <v>9</v>
      </c>
      <c r="B127" s="3625"/>
      <c r="C127" s="3625"/>
      <c r="D127" s="3669" t="e">
        <f>NUMBERSTRING(INT(D126*10000),2)&amp;"元整"</f>
        <v>#VALUE!</v>
      </c>
      <c r="E127" s="3674"/>
      <c r="F127" s="3674"/>
      <c r="G127" s="3674"/>
      <c r="H127" s="3674"/>
      <c r="I127" s="3670"/>
    </row>
    <row r="128" spans="1:11" ht="21.75" customHeight="1">
      <c r="A128" s="3675" t="s">
        <v>2001</v>
      </c>
      <c r="B128" s="3675"/>
      <c r="C128" s="3675"/>
      <c r="D128" s="3675"/>
      <c r="E128" s="3675"/>
      <c r="F128" s="3675"/>
      <c r="G128" s="3675"/>
      <c r="H128" s="3675"/>
      <c r="I128" s="3675"/>
    </row>
    <row r="129" spans="1:35" ht="21.75" customHeight="1">
      <c r="A129" s="2023" t="s">
        <v>790</v>
      </c>
      <c r="B129" s="2024"/>
      <c r="C129" s="468" t="s">
        <v>148</v>
      </c>
      <c r="D129" s="2025"/>
      <c r="E129" s="2025"/>
      <c r="F129" s="2025"/>
      <c r="G129" s="2025"/>
      <c r="H129" s="2026"/>
      <c r="I129" s="2027"/>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18"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17" t="s">
        <v>3113</v>
      </c>
      <c r="C1" s="3118" t="s">
        <v>442</v>
      </c>
      <c r="D1" s="3119" t="s">
        <v>3985</v>
      </c>
      <c r="E1" s="3120"/>
      <c r="F1" s="3101" t="s">
        <v>2692</v>
      </c>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1" customFormat="1" ht="28.5" customHeight="1" thickTop="1">
      <c r="A2" s="3115" t="s">
        <v>444</v>
      </c>
      <c r="B2" s="2840">
        <f>IF(C2="——",IF(B37="元/平方米",ROUND(C39*D3/10000,0),ROUND(F3*C39/10000,0)),IF(B37="元/平方米",ROUND(C39*D3/10000,0),ROUND(F3*C39/10000,0))-D2)</f>
        <v>34566</v>
      </c>
      <c r="C2" s="3093" t="s">
        <v>529</v>
      </c>
      <c r="D2" s="2338" t="e">
        <f ca="1">SUMIF(INDIRECT("'"&amp;F2&amp;"'"&amp;"!A:A"),"承租人权益价值",INDIRECT("'"&amp;F2&amp;"'"&amp;"!c:c"))</f>
        <v>#REF!</v>
      </c>
      <c r="E2" s="3094" t="s">
        <v>869</v>
      </c>
      <c r="F2" s="3095"/>
      <c r="G2" s="2339"/>
      <c r="H2" s="2339"/>
      <c r="I2" s="2339"/>
      <c r="J2" s="2339"/>
      <c r="K2" s="2341"/>
      <c r="L2" s="2342"/>
      <c r="M2" s="2343"/>
      <c r="N2" s="2343"/>
      <c r="O2" s="2343"/>
      <c r="P2" s="2841"/>
      <c r="Q2" s="1315"/>
      <c r="R2" s="1315"/>
      <c r="S2" s="1315"/>
      <c r="T2" s="1315"/>
      <c r="U2" s="1315"/>
      <c r="V2" s="1315"/>
      <c r="W2" s="1315"/>
      <c r="X2" s="1315"/>
      <c r="Y2" s="1315"/>
      <c r="Z2" s="1315"/>
      <c r="AA2" s="1315"/>
      <c r="AB2" s="1315"/>
      <c r="AC2" s="1316"/>
    </row>
    <row r="3" spans="1:29" s="741" customFormat="1" ht="28.5" customHeight="1" thickBot="1">
      <c r="A3" s="579" t="s">
        <v>445</v>
      </c>
      <c r="B3" s="951">
        <f>IF(AND(C2="——",B37="元/平方米"),C39,ROUND(B2*10000/D3,0))</f>
        <v>3978</v>
      </c>
      <c r="C3" s="743" t="s">
        <v>446</v>
      </c>
      <c r="D3" s="742">
        <f>SUMIF('数据-汇总表'!$C19:$C33,D1,'数据-汇总表'!$E19:$E33)</f>
        <v>86900.44</v>
      </c>
      <c r="E3" s="743" t="s">
        <v>2128</v>
      </c>
      <c r="F3" s="742">
        <f>SUMIF('数据-取费表'!A5:A15,D1,'数据-取费表'!AH5:AH15)</f>
        <v>2550</v>
      </c>
      <c r="G3" s="2339">
        <f>D3/F3</f>
        <v>34.078603921568629</v>
      </c>
      <c r="H3" s="2339"/>
      <c r="I3" s="2339"/>
      <c r="J3" s="2339"/>
      <c r="K3" s="2341"/>
      <c r="L3" s="2342"/>
      <c r="M3" s="2343"/>
      <c r="N3" s="2343"/>
      <c r="O3" s="2343"/>
      <c r="P3" s="2841"/>
      <c r="Q3" s="1315"/>
      <c r="R3" s="1315"/>
      <c r="S3" s="1315"/>
      <c r="T3" s="1315"/>
      <c r="U3" s="1315"/>
      <c r="V3" s="1315"/>
      <c r="W3" s="1315"/>
      <c r="X3" s="1315"/>
      <c r="Y3" s="1315"/>
      <c r="Z3" s="1315"/>
      <c r="AA3" s="1315"/>
      <c r="AB3" s="1408"/>
      <c r="AC3" s="1398"/>
    </row>
    <row r="4" spans="1:29" ht="15">
      <c r="A4" s="744" t="s">
        <v>447</v>
      </c>
      <c r="B4" s="745"/>
      <c r="C4" s="3866" t="s">
        <v>448</v>
      </c>
      <c r="D4" s="3867"/>
      <c r="E4" s="3868" t="s">
        <v>449</v>
      </c>
      <c r="F4" s="3869"/>
      <c r="G4" s="3866" t="s">
        <v>450</v>
      </c>
      <c r="H4" s="3867"/>
      <c r="I4" s="3866" t="s">
        <v>451</v>
      </c>
      <c r="J4" s="3867"/>
      <c r="K4" s="952" t="s">
        <v>452</v>
      </c>
      <c r="L4" s="2344"/>
      <c r="M4" s="2345"/>
      <c r="N4" s="2345"/>
      <c r="O4" s="2345"/>
      <c r="P4" s="3870" t="s">
        <v>453</v>
      </c>
      <c r="Q4" s="3871"/>
      <c r="R4" s="3857" t="s">
        <v>449</v>
      </c>
      <c r="S4" s="3858"/>
      <c r="T4" s="3857" t="s">
        <v>450</v>
      </c>
      <c r="U4" s="3858"/>
      <c r="V4" s="3878" t="s">
        <v>451</v>
      </c>
      <c r="W4" s="3878"/>
      <c r="X4" s="2826"/>
      <c r="Y4" s="3857" t="s">
        <v>453</v>
      </c>
      <c r="Z4" s="3858"/>
      <c r="AA4" s="3852" t="s">
        <v>449</v>
      </c>
      <c r="AB4" s="3853" t="s">
        <v>450</v>
      </c>
      <c r="AC4" s="3852" t="s">
        <v>451</v>
      </c>
    </row>
    <row r="5" spans="1:29" ht="15">
      <c r="A5" s="747"/>
      <c r="B5" s="748"/>
      <c r="C5" s="3861" t="s">
        <v>3013</v>
      </c>
      <c r="D5" s="3862"/>
      <c r="E5" s="3793" t="s">
        <v>3895</v>
      </c>
      <c r="F5" s="3794"/>
      <c r="G5" s="3795" t="s">
        <v>3899</v>
      </c>
      <c r="H5" s="3796"/>
      <c r="I5" s="3795" t="s">
        <v>3897</v>
      </c>
      <c r="J5" s="3796"/>
      <c r="K5" s="952"/>
      <c r="L5" s="2344"/>
      <c r="M5" s="2345"/>
      <c r="N5" s="2345"/>
      <c r="O5" s="2345"/>
      <c r="P5" s="3872"/>
      <c r="Q5" s="3873"/>
      <c r="R5" s="3859"/>
      <c r="S5" s="3860"/>
      <c r="T5" s="3859"/>
      <c r="U5" s="3860"/>
      <c r="V5" s="3878"/>
      <c r="W5" s="3878"/>
      <c r="X5" s="2826"/>
      <c r="Y5" s="3859"/>
      <c r="Z5" s="3860"/>
      <c r="AA5" s="3853"/>
      <c r="AB5" s="3853"/>
      <c r="AC5" s="3853"/>
    </row>
    <row r="6" spans="1:29" ht="15.75" thickBot="1">
      <c r="A6" s="749"/>
      <c r="B6" s="750"/>
      <c r="C6" s="3863" t="s">
        <v>3014</v>
      </c>
      <c r="D6" s="3864"/>
      <c r="E6" s="3799" t="s">
        <v>3896</v>
      </c>
      <c r="F6" s="3800"/>
      <c r="G6" s="3797" t="s">
        <v>3900</v>
      </c>
      <c r="H6" s="3798"/>
      <c r="I6" s="3797" t="s">
        <v>3898</v>
      </c>
      <c r="J6" s="3798"/>
      <c r="K6" s="952" t="s">
        <v>395</v>
      </c>
      <c r="L6" s="2344"/>
      <c r="M6" s="2345"/>
      <c r="N6" s="2345"/>
      <c r="O6" s="2345"/>
      <c r="P6" s="3874"/>
      <c r="Q6" s="3875"/>
      <c r="R6" s="3859"/>
      <c r="S6" s="3860"/>
      <c r="T6" s="3876"/>
      <c r="U6" s="3877"/>
      <c r="V6" s="3878"/>
      <c r="W6" s="3878"/>
      <c r="X6" s="2826"/>
      <c r="Y6" s="3876"/>
      <c r="Z6" s="3877"/>
      <c r="AA6" s="3854"/>
      <c r="AB6" s="3854"/>
      <c r="AC6" s="3854"/>
    </row>
    <row r="7" spans="1:29" s="407" customFormat="1" ht="15.75" thickBot="1">
      <c r="A7" s="751" t="s">
        <v>396</v>
      </c>
      <c r="B7" s="752"/>
      <c r="C7" s="753">
        <f>'数据-取费表'!B2</f>
        <v>42970</v>
      </c>
      <c r="D7" s="754">
        <v>100</v>
      </c>
      <c r="E7" s="755">
        <v>42970</v>
      </c>
      <c r="F7" s="756">
        <f>SUMIF(48:48,YEAR(E7)&amp;"-"&amp;MONTH(E7),49:49)</f>
        <v>100</v>
      </c>
      <c r="G7" s="755">
        <v>42970</v>
      </c>
      <c r="H7" s="754">
        <f>SUMIF(48:48,YEAR(G7)&amp;"-"&amp;MONTH(G7),49:49)</f>
        <v>100</v>
      </c>
      <c r="I7" s="755">
        <v>42970</v>
      </c>
      <c r="J7" s="754">
        <f>SUMIF(48:48,YEAR(I7)&amp;"-"&amp;MONTH(I7),49:49)</f>
        <v>100</v>
      </c>
      <c r="K7" s="953"/>
      <c r="L7" s="2346"/>
      <c r="M7" s="2347"/>
      <c r="N7" s="2347"/>
      <c r="O7" s="2347"/>
      <c r="P7" s="3855" t="s">
        <v>397</v>
      </c>
      <c r="Q7" s="3879"/>
      <c r="R7" s="1318" t="s">
        <v>63</v>
      </c>
      <c r="S7" s="1319">
        <f t="shared" ref="S7:S14" si="0">F7</f>
        <v>100</v>
      </c>
      <c r="T7" s="1318" t="s">
        <v>63</v>
      </c>
      <c r="U7" s="1319">
        <f t="shared" ref="U7:U14" si="1">H7</f>
        <v>100</v>
      </c>
      <c r="V7" s="1318" t="s">
        <v>63</v>
      </c>
      <c r="W7" s="1319">
        <f t="shared" ref="W7:W14" si="2">J7</f>
        <v>100</v>
      </c>
      <c r="X7" s="1320"/>
      <c r="Y7" s="3855" t="s">
        <v>397</v>
      </c>
      <c r="Z7" s="3856"/>
      <c r="AA7" s="1321">
        <f>D7/F7</f>
        <v>1</v>
      </c>
      <c r="AB7" s="1321">
        <f>D7/H7</f>
        <v>1</v>
      </c>
      <c r="AC7" s="1321">
        <f>D7/J7</f>
        <v>1</v>
      </c>
    </row>
    <row r="8" spans="1:29" s="407" customFormat="1" ht="15.75" thickBot="1">
      <c r="A8" s="751" t="s">
        <v>398</v>
      </c>
      <c r="B8" s="752"/>
      <c r="C8" s="757" t="s">
        <v>415</v>
      </c>
      <c r="D8" s="754">
        <v>100</v>
      </c>
      <c r="E8" s="757" t="s">
        <v>153</v>
      </c>
      <c r="F8" s="756">
        <f>SUMIF(51:51,E8,52:52)-SUMIF(51:51,C8,52:52)+100</f>
        <v>100</v>
      </c>
      <c r="G8" s="757" t="s">
        <v>153</v>
      </c>
      <c r="H8" s="754">
        <f>SUMIF(51:51,G8,52:52)-SUMIF(51:51,C8,52:52)+100</f>
        <v>100</v>
      </c>
      <c r="I8" s="757" t="s">
        <v>153</v>
      </c>
      <c r="J8" s="754">
        <f>SUMIF(51:51,I8,52:52)-SUMIF(51:51,C8,52:52)+100</f>
        <v>100</v>
      </c>
      <c r="K8" s="953"/>
      <c r="L8" s="2346"/>
      <c r="M8" s="2347"/>
      <c r="N8" s="2347"/>
      <c r="O8" s="2347"/>
      <c r="P8" s="3855" t="s">
        <v>433</v>
      </c>
      <c r="Q8" s="3856"/>
      <c r="R8" s="1318" t="s">
        <v>63</v>
      </c>
      <c r="S8" s="1319">
        <f t="shared" si="0"/>
        <v>100</v>
      </c>
      <c r="T8" s="1318" t="s">
        <v>63</v>
      </c>
      <c r="U8" s="1319">
        <f t="shared" si="1"/>
        <v>100</v>
      </c>
      <c r="V8" s="1318" t="s">
        <v>63</v>
      </c>
      <c r="W8" s="1319">
        <f t="shared" si="2"/>
        <v>100</v>
      </c>
      <c r="X8" s="1320"/>
      <c r="Y8" s="3855" t="s">
        <v>433</v>
      </c>
      <c r="Z8" s="3856"/>
      <c r="AA8" s="1321">
        <f t="shared" ref="AA8:AA36" si="3">D8/F8</f>
        <v>1</v>
      </c>
      <c r="AB8" s="1321">
        <f t="shared" ref="AB8:AB36" si="4">D8/H8</f>
        <v>1</v>
      </c>
      <c r="AC8" s="1321">
        <f t="shared" ref="AC8:AC36" si="5">D8/J8</f>
        <v>1</v>
      </c>
    </row>
    <row r="9" spans="1:29" s="407" customFormat="1">
      <c r="A9" s="358" t="s">
        <v>399</v>
      </c>
      <c r="B9" s="982" t="s">
        <v>417</v>
      </c>
      <c r="C9" s="3556" t="s">
        <v>3986</v>
      </c>
      <c r="D9" s="425">
        <v>100</v>
      </c>
      <c r="E9" s="761" t="s">
        <v>3985</v>
      </c>
      <c r="F9" s="425">
        <f>SUMIF(53:53,E9,54:54)-SUMIF(53:53,C9,54:54)+100</f>
        <v>100</v>
      </c>
      <c r="G9" s="759" t="s">
        <v>3985</v>
      </c>
      <c r="H9" s="425">
        <f>SUMIF(53:53,G9,54:54)-SUMIF(53:53,C9,54:54)+100</f>
        <v>100</v>
      </c>
      <c r="I9" s="759" t="s">
        <v>3985</v>
      </c>
      <c r="J9" s="425">
        <f>SUMIF(53:53,I9,54:54)-SUMIF(53:53,C9,54:54)+100</f>
        <v>100</v>
      </c>
      <c r="K9" s="953"/>
      <c r="L9" s="2346"/>
      <c r="M9" s="2347"/>
      <c r="N9" s="2347"/>
      <c r="O9" s="2347"/>
      <c r="P9" s="3865" t="s">
        <v>400</v>
      </c>
      <c r="Q9" s="2825" t="str">
        <f t="shared" ref="Q9:Q14" si="6">B9</f>
        <v>用途</v>
      </c>
      <c r="R9" s="1318" t="s">
        <v>63</v>
      </c>
      <c r="S9" s="1319">
        <f t="shared" si="0"/>
        <v>100</v>
      </c>
      <c r="T9" s="1318" t="s">
        <v>63</v>
      </c>
      <c r="U9" s="1319">
        <f t="shared" si="1"/>
        <v>100</v>
      </c>
      <c r="V9" s="1318" t="s">
        <v>63</v>
      </c>
      <c r="W9" s="1319">
        <f t="shared" si="2"/>
        <v>100</v>
      </c>
      <c r="X9" s="1320"/>
      <c r="Y9" s="3731" t="s">
        <v>401</v>
      </c>
      <c r="Z9" s="344" t="str">
        <f t="shared" ref="Z9:Z14" si="7">Q9</f>
        <v>用途</v>
      </c>
      <c r="AA9" s="1321">
        <f t="shared" si="3"/>
        <v>1</v>
      </c>
      <c r="AB9" s="1321">
        <f t="shared" si="4"/>
        <v>1</v>
      </c>
      <c r="AC9" s="1321">
        <f t="shared" si="5"/>
        <v>1</v>
      </c>
    </row>
    <row r="10" spans="1:29" s="769" customFormat="1" ht="27.75" thickBot="1">
      <c r="A10" s="983"/>
      <c r="B10" s="984" t="s">
        <v>402</v>
      </c>
      <c r="C10" s="765" t="s">
        <v>3894</v>
      </c>
      <c r="D10" s="426">
        <v>100</v>
      </c>
      <c r="E10" s="765" t="s">
        <v>3942</v>
      </c>
      <c r="F10" s="426">
        <f>SUMIF(55:55,E10,56:56)-SUMIF(55:55,C10,56:56)+100</f>
        <v>105</v>
      </c>
      <c r="G10" s="766" t="s">
        <v>3942</v>
      </c>
      <c r="H10" s="426">
        <f>SUMIF(55:55,G10,56:56)-SUMIF(55:55,C10,56:56)+100</f>
        <v>105</v>
      </c>
      <c r="I10" s="765" t="s">
        <v>3942</v>
      </c>
      <c r="J10" s="426">
        <f>SUMIF(55:55,I10,56:56)-SUMIF(55:55,C10,56:56)+100</f>
        <v>105</v>
      </c>
      <c r="K10" s="954">
        <v>5</v>
      </c>
      <c r="L10" s="2349"/>
      <c r="M10" s="2350"/>
      <c r="N10" s="2350"/>
      <c r="O10" s="2350"/>
      <c r="P10" s="3865"/>
      <c r="Q10" s="2825" t="str">
        <f t="shared" si="6"/>
        <v>土地使用年限（年）</v>
      </c>
      <c r="R10" s="1318" t="s">
        <v>63</v>
      </c>
      <c r="S10" s="1319">
        <f t="shared" si="0"/>
        <v>105</v>
      </c>
      <c r="T10" s="1318" t="s">
        <v>63</v>
      </c>
      <c r="U10" s="1319">
        <f t="shared" si="1"/>
        <v>105</v>
      </c>
      <c r="V10" s="1318" t="s">
        <v>63</v>
      </c>
      <c r="W10" s="1319">
        <f t="shared" si="2"/>
        <v>105</v>
      </c>
      <c r="X10" s="1320"/>
      <c r="Y10" s="3731"/>
      <c r="Z10" s="344" t="str">
        <f t="shared" si="7"/>
        <v>土地使用年限（年）</v>
      </c>
      <c r="AA10" s="1321">
        <f t="shared" si="3"/>
        <v>0.95238095238095233</v>
      </c>
      <c r="AB10" s="1321">
        <f t="shared" si="4"/>
        <v>0.95238095238095233</v>
      </c>
      <c r="AC10" s="1321">
        <f t="shared" si="5"/>
        <v>0.95238095238095233</v>
      </c>
    </row>
    <row r="11" spans="1:29" ht="15" hidden="1">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2"/>
      <c r="M11" s="2345"/>
      <c r="N11" s="2345"/>
      <c r="O11" s="2345"/>
      <c r="P11" s="3865"/>
      <c r="Q11" s="2825">
        <f t="shared" si="6"/>
        <v>111</v>
      </c>
      <c r="R11" s="1318" t="s">
        <v>63</v>
      </c>
      <c r="S11" s="1319">
        <f t="shared" si="0"/>
        <v>100</v>
      </c>
      <c r="T11" s="1318" t="s">
        <v>63</v>
      </c>
      <c r="U11" s="1319">
        <f t="shared" si="1"/>
        <v>100</v>
      </c>
      <c r="V11" s="1318" t="s">
        <v>63</v>
      </c>
      <c r="W11" s="1319">
        <f t="shared" si="2"/>
        <v>100</v>
      </c>
      <c r="X11" s="1320"/>
      <c r="Y11" s="3731"/>
      <c r="Z11" s="344">
        <f t="shared" si="7"/>
        <v>111</v>
      </c>
      <c r="AA11" s="1321">
        <f t="shared" si="3"/>
        <v>1</v>
      </c>
      <c r="AB11" s="1321">
        <f t="shared" si="4"/>
        <v>1</v>
      </c>
      <c r="AC11" s="1321">
        <f t="shared" si="5"/>
        <v>1</v>
      </c>
    </row>
    <row r="12" spans="1:29" s="407" customFormat="1" ht="15" hidden="1">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46"/>
      <c r="M12" s="2347"/>
      <c r="N12" s="2347"/>
      <c r="O12" s="2347"/>
      <c r="P12" s="3865"/>
      <c r="Q12" s="2825">
        <f t="shared" si="6"/>
        <v>111</v>
      </c>
      <c r="R12" s="1318" t="s">
        <v>63</v>
      </c>
      <c r="S12" s="1319">
        <f t="shared" si="0"/>
        <v>100</v>
      </c>
      <c r="T12" s="1318" t="s">
        <v>63</v>
      </c>
      <c r="U12" s="1319">
        <f t="shared" si="1"/>
        <v>100</v>
      </c>
      <c r="V12" s="1318" t="s">
        <v>63</v>
      </c>
      <c r="W12" s="1319">
        <f t="shared" si="2"/>
        <v>100</v>
      </c>
      <c r="X12" s="1320"/>
      <c r="Y12" s="3731"/>
      <c r="Z12" s="344">
        <f t="shared" si="7"/>
        <v>111</v>
      </c>
      <c r="AA12" s="1321">
        <f>D12/F12</f>
        <v>1</v>
      </c>
      <c r="AB12" s="1321">
        <f>D12/H12</f>
        <v>1</v>
      </c>
      <c r="AC12" s="1321">
        <f>D12/J12</f>
        <v>1</v>
      </c>
    </row>
    <row r="13" spans="1:29" ht="15.75" hidden="1"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4"/>
      <c r="M13" s="2345"/>
      <c r="N13" s="2345"/>
      <c r="O13" s="2345"/>
      <c r="P13" s="3865"/>
      <c r="Q13" s="2825">
        <f t="shared" si="6"/>
        <v>111</v>
      </c>
      <c r="R13" s="1318" t="s">
        <v>63</v>
      </c>
      <c r="S13" s="1319">
        <f t="shared" si="0"/>
        <v>100</v>
      </c>
      <c r="T13" s="1318" t="s">
        <v>63</v>
      </c>
      <c r="U13" s="1319">
        <f t="shared" si="1"/>
        <v>100</v>
      </c>
      <c r="V13" s="1318" t="s">
        <v>63</v>
      </c>
      <c r="W13" s="1319">
        <f t="shared" si="2"/>
        <v>100</v>
      </c>
      <c r="X13" s="1320"/>
      <c r="Y13" s="3731"/>
      <c r="Z13" s="344">
        <f t="shared" si="7"/>
        <v>111</v>
      </c>
      <c r="AA13" s="1321">
        <f t="shared" si="3"/>
        <v>1</v>
      </c>
      <c r="AB13" s="1321">
        <f t="shared" si="4"/>
        <v>1</v>
      </c>
      <c r="AC13" s="1321">
        <f t="shared" si="5"/>
        <v>1</v>
      </c>
    </row>
    <row r="14" spans="1:29" ht="94.5">
      <c r="A14" s="744"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4"/>
      <c r="M14" s="2345"/>
      <c r="N14" s="2345"/>
      <c r="O14" s="2345"/>
      <c r="P14" s="3880" t="s">
        <v>405</v>
      </c>
      <c r="Q14" s="2827" t="str">
        <f t="shared" si="6"/>
        <v>交通便捷度</v>
      </c>
      <c r="R14" s="1323" t="s">
        <v>63</v>
      </c>
      <c r="S14" s="1324">
        <f t="shared" si="0"/>
        <v>100</v>
      </c>
      <c r="T14" s="1323" t="s">
        <v>63</v>
      </c>
      <c r="U14" s="1324">
        <f t="shared" si="1"/>
        <v>100</v>
      </c>
      <c r="V14" s="1323" t="s">
        <v>63</v>
      </c>
      <c r="W14" s="1324">
        <f t="shared" si="2"/>
        <v>100</v>
      </c>
      <c r="X14" s="2826"/>
      <c r="Y14" s="3880" t="s">
        <v>405</v>
      </c>
      <c r="Z14" s="2828" t="str">
        <f t="shared" si="7"/>
        <v>交通便捷度</v>
      </c>
      <c r="AA14" s="1326">
        <f t="shared" si="3"/>
        <v>1</v>
      </c>
      <c r="AB14" s="1326">
        <f t="shared" si="4"/>
        <v>1</v>
      </c>
      <c r="AC14" s="1326">
        <f t="shared" si="5"/>
        <v>1</v>
      </c>
    </row>
    <row r="15" spans="1:29" ht="15">
      <c r="A15" s="747"/>
      <c r="B15" s="989"/>
      <c r="C15" s="97" t="s">
        <v>3852</v>
      </c>
      <c r="D15" s="790"/>
      <c r="E15" s="789" t="s">
        <v>3852</v>
      </c>
      <c r="F15" s="791"/>
      <c r="G15" s="789" t="s">
        <v>3852</v>
      </c>
      <c r="H15" s="792"/>
      <c r="I15" s="789" t="s">
        <v>3852</v>
      </c>
      <c r="J15" s="790"/>
      <c r="K15" s="957"/>
      <c r="L15" s="2354"/>
      <c r="M15" s="2345"/>
      <c r="N15" s="2345"/>
      <c r="O15" s="2345"/>
      <c r="P15" s="3881"/>
      <c r="Q15" s="2827"/>
      <c r="R15" s="1323"/>
      <c r="S15" s="1324"/>
      <c r="T15" s="1323"/>
      <c r="U15" s="1324"/>
      <c r="V15" s="1323"/>
      <c r="W15" s="1324"/>
      <c r="X15" s="2826"/>
      <c r="Y15" s="3881"/>
      <c r="Z15" s="2828"/>
      <c r="AA15" s="1326">
        <v>1</v>
      </c>
      <c r="AB15" s="1326">
        <v>1</v>
      </c>
      <c r="AC15" s="1326">
        <v>1</v>
      </c>
    </row>
    <row r="16" spans="1:29" ht="40.5">
      <c r="A16" s="747"/>
      <c r="B16" s="1033" t="s">
        <v>2661</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4"/>
      <c r="M16" s="2345"/>
      <c r="N16" s="2345"/>
      <c r="O16" s="2345"/>
      <c r="P16" s="3881"/>
      <c r="Q16" s="2827" t="str">
        <f>B16</f>
        <v>公共配套设施</v>
      </c>
      <c r="R16" s="1323" t="s">
        <v>63</v>
      </c>
      <c r="S16" s="1324">
        <f>F16</f>
        <v>100</v>
      </c>
      <c r="T16" s="1323" t="s">
        <v>63</v>
      </c>
      <c r="U16" s="1324">
        <f>H16</f>
        <v>100</v>
      </c>
      <c r="V16" s="1323" t="s">
        <v>63</v>
      </c>
      <c r="W16" s="1324">
        <f>J16</f>
        <v>100</v>
      </c>
      <c r="X16" s="2826"/>
      <c r="Y16" s="3881"/>
      <c r="Z16" s="2828" t="str">
        <f>Q16</f>
        <v>公共配套设施</v>
      </c>
      <c r="AA16" s="1326">
        <f t="shared" si="3"/>
        <v>1</v>
      </c>
      <c r="AB16" s="1326">
        <f t="shared" si="4"/>
        <v>1</v>
      </c>
      <c r="AC16" s="1326">
        <f t="shared" si="5"/>
        <v>1</v>
      </c>
    </row>
    <row r="17" spans="1:29" ht="15">
      <c r="A17" s="747"/>
      <c r="B17" s="974"/>
      <c r="C17" s="102" t="s">
        <v>3852</v>
      </c>
      <c r="D17" s="790"/>
      <c r="E17" s="789" t="s">
        <v>3852</v>
      </c>
      <c r="F17" s="791"/>
      <c r="G17" s="789" t="s">
        <v>3852</v>
      </c>
      <c r="H17" s="790"/>
      <c r="I17" s="789" t="s">
        <v>3861</v>
      </c>
      <c r="J17" s="790"/>
      <c r="K17" s="957"/>
      <c r="L17" s="2354"/>
      <c r="M17" s="2345"/>
      <c r="N17" s="2345"/>
      <c r="O17" s="2345"/>
      <c r="P17" s="3881"/>
      <c r="Q17" s="2827"/>
      <c r="R17" s="1323"/>
      <c r="S17" s="1324"/>
      <c r="T17" s="1323"/>
      <c r="U17" s="1324"/>
      <c r="V17" s="1323"/>
      <c r="W17" s="1324"/>
      <c r="X17" s="2826"/>
      <c r="Y17" s="3881"/>
      <c r="Z17" s="2828"/>
      <c r="AA17" s="1326">
        <v>1</v>
      </c>
      <c r="AB17" s="1326">
        <v>1</v>
      </c>
      <c r="AC17" s="1326">
        <v>1</v>
      </c>
    </row>
    <row r="18" spans="1:29" ht="40.5">
      <c r="A18" s="747"/>
      <c r="B18" s="1035" t="s">
        <v>2660</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4"/>
      <c r="M18" s="2345"/>
      <c r="N18" s="2345"/>
      <c r="O18" s="2345"/>
      <c r="P18" s="3881"/>
      <c r="Q18" s="2827" t="str">
        <f>B18</f>
        <v>基础设施水平</v>
      </c>
      <c r="R18" s="1323" t="s">
        <v>63</v>
      </c>
      <c r="S18" s="1324">
        <f>F18</f>
        <v>100</v>
      </c>
      <c r="T18" s="1323" t="s">
        <v>63</v>
      </c>
      <c r="U18" s="1324">
        <f>H18</f>
        <v>100</v>
      </c>
      <c r="V18" s="1323" t="s">
        <v>63</v>
      </c>
      <c r="W18" s="1324">
        <f>J18</f>
        <v>100</v>
      </c>
      <c r="X18" s="2826"/>
      <c r="Y18" s="3881"/>
      <c r="Z18" s="2828" t="str">
        <f>Q18</f>
        <v>基础设施水平</v>
      </c>
      <c r="AA18" s="1326">
        <f t="shared" ref="AA18" si="8">D18/F18</f>
        <v>1</v>
      </c>
      <c r="AB18" s="1326">
        <f t="shared" ref="AB18" si="9">D18/H18</f>
        <v>1</v>
      </c>
      <c r="AC18" s="1326">
        <f t="shared" ref="AC18" si="10">D18/J18</f>
        <v>1</v>
      </c>
    </row>
    <row r="19" spans="1:29" ht="15">
      <c r="A19" s="747"/>
      <c r="B19" s="975"/>
      <c r="C19" s="102" t="s">
        <v>3853</v>
      </c>
      <c r="D19" s="792"/>
      <c r="E19" s="102" t="s">
        <v>3853</v>
      </c>
      <c r="F19" s="795"/>
      <c r="G19" s="102" t="s">
        <v>3853</v>
      </c>
      <c r="H19" s="790"/>
      <c r="I19" s="97" t="s">
        <v>3853</v>
      </c>
      <c r="J19" s="790"/>
      <c r="K19" s="2763"/>
      <c r="L19" s="2354"/>
      <c r="M19" s="2345"/>
      <c r="N19" s="2345"/>
      <c r="O19" s="2345"/>
      <c r="P19" s="3881"/>
      <c r="Q19" s="2827"/>
      <c r="R19" s="1323"/>
      <c r="S19" s="1324"/>
      <c r="T19" s="1323"/>
      <c r="U19" s="1324"/>
      <c r="V19" s="1323"/>
      <c r="W19" s="1324"/>
      <c r="X19" s="2826"/>
      <c r="Y19" s="3881"/>
      <c r="Z19" s="2828"/>
      <c r="AA19" s="1326">
        <v>1</v>
      </c>
      <c r="AB19" s="1326">
        <v>1</v>
      </c>
      <c r="AC19" s="1326">
        <v>1</v>
      </c>
    </row>
    <row r="20" spans="1:29" ht="54">
      <c r="A20" s="747"/>
      <c r="B20" s="973" t="s">
        <v>455</v>
      </c>
      <c r="C20" s="158" t="str">
        <f>IF(B1="工业",估价对象房地状况!G7,估价对象房地状况!C9)</f>
        <v>区域自然环境：；人文环境；综合评价环境状况一般</v>
      </c>
      <c r="D20" s="797">
        <v>100</v>
      </c>
      <c r="E20" s="799"/>
      <c r="F20" s="800">
        <f>SUMIF(69:69,E21,70:70)-SUMIF(69:69,C21,70:70)+100</f>
        <v>98</v>
      </c>
      <c r="G20" s="801"/>
      <c r="H20" s="792">
        <f>SUMIF(69:69,G21,70:70)-SUMIF(69:69,C21,70:70)+100</f>
        <v>98</v>
      </c>
      <c r="I20" s="794"/>
      <c r="J20" s="792">
        <f>SUMIF(69:69,I21,70:70)-SUMIF(69:69,C21,70:70)+100</f>
        <v>98</v>
      </c>
      <c r="K20" s="956">
        <v>2</v>
      </c>
      <c r="L20" s="2354"/>
      <c r="M20" s="2345"/>
      <c r="N20" s="2345"/>
      <c r="O20" s="2345"/>
      <c r="P20" s="3881"/>
      <c r="Q20" s="2827" t="str">
        <f>B20</f>
        <v>自然及人文环境</v>
      </c>
      <c r="R20" s="1323" t="s">
        <v>63</v>
      </c>
      <c r="S20" s="1324">
        <f>F20</f>
        <v>98</v>
      </c>
      <c r="T20" s="1323" t="s">
        <v>63</v>
      </c>
      <c r="U20" s="1324">
        <f>H20</f>
        <v>98</v>
      </c>
      <c r="V20" s="1323" t="s">
        <v>63</v>
      </c>
      <c r="W20" s="1324">
        <f>J20</f>
        <v>98</v>
      </c>
      <c r="X20" s="2826"/>
      <c r="Y20" s="3881"/>
      <c r="Z20" s="2828" t="str">
        <f>Q20</f>
        <v>自然及人文环境</v>
      </c>
      <c r="AA20" s="1326">
        <f t="shared" si="3"/>
        <v>1.0204081632653061</v>
      </c>
      <c r="AB20" s="1326">
        <f t="shared" si="4"/>
        <v>1.0204081632653061</v>
      </c>
      <c r="AC20" s="1326">
        <f t="shared" si="5"/>
        <v>1.0204081632653061</v>
      </c>
    </row>
    <row r="21" spans="1:29" ht="15">
      <c r="A21" s="747"/>
      <c r="B21" s="974"/>
      <c r="C21" s="789" t="s">
        <v>3852</v>
      </c>
      <c r="D21" s="790"/>
      <c r="E21" s="789" t="s">
        <v>3861</v>
      </c>
      <c r="F21" s="791"/>
      <c r="G21" s="789" t="s">
        <v>3861</v>
      </c>
      <c r="H21" s="790"/>
      <c r="I21" s="789" t="s">
        <v>3861</v>
      </c>
      <c r="J21" s="790"/>
      <c r="K21" s="957"/>
      <c r="L21" s="2354"/>
      <c r="M21" s="2345"/>
      <c r="N21" s="2345"/>
      <c r="O21" s="2345"/>
      <c r="P21" s="3881"/>
      <c r="Q21" s="2827"/>
      <c r="R21" s="1323"/>
      <c r="S21" s="1324"/>
      <c r="T21" s="1323"/>
      <c r="U21" s="1324"/>
      <c r="V21" s="1323"/>
      <c r="W21" s="1324"/>
      <c r="X21" s="2826"/>
      <c r="Y21" s="3881"/>
      <c r="Z21" s="2828"/>
      <c r="AA21" s="1326">
        <v>1</v>
      </c>
      <c r="AB21" s="1326">
        <v>1</v>
      </c>
      <c r="AC21" s="1326">
        <v>1</v>
      </c>
    </row>
    <row r="22" spans="1:29" ht="15.75" thickBot="1">
      <c r="A22" s="747"/>
      <c r="B22" s="973" t="s">
        <v>456</v>
      </c>
      <c r="C22" s="958" t="s">
        <v>3997</v>
      </c>
      <c r="D22" s="792">
        <v>100</v>
      </c>
      <c r="E22" s="958" t="s">
        <v>3997</v>
      </c>
      <c r="F22" s="803">
        <f>SUMIF(71:71,E22,72:72)-SUMIF(71:71,C22,72:72)+100</f>
        <v>100</v>
      </c>
      <c r="G22" s="958" t="s">
        <v>3997</v>
      </c>
      <c r="H22" s="777">
        <f>SUMIF(71:71,G22,72:72)-SUMIF(71:71,C22,72:72)+100</f>
        <v>100</v>
      </c>
      <c r="I22" s="958" t="s">
        <v>3997</v>
      </c>
      <c r="J22" s="777">
        <f>SUMIF(71:71,I22,72:72)-SUMIF(71:71,C22,72:72)+100</f>
        <v>100</v>
      </c>
      <c r="K22" s="954"/>
      <c r="L22" s="2354"/>
      <c r="M22" s="2345"/>
      <c r="N22" s="2345"/>
      <c r="O22" s="2345"/>
      <c r="P22" s="3881"/>
      <c r="Q22" s="2827" t="str">
        <f>B22</f>
        <v>楼层</v>
      </c>
      <c r="R22" s="1323" t="s">
        <v>63</v>
      </c>
      <c r="S22" s="1324">
        <f>F22</f>
        <v>100</v>
      </c>
      <c r="T22" s="1323" t="s">
        <v>63</v>
      </c>
      <c r="U22" s="1324">
        <f>H22</f>
        <v>100</v>
      </c>
      <c r="V22" s="1323" t="s">
        <v>63</v>
      </c>
      <c r="W22" s="1324">
        <f>J22</f>
        <v>100</v>
      </c>
      <c r="X22" s="2826"/>
      <c r="Y22" s="3881"/>
      <c r="Z22" s="2828" t="str">
        <f>Q22</f>
        <v>楼层</v>
      </c>
      <c r="AA22" s="1326">
        <f t="shared" si="3"/>
        <v>1</v>
      </c>
      <c r="AB22" s="1326">
        <f t="shared" si="4"/>
        <v>1</v>
      </c>
      <c r="AC22" s="1326">
        <f t="shared" si="5"/>
        <v>1</v>
      </c>
    </row>
    <row r="23" spans="1:29" ht="15" hidden="1">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4"/>
      <c r="M23" s="2345"/>
      <c r="N23" s="2345"/>
      <c r="O23" s="2345"/>
      <c r="P23" s="3881"/>
      <c r="Q23" s="2827">
        <f>B23</f>
        <v>111</v>
      </c>
      <c r="R23" s="1323" t="s">
        <v>63</v>
      </c>
      <c r="S23" s="1324">
        <f>F23</f>
        <v>100</v>
      </c>
      <c r="T23" s="1323" t="s">
        <v>63</v>
      </c>
      <c r="U23" s="1324">
        <f>H23</f>
        <v>100</v>
      </c>
      <c r="V23" s="1323" t="s">
        <v>63</v>
      </c>
      <c r="W23" s="1324">
        <f>J23</f>
        <v>100</v>
      </c>
      <c r="X23" s="2826"/>
      <c r="Y23" s="3881"/>
      <c r="Z23" s="2828">
        <f>Q23</f>
        <v>111</v>
      </c>
      <c r="AA23" s="1326">
        <f t="shared" si="3"/>
        <v>1</v>
      </c>
      <c r="AB23" s="1326">
        <f t="shared" si="4"/>
        <v>1</v>
      </c>
      <c r="AC23" s="1326">
        <f t="shared" si="5"/>
        <v>1</v>
      </c>
    </row>
    <row r="24" spans="1:29" ht="15" hidden="1">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4"/>
      <c r="M24" s="2345"/>
      <c r="N24" s="2345"/>
      <c r="O24" s="2345"/>
      <c r="P24" s="3881"/>
      <c r="Q24" s="2827">
        <f t="shared" ref="Q24:Q36" si="11">B24</f>
        <v>111</v>
      </c>
      <c r="R24" s="1323" t="s">
        <v>63</v>
      </c>
      <c r="S24" s="1324">
        <f>F24</f>
        <v>100</v>
      </c>
      <c r="T24" s="1323" t="s">
        <v>63</v>
      </c>
      <c r="U24" s="1324">
        <f>H24</f>
        <v>100</v>
      </c>
      <c r="V24" s="1323" t="s">
        <v>63</v>
      </c>
      <c r="W24" s="1324">
        <f>J24</f>
        <v>100</v>
      </c>
      <c r="X24" s="2826"/>
      <c r="Y24" s="3881"/>
      <c r="Z24" s="2828">
        <f>Q24</f>
        <v>111</v>
      </c>
      <c r="AA24" s="1326">
        <f t="shared" si="3"/>
        <v>1</v>
      </c>
      <c r="AB24" s="1326">
        <f t="shared" si="4"/>
        <v>1</v>
      </c>
      <c r="AC24" s="1326">
        <f t="shared" si="5"/>
        <v>1</v>
      </c>
    </row>
    <row r="25" spans="1:29" s="407" customFormat="1" ht="15.75" hidden="1"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6"/>
      <c r="M25" s="2347"/>
      <c r="N25" s="2347"/>
      <c r="O25" s="2347"/>
      <c r="P25" s="3881"/>
      <c r="Q25" s="2825">
        <f t="shared" si="11"/>
        <v>111</v>
      </c>
      <c r="R25" s="1318" t="s">
        <v>63</v>
      </c>
      <c r="S25" s="1319">
        <f>F25</f>
        <v>100</v>
      </c>
      <c r="T25" s="1318" t="s">
        <v>63</v>
      </c>
      <c r="U25" s="1319">
        <f>H25</f>
        <v>100</v>
      </c>
      <c r="V25" s="1318" t="s">
        <v>63</v>
      </c>
      <c r="W25" s="1319">
        <f>J25</f>
        <v>100</v>
      </c>
      <c r="X25" s="1320"/>
      <c r="Y25" s="3881"/>
      <c r="Z25" s="344">
        <f>Q25</f>
        <v>111</v>
      </c>
      <c r="AA25" s="1326">
        <f>D25/F25</f>
        <v>1</v>
      </c>
      <c r="AB25" s="1326">
        <f>D25/H25</f>
        <v>1</v>
      </c>
      <c r="AC25" s="1326">
        <f>D25/J25</f>
        <v>1</v>
      </c>
    </row>
    <row r="26" spans="1:29" ht="15">
      <c r="A26" s="994" t="s">
        <v>406</v>
      </c>
      <c r="B26" s="360" t="s">
        <v>457</v>
      </c>
      <c r="C26" s="2764" t="str">
        <f>B1</f>
        <v>车库</v>
      </c>
      <c r="D26" s="790">
        <v>100</v>
      </c>
      <c r="E26" s="789" t="s">
        <v>3113</v>
      </c>
      <c r="F26" s="791">
        <f>SUMIF(79:79,E26,80:80)-SUMIF(79:79,C26,80:80)+100</f>
        <v>100</v>
      </c>
      <c r="G26" s="789" t="s">
        <v>3113</v>
      </c>
      <c r="H26" s="790">
        <f>SUMIF(79:79,G26,80:80)-SUMIF(79:79,C26,80:80)+100</f>
        <v>100</v>
      </c>
      <c r="I26" s="789" t="s">
        <v>3113</v>
      </c>
      <c r="J26" s="790">
        <f>SUMIF(79:79,I26,80:80)-SUMIF(79:79,C26,80:80)+100</f>
        <v>100</v>
      </c>
      <c r="K26" s="954"/>
      <c r="L26" s="2354"/>
      <c r="M26" s="2345"/>
      <c r="N26" s="2345"/>
      <c r="O26" s="2345"/>
      <c r="P26" s="3882" t="s">
        <v>407</v>
      </c>
      <c r="Q26" s="2827" t="str">
        <f t="shared" si="11"/>
        <v>配套类型</v>
      </c>
      <c r="R26" s="1323" t="s">
        <v>63</v>
      </c>
      <c r="S26" s="1324">
        <f t="shared" ref="S26:S36" si="12">F26</f>
        <v>100</v>
      </c>
      <c r="T26" s="1323" t="s">
        <v>63</v>
      </c>
      <c r="U26" s="1324">
        <f t="shared" ref="U26:U36" si="13">H26</f>
        <v>100</v>
      </c>
      <c r="V26" s="1323" t="s">
        <v>63</v>
      </c>
      <c r="W26" s="1324">
        <f t="shared" ref="W26:W36" si="14">J26</f>
        <v>100</v>
      </c>
      <c r="X26" s="2826"/>
      <c r="Y26" s="3883" t="s">
        <v>407</v>
      </c>
      <c r="Z26" s="2828" t="str">
        <f t="shared" ref="Z26:Z36" si="15">Q26</f>
        <v>配套类型</v>
      </c>
      <c r="AA26" s="1326">
        <f t="shared" si="3"/>
        <v>1</v>
      </c>
      <c r="AB26" s="1326">
        <f t="shared" si="4"/>
        <v>1</v>
      </c>
      <c r="AC26" s="1326">
        <f t="shared" si="5"/>
        <v>1</v>
      </c>
    </row>
    <row r="27" spans="1:29" s="813" customFormat="1" ht="15" hidden="1">
      <c r="A27" s="995"/>
      <c r="B27" s="996" t="s">
        <v>458</v>
      </c>
      <c r="C27" s="997"/>
      <c r="D27" s="426">
        <v>100</v>
      </c>
      <c r="E27" s="997"/>
      <c r="F27" s="803">
        <f>SUMIF(81:81,E27,82:82)-SUMIF(81:81,C27,82:82)+100</f>
        <v>100</v>
      </c>
      <c r="G27" s="997"/>
      <c r="H27" s="777">
        <f>SUMIF(81:81,G27,82:82)-SUMIF(81:81,C27,82:82)+100</f>
        <v>100</v>
      </c>
      <c r="I27" s="997"/>
      <c r="J27" s="777">
        <f>SUMIF(81:81,I27,82:82)-SUMIF(81:81,C27,82:82)+100</f>
        <v>100</v>
      </c>
      <c r="K27" s="955"/>
      <c r="L27" s="2352"/>
      <c r="M27" s="2355"/>
      <c r="N27" s="2355"/>
      <c r="O27" s="2355"/>
      <c r="P27" s="3883"/>
      <c r="Q27" s="1327" t="str">
        <f t="shared" si="11"/>
        <v>项目停车位配比</v>
      </c>
      <c r="R27" s="1328" t="s">
        <v>63</v>
      </c>
      <c r="S27" s="1329">
        <f t="shared" si="12"/>
        <v>100</v>
      </c>
      <c r="T27" s="1328" t="s">
        <v>63</v>
      </c>
      <c r="U27" s="1329">
        <f t="shared" si="13"/>
        <v>100</v>
      </c>
      <c r="V27" s="1328" t="s">
        <v>63</v>
      </c>
      <c r="W27" s="1329">
        <f t="shared" si="14"/>
        <v>100</v>
      </c>
      <c r="X27" s="1330"/>
      <c r="Y27" s="3883"/>
      <c r="Z27" s="1331" t="str">
        <f t="shared" si="15"/>
        <v>项目停车位配比</v>
      </c>
      <c r="AA27" s="1326">
        <f t="shared" si="3"/>
        <v>1</v>
      </c>
      <c r="AB27" s="1326">
        <f t="shared" si="4"/>
        <v>1</v>
      </c>
      <c r="AC27" s="1326">
        <f t="shared" si="5"/>
        <v>1</v>
      </c>
    </row>
    <row r="28" spans="1:29" ht="15">
      <c r="A28" s="998"/>
      <c r="B28" s="996" t="s">
        <v>459</v>
      </c>
      <c r="C28" s="802" t="s">
        <v>3879</v>
      </c>
      <c r="D28" s="777">
        <v>100</v>
      </c>
      <c r="E28" s="802" t="s">
        <v>3879</v>
      </c>
      <c r="F28" s="803">
        <f>SUMIF(83:83,E28,84:84)-SUMIF(83:83,C28,84:84)+100</f>
        <v>100</v>
      </c>
      <c r="G28" s="802" t="s">
        <v>3879</v>
      </c>
      <c r="H28" s="777">
        <f>SUMIF(83:83,G28,84:84)-SUMIF(83:83,C28,84:84)+100</f>
        <v>100</v>
      </c>
      <c r="I28" s="802" t="s">
        <v>3879</v>
      </c>
      <c r="J28" s="777">
        <f>SUMIF(83:83,I28,84:84)-SUMIF(83:83,C28,84:84)+100</f>
        <v>100</v>
      </c>
      <c r="K28" s="954"/>
      <c r="L28" s="2354"/>
      <c r="M28" s="2345"/>
      <c r="N28" s="2345"/>
      <c r="O28" s="2345"/>
      <c r="P28" s="3883"/>
      <c r="Q28" s="2827" t="str">
        <f t="shared" si="11"/>
        <v>公共部分装修</v>
      </c>
      <c r="R28" s="1323" t="s">
        <v>63</v>
      </c>
      <c r="S28" s="1324">
        <f t="shared" si="12"/>
        <v>100</v>
      </c>
      <c r="T28" s="1323" t="s">
        <v>63</v>
      </c>
      <c r="U28" s="1324">
        <f t="shared" si="13"/>
        <v>100</v>
      </c>
      <c r="V28" s="1323" t="s">
        <v>63</v>
      </c>
      <c r="W28" s="1324">
        <f t="shared" si="14"/>
        <v>100</v>
      </c>
      <c r="X28" s="2826"/>
      <c r="Y28" s="3883"/>
      <c r="Z28" s="2828" t="str">
        <f t="shared" si="15"/>
        <v>公共部分装修</v>
      </c>
      <c r="AA28" s="1326">
        <f t="shared" si="3"/>
        <v>1</v>
      </c>
      <c r="AB28" s="1326">
        <f t="shared" si="4"/>
        <v>1</v>
      </c>
      <c r="AC28" s="1326">
        <f t="shared" si="5"/>
        <v>1</v>
      </c>
    </row>
    <row r="29" spans="1:29" ht="15">
      <c r="A29" s="998"/>
      <c r="B29" s="996" t="s">
        <v>460</v>
      </c>
      <c r="C29" s="816">
        <f>'比较法-办公'!C37</f>
        <v>0.97</v>
      </c>
      <c r="D29" s="777">
        <v>100</v>
      </c>
      <c r="E29" s="816">
        <v>1</v>
      </c>
      <c r="F29" s="803">
        <f>LOOKUP(E29,86:86,87:87)-LOOKUP(C29,86:86,87:87)+100</f>
        <v>100</v>
      </c>
      <c r="G29" s="816">
        <v>1</v>
      </c>
      <c r="H29" s="803">
        <f>LOOKUP(G29,86:86,87:87)-LOOKUP(C29,86:86,87:87)+100</f>
        <v>100</v>
      </c>
      <c r="I29" s="816">
        <v>1</v>
      </c>
      <c r="J29" s="777">
        <f>LOOKUP(I29,86:86,87:87)-LOOKUP(C29,86:86,87:87)+100</f>
        <v>100</v>
      </c>
      <c r="K29" s="954"/>
      <c r="L29" s="2354"/>
      <c r="M29" s="2345"/>
      <c r="N29" s="2345"/>
      <c r="O29" s="2345"/>
      <c r="P29" s="3883"/>
      <c r="Q29" s="2827" t="str">
        <f t="shared" si="11"/>
        <v>成新率</v>
      </c>
      <c r="R29" s="1323" t="s">
        <v>63</v>
      </c>
      <c r="S29" s="1324">
        <f t="shared" si="12"/>
        <v>100</v>
      </c>
      <c r="T29" s="1323" t="s">
        <v>63</v>
      </c>
      <c r="U29" s="1324">
        <f t="shared" si="13"/>
        <v>100</v>
      </c>
      <c r="V29" s="1323" t="s">
        <v>63</v>
      </c>
      <c r="W29" s="1324">
        <f t="shared" si="14"/>
        <v>100</v>
      </c>
      <c r="X29" s="2826"/>
      <c r="Y29" s="3883"/>
      <c r="Z29" s="2828" t="str">
        <f t="shared" si="15"/>
        <v>成新率</v>
      </c>
      <c r="AA29" s="1326">
        <f t="shared" si="3"/>
        <v>1</v>
      </c>
      <c r="AB29" s="1326">
        <f t="shared" si="4"/>
        <v>1</v>
      </c>
      <c r="AC29" s="1326">
        <f t="shared" si="5"/>
        <v>1</v>
      </c>
    </row>
    <row r="30" spans="1:29" ht="15">
      <c r="A30" s="998"/>
      <c r="B30" s="996" t="s">
        <v>461</v>
      </c>
      <c r="C30" s="999" t="s">
        <v>3962</v>
      </c>
      <c r="D30" s="777">
        <v>100</v>
      </c>
      <c r="E30" s="999" t="s">
        <v>3962</v>
      </c>
      <c r="F30" s="803">
        <f>SUMIF(88:88,E30,89:89)-SUMIF(88:88,C30,89:89)+100</f>
        <v>100</v>
      </c>
      <c r="G30" s="999" t="s">
        <v>3962</v>
      </c>
      <c r="H30" s="777">
        <f>SUMIF(88:88,E30,89:89)-SUMIF(88:88,C30,89:89)+100</f>
        <v>100</v>
      </c>
      <c r="I30" s="999" t="s">
        <v>3962</v>
      </c>
      <c r="J30" s="777">
        <f>SUMIF(88:88,E30,89:89)-SUMIF(88:88,C30,89:89)+100</f>
        <v>100</v>
      </c>
      <c r="K30" s="954"/>
      <c r="L30" s="2354"/>
      <c r="M30" s="2345"/>
      <c r="N30" s="2345"/>
      <c r="O30" s="2345"/>
      <c r="P30" s="3883"/>
      <c r="Q30" s="2827" t="str">
        <f t="shared" si="11"/>
        <v>物业等级</v>
      </c>
      <c r="R30" s="1323" t="s">
        <v>63</v>
      </c>
      <c r="S30" s="1324">
        <f t="shared" si="12"/>
        <v>100</v>
      </c>
      <c r="T30" s="1323" t="s">
        <v>63</v>
      </c>
      <c r="U30" s="1324">
        <f t="shared" si="13"/>
        <v>100</v>
      </c>
      <c r="V30" s="1323" t="s">
        <v>63</v>
      </c>
      <c r="W30" s="1324">
        <f t="shared" si="14"/>
        <v>100</v>
      </c>
      <c r="X30" s="2826"/>
      <c r="Y30" s="3883"/>
      <c r="Z30" s="2828" t="str">
        <f t="shared" si="15"/>
        <v>物业等级</v>
      </c>
      <c r="AA30" s="1326">
        <f t="shared" si="3"/>
        <v>1</v>
      </c>
      <c r="AB30" s="1326">
        <f t="shared" si="4"/>
        <v>1</v>
      </c>
      <c r="AC30" s="1326">
        <f t="shared" si="5"/>
        <v>1</v>
      </c>
    </row>
    <row r="31" spans="1:29" s="407" customFormat="1" ht="15">
      <c r="A31" s="1000"/>
      <c r="B31" s="996" t="s">
        <v>462</v>
      </c>
      <c r="C31" s="811">
        <v>30</v>
      </c>
      <c r="D31" s="426">
        <v>100</v>
      </c>
      <c r="E31" s="811">
        <v>30</v>
      </c>
      <c r="F31" s="803">
        <f>LOOKUP(E31,91:91,92:92)-LOOKUP(C31,91:91,92:92)+100</f>
        <v>100</v>
      </c>
      <c r="G31" s="811">
        <v>30</v>
      </c>
      <c r="H31" s="777">
        <f>LOOKUP(G31,91:91,92:92)-LOOKUP(C31,91:91,92:92)+100</f>
        <v>100</v>
      </c>
      <c r="I31" s="811">
        <v>30</v>
      </c>
      <c r="J31" s="777">
        <f>LOOKUP(I31,91:91,92:92)-LOOKUP(C31,91:91,92:92)+100</f>
        <v>100</v>
      </c>
      <c r="K31" s="954"/>
      <c r="L31" s="2346"/>
      <c r="M31" s="2347"/>
      <c r="N31" s="2347"/>
      <c r="O31" s="2347"/>
      <c r="P31" s="3883"/>
      <c r="Q31" s="2825" t="str">
        <f t="shared" si="11"/>
        <v>停车位面积</v>
      </c>
      <c r="R31" s="1318" t="s">
        <v>63</v>
      </c>
      <c r="S31" s="1319">
        <f t="shared" si="12"/>
        <v>100</v>
      </c>
      <c r="T31" s="1318" t="s">
        <v>63</v>
      </c>
      <c r="U31" s="1319">
        <f t="shared" si="13"/>
        <v>100</v>
      </c>
      <c r="V31" s="1318" t="s">
        <v>63</v>
      </c>
      <c r="W31" s="1319">
        <f t="shared" si="14"/>
        <v>100</v>
      </c>
      <c r="X31" s="1320"/>
      <c r="Y31" s="3883"/>
      <c r="Z31" s="344" t="str">
        <f t="shared" si="15"/>
        <v>停车位面积</v>
      </c>
      <c r="AA31" s="1321">
        <f t="shared" si="3"/>
        <v>1</v>
      </c>
      <c r="AB31" s="1321">
        <f t="shared" si="4"/>
        <v>1</v>
      </c>
      <c r="AC31" s="1321">
        <f t="shared" si="5"/>
        <v>1</v>
      </c>
    </row>
    <row r="32" spans="1:29" ht="15">
      <c r="A32" s="998"/>
      <c r="B32" s="996" t="s">
        <v>463</v>
      </c>
      <c r="C32" s="802" t="s">
        <v>3992</v>
      </c>
      <c r="D32" s="777">
        <v>100</v>
      </c>
      <c r="E32" s="802" t="s">
        <v>3992</v>
      </c>
      <c r="F32" s="803">
        <f>SUMIF(93:93,E32,94:94)-SUMIF(93:93,C32,94:94)+100</f>
        <v>100</v>
      </c>
      <c r="G32" s="802" t="s">
        <v>3992</v>
      </c>
      <c r="H32" s="777">
        <f>SUMIF(93:93,G32,94:94)-SUMIF(93:93,C32,94:94)+100</f>
        <v>100</v>
      </c>
      <c r="I32" s="802" t="s">
        <v>3992</v>
      </c>
      <c r="J32" s="777">
        <f>SUMIF(93:93,I32,94:94)-SUMIF(93:93,C32,94:94)+100</f>
        <v>100</v>
      </c>
      <c r="K32" s="954"/>
      <c r="L32" s="2354"/>
      <c r="M32" s="2345"/>
      <c r="N32" s="2345"/>
      <c r="O32" s="2345"/>
      <c r="P32" s="3883" t="s">
        <v>407</v>
      </c>
      <c r="Q32" s="2827" t="str">
        <f t="shared" si="11"/>
        <v>车位类型</v>
      </c>
      <c r="R32" s="1323" t="s">
        <v>63</v>
      </c>
      <c r="S32" s="1324">
        <f t="shared" si="12"/>
        <v>100</v>
      </c>
      <c r="T32" s="1323" t="s">
        <v>63</v>
      </c>
      <c r="U32" s="1324">
        <f t="shared" si="13"/>
        <v>100</v>
      </c>
      <c r="V32" s="1323" t="s">
        <v>63</v>
      </c>
      <c r="W32" s="1324">
        <f t="shared" si="14"/>
        <v>100</v>
      </c>
      <c r="X32" s="2826"/>
      <c r="Y32" s="3883" t="s">
        <v>407</v>
      </c>
      <c r="Z32" s="2828" t="str">
        <f t="shared" si="15"/>
        <v>车位类型</v>
      </c>
      <c r="AA32" s="1326">
        <f t="shared" si="3"/>
        <v>1</v>
      </c>
      <c r="AB32" s="1326">
        <f t="shared" si="4"/>
        <v>1</v>
      </c>
      <c r="AC32" s="1326">
        <f t="shared" si="5"/>
        <v>1</v>
      </c>
    </row>
    <row r="33" spans="1:29" ht="15.75" thickBot="1">
      <c r="A33" s="998"/>
      <c r="B33" s="996" t="s">
        <v>464</v>
      </c>
      <c r="C33" s="802" t="s">
        <v>3048</v>
      </c>
      <c r="D33" s="777">
        <v>100</v>
      </c>
      <c r="E33" s="802" t="s">
        <v>3048</v>
      </c>
      <c r="F33" s="803">
        <f>SUMIF(95:95,E33,96:96)-SUMIF(95:95,C33,96:96)+100</f>
        <v>100</v>
      </c>
      <c r="G33" s="802" t="s">
        <v>3048</v>
      </c>
      <c r="H33" s="777">
        <f>SUMIF(95:95,G33,96:96)-SUMIF(95:95,C33,96:96)+100</f>
        <v>100</v>
      </c>
      <c r="I33" s="802" t="s">
        <v>3048</v>
      </c>
      <c r="J33" s="777">
        <f>SUMIF(95:95,I33,96:96)-SUMIF(95:95,C33,96:96)+100</f>
        <v>100</v>
      </c>
      <c r="K33" s="954"/>
      <c r="L33" s="2354"/>
      <c r="M33" s="2345"/>
      <c r="N33" s="2345"/>
      <c r="O33" s="2345"/>
      <c r="P33" s="3883"/>
      <c r="Q33" s="2827" t="str">
        <f t="shared" si="11"/>
        <v>是否直接入户</v>
      </c>
      <c r="R33" s="1323" t="s">
        <v>63</v>
      </c>
      <c r="S33" s="1324">
        <f t="shared" si="12"/>
        <v>100</v>
      </c>
      <c r="T33" s="1323" t="s">
        <v>63</v>
      </c>
      <c r="U33" s="1324">
        <f t="shared" si="13"/>
        <v>100</v>
      </c>
      <c r="V33" s="1323" t="s">
        <v>63</v>
      </c>
      <c r="W33" s="1324">
        <f t="shared" si="14"/>
        <v>100</v>
      </c>
      <c r="X33" s="2826"/>
      <c r="Y33" s="3883"/>
      <c r="Z33" s="2828" t="str">
        <f t="shared" si="15"/>
        <v>是否直接入户</v>
      </c>
      <c r="AA33" s="1326">
        <f t="shared" si="3"/>
        <v>1</v>
      </c>
      <c r="AB33" s="1326">
        <f t="shared" si="4"/>
        <v>1</v>
      </c>
      <c r="AC33" s="1326">
        <f t="shared" si="5"/>
        <v>1</v>
      </c>
    </row>
    <row r="34" spans="1:29" ht="15" hidden="1">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4"/>
      <c r="M34" s="2345"/>
      <c r="N34" s="2345"/>
      <c r="O34" s="2345"/>
      <c r="P34" s="3883"/>
      <c r="Q34" s="2827">
        <f t="shared" si="11"/>
        <v>111</v>
      </c>
      <c r="R34" s="1323" t="s">
        <v>63</v>
      </c>
      <c r="S34" s="1324">
        <f t="shared" si="12"/>
        <v>100</v>
      </c>
      <c r="T34" s="1323" t="s">
        <v>63</v>
      </c>
      <c r="U34" s="1324">
        <f t="shared" si="13"/>
        <v>100</v>
      </c>
      <c r="V34" s="1323" t="s">
        <v>63</v>
      </c>
      <c r="W34" s="1324">
        <f t="shared" si="14"/>
        <v>100</v>
      </c>
      <c r="X34" s="2826"/>
      <c r="Y34" s="3883"/>
      <c r="Z34" s="2828">
        <f t="shared" si="15"/>
        <v>111</v>
      </c>
      <c r="AA34" s="1326">
        <f t="shared" si="3"/>
        <v>1</v>
      </c>
      <c r="AB34" s="1326">
        <f t="shared" si="4"/>
        <v>1</v>
      </c>
      <c r="AC34" s="1326">
        <f t="shared" si="5"/>
        <v>1</v>
      </c>
    </row>
    <row r="35" spans="1:29" s="813" customFormat="1" ht="15" hidden="1">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2"/>
      <c r="M35" s="2355"/>
      <c r="N35" s="2355"/>
      <c r="O35" s="2355"/>
      <c r="P35" s="3883"/>
      <c r="Q35" s="1327">
        <f t="shared" si="11"/>
        <v>111</v>
      </c>
      <c r="R35" s="1328" t="s">
        <v>63</v>
      </c>
      <c r="S35" s="1329">
        <f t="shared" si="12"/>
        <v>100</v>
      </c>
      <c r="T35" s="1328" t="s">
        <v>63</v>
      </c>
      <c r="U35" s="1329">
        <f t="shared" si="13"/>
        <v>100</v>
      </c>
      <c r="V35" s="1328" t="s">
        <v>63</v>
      </c>
      <c r="W35" s="1329">
        <f t="shared" si="14"/>
        <v>100</v>
      </c>
      <c r="X35" s="1330"/>
      <c r="Y35" s="3883"/>
      <c r="Z35" s="1331">
        <f t="shared" si="15"/>
        <v>111</v>
      </c>
      <c r="AA35" s="1326">
        <f t="shared" si="3"/>
        <v>1</v>
      </c>
      <c r="AB35" s="1326">
        <f t="shared" si="4"/>
        <v>1</v>
      </c>
      <c r="AC35" s="1326">
        <f t="shared" si="5"/>
        <v>1</v>
      </c>
    </row>
    <row r="36" spans="1:29" ht="15.75" hidden="1"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4"/>
      <c r="M36" s="2345"/>
      <c r="N36" s="2345"/>
      <c r="O36" s="2345"/>
      <c r="P36" s="3883"/>
      <c r="Q36" s="2827">
        <f t="shared" si="11"/>
        <v>111</v>
      </c>
      <c r="R36" s="1323" t="s">
        <v>63</v>
      </c>
      <c r="S36" s="1324">
        <f t="shared" si="12"/>
        <v>100</v>
      </c>
      <c r="T36" s="1323" t="s">
        <v>63</v>
      </c>
      <c r="U36" s="1324">
        <f t="shared" si="13"/>
        <v>100</v>
      </c>
      <c r="V36" s="1323" t="s">
        <v>63</v>
      </c>
      <c r="W36" s="1324">
        <f t="shared" si="14"/>
        <v>100</v>
      </c>
      <c r="X36" s="2826"/>
      <c r="Y36" s="3883"/>
      <c r="Z36" s="2828">
        <f t="shared" si="15"/>
        <v>111</v>
      </c>
      <c r="AA36" s="1326">
        <f t="shared" si="3"/>
        <v>1</v>
      </c>
      <c r="AB36" s="1326">
        <f t="shared" si="4"/>
        <v>1</v>
      </c>
      <c r="AC36" s="1326">
        <f t="shared" si="5"/>
        <v>1</v>
      </c>
    </row>
    <row r="37" spans="1:29" ht="15">
      <c r="A37" s="163" t="s">
        <v>2129</v>
      </c>
      <c r="B37" s="2095" t="s">
        <v>2130</v>
      </c>
      <c r="C37" s="2829" t="s">
        <v>23</v>
      </c>
      <c r="D37" s="2830"/>
      <c r="E37" s="2831">
        <f>ROUND(145000*0.97,0)</f>
        <v>140650</v>
      </c>
      <c r="F37" s="2832"/>
      <c r="G37" s="2833">
        <f>ROUND(150000*0.97,0)</f>
        <v>145500</v>
      </c>
      <c r="H37" s="2834"/>
      <c r="I37" s="2831">
        <f>ROUND(135000*0.98,0)</f>
        <v>132300</v>
      </c>
      <c r="J37" s="2834"/>
      <c r="K37" s="961"/>
      <c r="L37" s="2357"/>
      <c r="M37" s="2358"/>
      <c r="N37" s="2345"/>
      <c r="O37" s="2358"/>
      <c r="P37" s="3865" t="str">
        <f>A37</f>
        <v>成交单价</v>
      </c>
      <c r="Q37" s="3865"/>
      <c r="R37" s="3884">
        <f>E37</f>
        <v>140650</v>
      </c>
      <c r="S37" s="3884"/>
      <c r="T37" s="3884">
        <f>G37</f>
        <v>145500</v>
      </c>
      <c r="U37" s="3884"/>
      <c r="V37" s="3884">
        <f>I37</f>
        <v>132300</v>
      </c>
      <c r="W37" s="3884"/>
      <c r="X37" s="1306"/>
      <c r="Y37" s="1332"/>
      <c r="Z37" s="1306"/>
      <c r="AA37" s="1306"/>
      <c r="AB37" s="1306"/>
      <c r="AC37" s="1306"/>
    </row>
    <row r="38" spans="1:29" ht="15.75" thickBot="1">
      <c r="A38" s="828" t="s">
        <v>409</v>
      </c>
      <c r="B38" s="166" t="str">
        <f>B37</f>
        <v>元/车位</v>
      </c>
      <c r="C38" s="2835">
        <f>R39</f>
        <v>135552</v>
      </c>
      <c r="D38" s="2836"/>
      <c r="E38" s="2837">
        <f>R38</f>
        <v>136686</v>
      </c>
      <c r="F38" s="2837"/>
      <c r="G38" s="2835">
        <f>T38</f>
        <v>141399</v>
      </c>
      <c r="H38" s="2836"/>
      <c r="I38" s="2837">
        <f>V38</f>
        <v>128571</v>
      </c>
      <c r="J38" s="2836"/>
      <c r="K38" s="962"/>
      <c r="L38" s="2357"/>
      <c r="M38" s="2358"/>
      <c r="N38" s="2358"/>
      <c r="O38" s="2358"/>
      <c r="P38" s="3865" t="str">
        <f>A38</f>
        <v>比较价值（元/平方米）</v>
      </c>
      <c r="Q38" s="3865"/>
      <c r="R38" s="3884">
        <f>IF(F1="售价",ROUND(PRODUCT(R37,AA7:AA36),0),ROUND(PRODUCT(R37,AA7:AA36),1))</f>
        <v>136686</v>
      </c>
      <c r="S38" s="3884"/>
      <c r="T38" s="3884">
        <f>IF(F1="售价",ROUND(PRODUCT(T37,AB7:AB36),0),ROUND(PRODUCT(T37,AB7:AB36),1))</f>
        <v>141399</v>
      </c>
      <c r="U38" s="3884"/>
      <c r="V38" s="3884">
        <f>IF(F1="售价",ROUND(PRODUCT(V37,AC7:AC36),0),ROUND(PRODUCT(V37,AC7:AC36),1))</f>
        <v>128571</v>
      </c>
      <c r="W38" s="3884"/>
      <c r="X38" s="1306"/>
      <c r="Y38" s="1306"/>
      <c r="Z38" s="1306"/>
      <c r="AA38" s="1306"/>
      <c r="AB38" s="1306"/>
      <c r="AC38" s="1306"/>
    </row>
    <row r="39" spans="1:29" ht="15.75" thickBot="1">
      <c r="A39" s="834" t="s">
        <v>3015</v>
      </c>
      <c r="B39" s="835"/>
      <c r="C39" s="2839">
        <f>R39</f>
        <v>135552</v>
      </c>
      <c r="D39" s="2839"/>
      <c r="E39" s="2839"/>
      <c r="F39" s="2839"/>
      <c r="G39" s="2839"/>
      <c r="H39" s="2839"/>
      <c r="I39" s="2839"/>
      <c r="J39" s="2839"/>
      <c r="K39" s="963"/>
      <c r="L39" s="2357"/>
      <c r="M39" s="2358"/>
      <c r="N39" s="2358"/>
      <c r="O39" s="2358"/>
      <c r="P39" s="3885" t="str">
        <f>A39</f>
        <v>估价对象XX用房的比较价值（楼面单价，元/平方米）</v>
      </c>
      <c r="Q39" s="3886"/>
      <c r="R39" s="3887">
        <f>IF(F1="售价",ROUND(AVERAGE(R38:V38),0),ROUND(AVERAGE(R38:V38),1))</f>
        <v>135552</v>
      </c>
      <c r="S39" s="3887"/>
      <c r="T39" s="3887"/>
      <c r="U39" s="3887"/>
      <c r="V39" s="3887"/>
      <c r="W39" s="3887"/>
      <c r="X39" s="1306"/>
      <c r="Y39" s="1306"/>
      <c r="Z39" s="1306"/>
      <c r="AA39" s="1306"/>
      <c r="AB39" s="1306"/>
      <c r="AC39" s="1306"/>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9" t="s">
        <v>410</v>
      </c>
      <c r="D42" s="840"/>
      <c r="E42" s="841">
        <f>IF(E37&lt;E38,E38/E37-1,E37/E38-1)</f>
        <v>2.9000775500051201E-2</v>
      </c>
      <c r="F42" s="842" t="str">
        <f>IF(OR(E42&gt;=0.3,E42&lt;=-0.3),"超过30%","")</f>
        <v/>
      </c>
      <c r="G42" s="841">
        <f>IF(G37&lt;G38,G38/G37-1,G37/G38-1)</f>
        <v>2.9003033967708314E-2</v>
      </c>
      <c r="H42" s="842" t="str">
        <f>IF(OR(G42&gt;=0.3,G42&lt;=-0.3),"超过30%","")</f>
        <v/>
      </c>
      <c r="I42" s="841">
        <f>IF(I37&lt;I38,I38/I37-1,I37/I38-1)</f>
        <v>2.9003430011433462E-2</v>
      </c>
      <c r="J42" s="842" t="str">
        <f>IF(OR(I42&gt;=0.3,I42&lt;=-0.3),"超过30%","")</f>
        <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9" t="s">
        <v>411</v>
      </c>
      <c r="D43" s="843"/>
      <c r="E43" s="841">
        <f>IF(E38&lt;G38,G38/E38-1,E38/G38-1)</f>
        <v>3.4480488126070075E-2</v>
      </c>
      <c r="F43" s="842" t="str">
        <f>IF(OR(E43&gt;=0.2,E43&lt;=-0.2),"超过20%","")</f>
        <v/>
      </c>
      <c r="G43" s="841">
        <f>IF(G38&lt;I38,I38/G38-1,G38/I38-1)</f>
        <v>9.97736659122197E-2</v>
      </c>
      <c r="H43" s="842" t="str">
        <f>IF(OR(G43&gt;=0.2,G43&lt;=-0.2),"超过20%","")</f>
        <v/>
      </c>
      <c r="I43" s="841">
        <f>IF(I38&lt;E38,E38/I38-1,I38/E38-1)</f>
        <v>6.3116877056256904E-2</v>
      </c>
      <c r="J43" s="842" t="str">
        <f>IF(OR(I43&gt;=0.2,I43&lt;=-0.2),"超过20%","")</f>
        <v/>
      </c>
      <c r="K43" s="2184"/>
      <c r="L43" s="2185"/>
      <c r="M43" s="2358"/>
      <c r="N43" s="2358"/>
      <c r="O43" s="2358"/>
      <c r="P43" s="2842"/>
      <c r="Q43" s="2358"/>
      <c r="R43" s="2358"/>
      <c r="S43" s="2358"/>
      <c r="T43" s="2358"/>
      <c r="U43" s="2358"/>
      <c r="V43" s="2358"/>
      <c r="W43" s="2358"/>
      <c r="X43" s="2358"/>
      <c r="Y43" s="2358"/>
      <c r="Z43" s="2358"/>
      <c r="AA43" s="2358"/>
      <c r="AB43" s="2358"/>
      <c r="AC43" s="2358"/>
    </row>
    <row r="44" spans="1:29" s="844" customFormat="1" ht="13.5" customHeight="1">
      <c r="A44" s="2359"/>
      <c r="B44" s="2359"/>
      <c r="C44" s="839" t="s">
        <v>412</v>
      </c>
      <c r="D44" s="843"/>
      <c r="E44" s="841">
        <f>IF(E37&lt;G37,G37/E37-1,E37/G37-1)</f>
        <v>3.4482758620689724E-2</v>
      </c>
      <c r="F44" s="842" t="str">
        <f>IF(OR(E44&gt;=0.3,E44&lt;=-0.3),"超过30%","")</f>
        <v/>
      </c>
      <c r="G44" s="841">
        <f>IF(G37&lt;I37,I37/G37-1,G37/I37-1)</f>
        <v>9.977324263038545E-2</v>
      </c>
      <c r="H44" s="842" t="str">
        <f>IF(OR(G44&gt;=0.3,G44&lt;=-0.3),"超过30%","")</f>
        <v/>
      </c>
      <c r="I44" s="841">
        <f>IF(I37&lt;E37,E37/I37-1,I37/E37-1)</f>
        <v>6.311413454270598E-2</v>
      </c>
      <c r="J44" s="842" t="str">
        <f>IF(OR(I44&gt;=0.3,I44&lt;=-0.3),"超过30%","")</f>
        <v/>
      </c>
      <c r="K44" s="2362"/>
      <c r="L44" s="2363"/>
      <c r="M44" s="2359"/>
      <c r="N44" s="2359"/>
      <c r="O44" s="2359"/>
      <c r="P44" s="2843"/>
      <c r="Q44" s="2359"/>
      <c r="R44" s="2359"/>
      <c r="S44" s="2359"/>
      <c r="T44" s="2359"/>
      <c r="U44" s="2359"/>
      <c r="V44" s="2359"/>
      <c r="W44" s="2359"/>
      <c r="X44" s="2359"/>
      <c r="Y44" s="2359"/>
      <c r="Z44" s="2359"/>
      <c r="AA44" s="2359"/>
      <c r="AB44" s="2359"/>
      <c r="AC44" s="2359"/>
    </row>
    <row r="45" spans="1:29" s="844"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413</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50" customFormat="1" ht="15">
      <c r="A48" s="847" t="s">
        <v>2789</v>
      </c>
      <c r="B48" s="848"/>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51"/>
      <c r="B49" s="852"/>
      <c r="C49" s="3026">
        <v>100</v>
      </c>
      <c r="D49" s="854"/>
      <c r="E49" s="854"/>
      <c r="F49" s="854"/>
      <c r="G49" s="854"/>
      <c r="H49" s="854"/>
      <c r="I49" s="854"/>
      <c r="J49" s="854"/>
      <c r="K49" s="854"/>
      <c r="L49" s="854"/>
      <c r="M49" s="855"/>
      <c r="N49" s="854"/>
      <c r="O49" s="855"/>
      <c r="P49" s="2850"/>
      <c r="Q49" s="2849"/>
      <c r="R49" s="2849"/>
      <c r="S49" s="2849"/>
      <c r="T49" s="2849"/>
      <c r="U49" s="2849"/>
      <c r="V49" s="2849"/>
      <c r="W49" s="2849"/>
      <c r="X49" s="2849"/>
      <c r="Y49" s="2849"/>
      <c r="Z49" s="2849"/>
      <c r="AA49" s="2849"/>
      <c r="AB49" s="2849"/>
      <c r="AC49" s="2849"/>
    </row>
    <row r="50" spans="1:29" s="407" customFormat="1" ht="15.75" thickBot="1">
      <c r="A50" s="857" t="s">
        <v>414</v>
      </c>
      <c r="B50" s="858"/>
      <c r="C50" s="859"/>
      <c r="D50" s="860"/>
      <c r="E50" s="860"/>
      <c r="F50" s="860"/>
      <c r="G50" s="860"/>
      <c r="H50" s="860"/>
      <c r="I50" s="860"/>
      <c r="J50" s="860"/>
      <c r="K50" s="860"/>
      <c r="L50" s="860"/>
      <c r="M50" s="861"/>
      <c r="N50" s="860"/>
      <c r="O50" s="861"/>
      <c r="P50" s="2850"/>
      <c r="Q50" s="2845"/>
      <c r="R50" s="2849"/>
      <c r="S50" s="2849"/>
      <c r="T50" s="2849"/>
      <c r="U50" s="2849"/>
      <c r="V50" s="2849"/>
      <c r="W50" s="2849"/>
      <c r="X50" s="2849"/>
      <c r="Y50" s="2849"/>
      <c r="Z50" s="2849"/>
      <c r="AA50" s="2849"/>
      <c r="AB50" s="2849"/>
      <c r="AC50" s="2849"/>
    </row>
    <row r="51" spans="1:29" s="407" customFormat="1" ht="15">
      <c r="A51" s="863" t="s">
        <v>398</v>
      </c>
      <c r="B51" s="852"/>
      <c r="C51" s="864" t="s">
        <v>415</v>
      </c>
      <c r="D51" s="865"/>
      <c r="E51" s="865"/>
      <c r="F51" s="865"/>
      <c r="G51" s="865"/>
      <c r="H51" s="865"/>
      <c r="I51" s="865"/>
      <c r="J51" s="865"/>
      <c r="K51" s="865"/>
      <c r="L51" s="866"/>
      <c r="M51" s="867"/>
      <c r="N51" s="2365"/>
      <c r="O51" s="2365"/>
      <c r="P51" s="2848"/>
      <c r="Q51" s="2845"/>
      <c r="R51" s="2849"/>
      <c r="S51" s="2849"/>
      <c r="T51" s="2849"/>
      <c r="U51" s="2849"/>
      <c r="V51" s="2849"/>
      <c r="W51" s="2849"/>
      <c r="X51" s="2849"/>
      <c r="Y51" s="2849"/>
      <c r="Z51" s="2849"/>
      <c r="AA51" s="2849"/>
      <c r="AB51" s="2849"/>
      <c r="AC51" s="2849"/>
    </row>
    <row r="52" spans="1:29" s="407" customFormat="1" ht="15.75" thickBot="1">
      <c r="A52" s="863"/>
      <c r="B52" s="852"/>
      <c r="C52" s="981">
        <v>100</v>
      </c>
      <c r="D52" s="854"/>
      <c r="E52" s="854"/>
      <c r="F52" s="854"/>
      <c r="G52" s="854"/>
      <c r="H52" s="854"/>
      <c r="I52" s="854"/>
      <c r="J52" s="854"/>
      <c r="K52" s="854"/>
      <c r="L52" s="854"/>
      <c r="M52" s="856"/>
      <c r="N52" s="2365"/>
      <c r="O52" s="2365"/>
      <c r="P52" s="2850"/>
      <c r="Q52" s="2845"/>
      <c r="R52" s="2849"/>
      <c r="S52" s="2849"/>
      <c r="T52" s="2849"/>
      <c r="U52" s="2849"/>
      <c r="V52" s="2849"/>
      <c r="W52" s="2849"/>
      <c r="X52" s="2849"/>
      <c r="Y52" s="2849"/>
      <c r="Z52" s="2849"/>
      <c r="AA52" s="2849"/>
      <c r="AB52" s="2849"/>
      <c r="AC52" s="2849"/>
    </row>
    <row r="53" spans="1:29">
      <c r="A53" s="869" t="s">
        <v>416</v>
      </c>
      <c r="B53" s="870" t="s">
        <v>417</v>
      </c>
      <c r="C53" s="871" t="str">
        <f>C9</f>
        <v>地下车位</v>
      </c>
      <c r="D53" s="872"/>
      <c r="E53" s="872"/>
      <c r="F53" s="872"/>
      <c r="G53" s="872"/>
      <c r="H53" s="872"/>
      <c r="I53" s="872"/>
      <c r="J53" s="872"/>
      <c r="K53" s="873"/>
      <c r="L53" s="874"/>
      <c r="M53" s="875"/>
      <c r="N53" s="2366"/>
      <c r="O53" s="2366"/>
      <c r="P53" s="2851"/>
      <c r="Q53" s="2845"/>
      <c r="R53" s="2358"/>
      <c r="S53" s="2358"/>
      <c r="T53" s="2358"/>
      <c r="U53" s="2358"/>
      <c r="V53" s="2358"/>
      <c r="W53" s="2358"/>
      <c r="X53" s="2358"/>
      <c r="Y53" s="2358"/>
      <c r="Z53" s="2358"/>
      <c r="AA53" s="2358"/>
      <c r="AB53" s="2358"/>
      <c r="AC53" s="2358"/>
    </row>
    <row r="54" spans="1:29" ht="15.75" thickBot="1">
      <c r="A54" s="876"/>
      <c r="B54" s="877"/>
      <c r="C54" s="878">
        <v>100</v>
      </c>
      <c r="D54" s="878"/>
      <c r="E54" s="878"/>
      <c r="F54" s="878"/>
      <c r="G54" s="878"/>
      <c r="H54" s="878"/>
      <c r="I54" s="878"/>
      <c r="J54" s="878"/>
      <c r="K54" s="878"/>
      <c r="L54" s="878"/>
      <c r="M54" s="879"/>
      <c r="N54" s="2367"/>
      <c r="O54" s="2367"/>
      <c r="P54" s="2851"/>
      <c r="Q54" s="2845"/>
      <c r="R54" s="2358"/>
      <c r="S54" s="2358"/>
      <c r="T54" s="2358"/>
      <c r="U54" s="2358"/>
      <c r="V54" s="2358"/>
      <c r="W54" s="2358"/>
      <c r="X54" s="2358"/>
      <c r="Y54" s="2358"/>
      <c r="Z54" s="2358"/>
      <c r="AA54" s="2358"/>
      <c r="AB54" s="2358"/>
      <c r="AC54" s="2358"/>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6"/>
      <c r="O55" s="2366"/>
      <c r="P55" s="2851"/>
      <c r="Q55" s="2845"/>
      <c r="R55" s="2358"/>
      <c r="S55" s="2358"/>
      <c r="T55" s="2358"/>
      <c r="U55" s="2358"/>
      <c r="V55" s="2358"/>
      <c r="W55" s="2358"/>
      <c r="X55" s="2358"/>
      <c r="Y55" s="2358"/>
      <c r="Z55" s="2358"/>
      <c r="AA55" s="2358"/>
      <c r="AB55" s="2358"/>
      <c r="AC55" s="2358"/>
    </row>
    <row r="56" spans="1:29" ht="15.75" thickBot="1">
      <c r="A56" s="876"/>
      <c r="B56" s="885"/>
      <c r="C56" s="886" t="s">
        <v>136</v>
      </c>
      <c r="D56" s="886" t="s">
        <v>137</v>
      </c>
      <c r="E56" s="886">
        <v>100</v>
      </c>
      <c r="F56" s="886">
        <f>E56-$K10</f>
        <v>95</v>
      </c>
      <c r="G56" s="886">
        <f>F56-$K10</f>
        <v>90</v>
      </c>
      <c r="H56" s="886">
        <f>G56-$K10</f>
        <v>85</v>
      </c>
      <c r="I56" s="886">
        <f>H56-$K10</f>
        <v>80</v>
      </c>
      <c r="J56" s="886"/>
      <c r="K56" s="886"/>
      <c r="L56" s="886"/>
      <c r="M56" s="887"/>
      <c r="N56" s="2367"/>
      <c r="O56" s="2367"/>
      <c r="P56" s="2851"/>
      <c r="Q56" s="2845"/>
      <c r="R56" s="2358"/>
      <c r="S56" s="2358"/>
      <c r="T56" s="2358"/>
      <c r="U56" s="2358"/>
      <c r="V56" s="2358"/>
      <c r="W56" s="2358"/>
      <c r="X56" s="2358"/>
      <c r="Y56" s="2358"/>
      <c r="Z56" s="2358"/>
      <c r="AA56" s="2358"/>
      <c r="AB56" s="2358"/>
      <c r="AC56" s="2358"/>
    </row>
    <row r="57" spans="1:29" ht="15.75" hidden="1" thickTop="1">
      <c r="A57" s="876"/>
      <c r="B57" s="1002">
        <f>B11</f>
        <v>111</v>
      </c>
      <c r="C57" s="891"/>
      <c r="D57" s="891"/>
      <c r="E57" s="891"/>
      <c r="F57" s="891"/>
      <c r="G57" s="891"/>
      <c r="H57" s="891"/>
      <c r="I57" s="891"/>
      <c r="J57" s="891"/>
      <c r="K57" s="892"/>
      <c r="L57" s="893"/>
      <c r="M57" s="894"/>
      <c r="N57" s="2366"/>
      <c r="O57" s="2366"/>
      <c r="P57" s="2851"/>
      <c r="Q57" s="2845"/>
      <c r="R57" s="2358"/>
      <c r="S57" s="2358"/>
      <c r="T57" s="2358"/>
      <c r="U57" s="2358"/>
      <c r="V57" s="2358"/>
      <c r="W57" s="2358"/>
      <c r="X57" s="2358"/>
      <c r="Y57" s="2358"/>
      <c r="Z57" s="2358"/>
      <c r="AA57" s="2358"/>
      <c r="AB57" s="2358"/>
      <c r="AC57" s="2358"/>
    </row>
    <row r="58" spans="1:29" ht="15.75" hidden="1" thickBot="1">
      <c r="A58" s="876"/>
      <c r="B58" s="877"/>
      <c r="C58" s="902"/>
      <c r="D58" s="878"/>
      <c r="E58" s="878"/>
      <c r="F58" s="878"/>
      <c r="G58" s="878"/>
      <c r="H58" s="878"/>
      <c r="I58" s="878"/>
      <c r="J58" s="878"/>
      <c r="K58" s="878"/>
      <c r="L58" s="878"/>
      <c r="M58" s="879"/>
      <c r="N58" s="2367"/>
      <c r="O58" s="2367"/>
      <c r="P58" s="2851"/>
      <c r="Q58" s="2845"/>
      <c r="R58" s="2358"/>
      <c r="S58" s="2358"/>
      <c r="T58" s="2358"/>
      <c r="U58" s="2358"/>
      <c r="V58" s="2358"/>
      <c r="W58" s="2358"/>
      <c r="X58" s="2358"/>
      <c r="Y58" s="2358"/>
      <c r="Z58" s="2358"/>
      <c r="AA58" s="2358"/>
      <c r="AB58" s="2358"/>
      <c r="AC58" s="2358"/>
    </row>
    <row r="59" spans="1:29" s="813" customFormat="1" ht="15.75" hidden="1" thickTop="1">
      <c r="A59" s="895"/>
      <c r="B59" s="880">
        <f>B12</f>
        <v>111</v>
      </c>
      <c r="C59" s="891"/>
      <c r="D59" s="891"/>
      <c r="E59" s="891"/>
      <c r="F59" s="891"/>
      <c r="G59" s="896"/>
      <c r="H59" s="897"/>
      <c r="I59" s="897"/>
      <c r="J59" s="897"/>
      <c r="K59" s="897"/>
      <c r="L59" s="898"/>
      <c r="M59" s="899"/>
      <c r="N59" s="2368"/>
      <c r="O59" s="2368"/>
      <c r="P59" s="2852"/>
      <c r="Q59" s="2853"/>
      <c r="R59" s="2854"/>
      <c r="S59" s="2854"/>
      <c r="T59" s="2854"/>
      <c r="U59" s="2854"/>
      <c r="V59" s="2854"/>
      <c r="W59" s="2854"/>
      <c r="X59" s="2854"/>
      <c r="Y59" s="2854"/>
      <c r="Z59" s="2854"/>
      <c r="AA59" s="2854"/>
      <c r="AB59" s="2854"/>
      <c r="AC59" s="2854"/>
    </row>
    <row r="60" spans="1:29" s="813" customFormat="1" ht="15.75" hidden="1" thickBot="1">
      <c r="A60" s="895"/>
      <c r="B60" s="885"/>
      <c r="C60" s="902"/>
      <c r="D60" s="878"/>
      <c r="E60" s="878"/>
      <c r="F60" s="878"/>
      <c r="G60" s="878"/>
      <c r="H60" s="878"/>
      <c r="I60" s="878"/>
      <c r="J60" s="878"/>
      <c r="K60" s="878"/>
      <c r="L60" s="878"/>
      <c r="M60" s="879"/>
      <c r="N60" s="2367"/>
      <c r="O60" s="2367"/>
      <c r="P60" s="2852"/>
      <c r="Q60" s="2853"/>
      <c r="R60" s="2854"/>
      <c r="S60" s="2854"/>
      <c r="T60" s="2854"/>
      <c r="U60" s="2854"/>
      <c r="V60" s="2854"/>
      <c r="W60" s="2854"/>
      <c r="X60" s="2854"/>
      <c r="Y60" s="2854"/>
      <c r="Z60" s="2854"/>
      <c r="AA60" s="2854"/>
      <c r="AB60" s="2854"/>
      <c r="AC60" s="2854"/>
    </row>
    <row r="61" spans="1:29" s="813" customFormat="1" ht="15.75" hidden="1" thickTop="1">
      <c r="A61" s="895"/>
      <c r="B61" s="880">
        <f>B13</f>
        <v>111</v>
      </c>
      <c r="C61" s="896"/>
      <c r="D61" s="896"/>
      <c r="E61" s="896"/>
      <c r="F61" s="896"/>
      <c r="G61" s="896"/>
      <c r="H61" s="897"/>
      <c r="I61" s="897"/>
      <c r="J61" s="897"/>
      <c r="K61" s="897"/>
      <c r="L61" s="898"/>
      <c r="M61" s="899"/>
      <c r="N61" s="2368"/>
      <c r="O61" s="2368"/>
      <c r="P61" s="2855"/>
      <c r="Q61" s="2856"/>
      <c r="R61" s="2854"/>
      <c r="S61" s="2854"/>
      <c r="T61" s="2854"/>
      <c r="U61" s="2854"/>
      <c r="V61" s="2854"/>
      <c r="W61" s="2854"/>
      <c r="X61" s="2854"/>
      <c r="Y61" s="2854"/>
      <c r="Z61" s="2854"/>
      <c r="AA61" s="2854"/>
      <c r="AB61" s="2854"/>
      <c r="AC61" s="2854"/>
    </row>
    <row r="62" spans="1:29" s="813" customFormat="1" ht="15.75" hidden="1" thickBot="1">
      <c r="A62" s="895"/>
      <c r="B62" s="885"/>
      <c r="C62" s="902"/>
      <c r="D62" s="902"/>
      <c r="E62" s="902"/>
      <c r="F62" s="902"/>
      <c r="G62" s="902"/>
      <c r="H62" s="904"/>
      <c r="I62" s="904"/>
      <c r="J62" s="904"/>
      <c r="K62" s="904"/>
      <c r="L62" s="904"/>
      <c r="M62" s="905"/>
      <c r="N62" s="2368"/>
      <c r="O62" s="2368"/>
      <c r="P62" s="2852"/>
      <c r="Q62" s="2853"/>
      <c r="R62" s="2854"/>
      <c r="S62" s="2854"/>
      <c r="T62" s="2854"/>
      <c r="U62" s="2854"/>
      <c r="V62" s="2854"/>
      <c r="W62" s="2854"/>
      <c r="X62" s="2854"/>
      <c r="Y62" s="2854"/>
      <c r="Z62" s="2854"/>
      <c r="AA62" s="2854"/>
      <c r="AB62" s="2854"/>
      <c r="AC62" s="2854"/>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6"/>
      <c r="O63" s="2366"/>
      <c r="P63" s="2857"/>
      <c r="Q63" s="2845"/>
      <c r="R63" s="2358"/>
      <c r="S63" s="2358"/>
      <c r="T63" s="2358"/>
      <c r="U63" s="2358"/>
      <c r="V63" s="2358"/>
      <c r="W63" s="2358"/>
      <c r="X63" s="2358"/>
      <c r="Y63" s="2358"/>
      <c r="Z63" s="2358"/>
      <c r="AA63" s="2358"/>
      <c r="AB63" s="2358"/>
      <c r="AC63" s="2358"/>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7"/>
      <c r="O64" s="2367"/>
      <c r="P64" s="2851"/>
      <c r="Q64" s="2845"/>
      <c r="R64" s="2358"/>
      <c r="S64" s="2358"/>
      <c r="T64" s="2358"/>
      <c r="U64" s="2358"/>
      <c r="V64" s="2358"/>
      <c r="W64" s="2358"/>
      <c r="X64" s="2358"/>
      <c r="Y64" s="2358"/>
      <c r="Z64" s="2358"/>
      <c r="AA64" s="2358"/>
      <c r="AB64" s="2358"/>
      <c r="AC64" s="2358"/>
    </row>
    <row r="65" spans="1:29" ht="15.75" thickTop="1">
      <c r="A65" s="876"/>
      <c r="B65" s="1053" t="s">
        <v>2632</v>
      </c>
      <c r="C65" s="920" t="s">
        <v>423</v>
      </c>
      <c r="D65" s="920" t="s">
        <v>424</v>
      </c>
      <c r="E65" s="920" t="s">
        <v>425</v>
      </c>
      <c r="F65" s="920" t="s">
        <v>426</v>
      </c>
      <c r="G65" s="920" t="s">
        <v>427</v>
      </c>
      <c r="H65" s="881"/>
      <c r="I65" s="881"/>
      <c r="J65" s="881"/>
      <c r="K65" s="882"/>
      <c r="L65" s="883"/>
      <c r="M65" s="884"/>
      <c r="N65" s="2366"/>
      <c r="O65" s="2366"/>
      <c r="P65" s="2851"/>
      <c r="Q65" s="2845"/>
      <c r="R65" s="2358"/>
      <c r="S65" s="2358"/>
      <c r="T65" s="2358"/>
      <c r="U65" s="2358"/>
      <c r="V65" s="2358"/>
      <c r="W65" s="2358"/>
      <c r="X65" s="2358"/>
      <c r="Y65" s="2358"/>
      <c r="Z65" s="2358"/>
      <c r="AA65" s="2358"/>
      <c r="AB65" s="2358"/>
      <c r="AC65" s="2358"/>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7"/>
      <c r="O66" s="2367"/>
      <c r="P66" s="2851"/>
      <c r="Q66" s="2845"/>
      <c r="R66" s="2358"/>
      <c r="S66" s="2358"/>
      <c r="T66" s="2358"/>
      <c r="U66" s="2358"/>
      <c r="V66" s="2358"/>
      <c r="W66" s="2358"/>
      <c r="X66" s="2358"/>
      <c r="Y66" s="2358"/>
      <c r="Z66" s="2358"/>
      <c r="AA66" s="2358"/>
      <c r="AB66" s="2358"/>
      <c r="AC66" s="2358"/>
    </row>
    <row r="67" spans="1:29" ht="15.75" thickTop="1">
      <c r="A67" s="876"/>
      <c r="B67" s="1055" t="s">
        <v>2662</v>
      </c>
      <c r="C67" s="213" t="s">
        <v>2652</v>
      </c>
      <c r="D67" s="213" t="s">
        <v>2653</v>
      </c>
      <c r="E67" s="213" t="s">
        <v>2654</v>
      </c>
      <c r="F67" s="213" t="s">
        <v>2655</v>
      </c>
      <c r="G67" s="213" t="s">
        <v>2656</v>
      </c>
      <c r="H67" s="881"/>
      <c r="I67" s="881"/>
      <c r="J67" s="881"/>
      <c r="K67" s="881"/>
      <c r="L67" s="881"/>
      <c r="M67" s="2761"/>
      <c r="N67" s="2367"/>
      <c r="O67" s="2367"/>
      <c r="P67" s="2851"/>
      <c r="Q67" s="2845"/>
      <c r="R67" s="2358"/>
      <c r="S67" s="2358"/>
      <c r="T67" s="2358"/>
      <c r="U67" s="2358"/>
      <c r="V67" s="2358"/>
      <c r="W67" s="2358"/>
      <c r="X67" s="2358"/>
      <c r="Y67" s="2358"/>
      <c r="Z67" s="2358"/>
      <c r="AA67" s="2358"/>
      <c r="AB67" s="2358"/>
      <c r="AC67" s="2358"/>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7"/>
      <c r="O68" s="2367"/>
      <c r="P68" s="2851"/>
      <c r="Q68" s="2845"/>
      <c r="R68" s="2358"/>
      <c r="S68" s="2358"/>
      <c r="T68" s="2358"/>
      <c r="U68" s="2358"/>
      <c r="V68" s="2358"/>
      <c r="W68" s="2358"/>
      <c r="X68" s="2358"/>
      <c r="Y68" s="2358"/>
      <c r="Z68" s="2358"/>
      <c r="AA68" s="2358"/>
      <c r="AB68" s="2358"/>
      <c r="AC68" s="2358"/>
    </row>
    <row r="69" spans="1:29" ht="15.75" thickTop="1">
      <c r="A69" s="876"/>
      <c r="B69" s="880" t="s">
        <v>430</v>
      </c>
      <c r="C69" s="920" t="s">
        <v>423</v>
      </c>
      <c r="D69" s="920" t="s">
        <v>424</v>
      </c>
      <c r="E69" s="920" t="s">
        <v>425</v>
      </c>
      <c r="F69" s="920" t="s">
        <v>426</v>
      </c>
      <c r="G69" s="920" t="s">
        <v>427</v>
      </c>
      <c r="H69" s="881"/>
      <c r="I69" s="881"/>
      <c r="J69" s="881"/>
      <c r="K69" s="882"/>
      <c r="L69" s="883"/>
      <c r="M69" s="884"/>
      <c r="N69" s="2366"/>
      <c r="O69" s="2366"/>
      <c r="P69" s="2851"/>
      <c r="Q69" s="2845"/>
      <c r="R69" s="2358"/>
      <c r="S69" s="2358"/>
      <c r="T69" s="2358"/>
      <c r="U69" s="2358"/>
      <c r="V69" s="2358"/>
      <c r="W69" s="2358"/>
      <c r="X69" s="2358"/>
      <c r="Y69" s="2358"/>
      <c r="Z69" s="2358"/>
      <c r="AA69" s="2358"/>
      <c r="AB69" s="2358"/>
      <c r="AC69" s="2358"/>
    </row>
    <row r="70" spans="1:29" ht="15.75" thickBot="1">
      <c r="A70" s="876"/>
      <c r="B70" s="885"/>
      <c r="C70" s="886">
        <v>100</v>
      </c>
      <c r="D70" s="886">
        <f>C70-$K20</f>
        <v>98</v>
      </c>
      <c r="E70" s="886">
        <f>D70-$K20</f>
        <v>96</v>
      </c>
      <c r="F70" s="886">
        <f>E70-$K20</f>
        <v>94</v>
      </c>
      <c r="G70" s="886">
        <f>F70-$K20</f>
        <v>92</v>
      </c>
      <c r="H70" s="886"/>
      <c r="I70" s="886"/>
      <c r="J70" s="886"/>
      <c r="K70" s="886"/>
      <c r="L70" s="886"/>
      <c r="M70" s="887"/>
      <c r="N70" s="2367"/>
      <c r="O70" s="2367"/>
      <c r="P70" s="2851"/>
      <c r="Q70" s="2845"/>
      <c r="R70" s="2358"/>
      <c r="S70" s="2358"/>
      <c r="T70" s="2358"/>
      <c r="U70" s="2358"/>
      <c r="V70" s="2358"/>
      <c r="W70" s="2358"/>
      <c r="X70" s="2358"/>
      <c r="Y70" s="2358"/>
      <c r="Z70" s="2358"/>
      <c r="AA70" s="2358"/>
      <c r="AB70" s="2358"/>
      <c r="AC70" s="2358"/>
    </row>
    <row r="71" spans="1:29" ht="15.75" thickTop="1">
      <c r="A71" s="876"/>
      <c r="B71" s="880" t="s">
        <v>431</v>
      </c>
      <c r="C71" s="896" t="s">
        <v>3987</v>
      </c>
      <c r="D71" s="896" t="s">
        <v>3988</v>
      </c>
      <c r="E71" s="896"/>
      <c r="F71" s="896"/>
      <c r="G71" s="896"/>
      <c r="H71" s="925"/>
      <c r="I71" s="925"/>
      <c r="J71" s="925"/>
      <c r="K71" s="926"/>
      <c r="L71" s="927"/>
      <c r="M71" s="928"/>
      <c r="N71" s="2366"/>
      <c r="O71" s="2366"/>
      <c r="P71" s="2851"/>
      <c r="Q71" s="2845"/>
      <c r="R71" s="2358"/>
      <c r="S71" s="2358"/>
      <c r="T71" s="2358"/>
      <c r="U71" s="2358"/>
      <c r="V71" s="2358"/>
      <c r="W71" s="2358"/>
      <c r="X71" s="2358"/>
      <c r="Y71" s="2358"/>
      <c r="Z71" s="2358"/>
      <c r="AA71" s="2358"/>
      <c r="AB71" s="2358"/>
      <c r="AC71" s="2358"/>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7"/>
      <c r="O72" s="2367"/>
      <c r="P72" s="2851"/>
      <c r="Q72" s="2845"/>
      <c r="R72" s="2358"/>
      <c r="S72" s="2358"/>
      <c r="T72" s="2358"/>
      <c r="U72" s="2358"/>
      <c r="V72" s="2358"/>
      <c r="W72" s="2358"/>
      <c r="X72" s="2358"/>
      <c r="Y72" s="2358"/>
      <c r="Z72" s="2358"/>
      <c r="AA72" s="2358"/>
      <c r="AB72" s="2358"/>
      <c r="AC72" s="2358"/>
    </row>
    <row r="73" spans="1:29" s="407" customFormat="1" ht="15.75" hidden="1" thickTop="1">
      <c r="A73" s="921"/>
      <c r="B73" s="880">
        <f>B23</f>
        <v>111</v>
      </c>
      <c r="C73" s="891"/>
      <c r="D73" s="891"/>
      <c r="E73" s="891"/>
      <c r="F73" s="891"/>
      <c r="G73" s="896"/>
      <c r="H73" s="896"/>
      <c r="I73" s="896"/>
      <c r="J73" s="896"/>
      <c r="K73" s="896"/>
      <c r="L73" s="922"/>
      <c r="M73" s="923"/>
      <c r="N73" s="2365"/>
      <c r="O73" s="2365"/>
      <c r="P73" s="2851"/>
      <c r="Q73" s="2845"/>
      <c r="R73" s="2849"/>
      <c r="S73" s="2849"/>
      <c r="T73" s="2849"/>
      <c r="U73" s="2849"/>
      <c r="V73" s="2849"/>
      <c r="W73" s="2849"/>
      <c r="X73" s="2849"/>
      <c r="Y73" s="2849"/>
      <c r="Z73" s="2849"/>
      <c r="AA73" s="2849"/>
      <c r="AB73" s="2849"/>
      <c r="AC73" s="2849"/>
    </row>
    <row r="74" spans="1:29" s="407" customFormat="1" ht="15.75" hidden="1" thickBot="1">
      <c r="A74" s="921"/>
      <c r="B74" s="885"/>
      <c r="C74" s="902"/>
      <c r="D74" s="878"/>
      <c r="E74" s="878"/>
      <c r="F74" s="878"/>
      <c r="G74" s="878"/>
      <c r="H74" s="878"/>
      <c r="I74" s="878"/>
      <c r="J74" s="878"/>
      <c r="K74" s="878"/>
      <c r="L74" s="878"/>
      <c r="M74" s="879"/>
      <c r="N74" s="2367"/>
      <c r="O74" s="2367"/>
      <c r="P74" s="2851"/>
      <c r="Q74" s="2845"/>
      <c r="R74" s="2849"/>
      <c r="S74" s="2849"/>
      <c r="T74" s="2849"/>
      <c r="U74" s="2849"/>
      <c r="V74" s="2849"/>
      <c r="W74" s="2849"/>
      <c r="X74" s="2849"/>
      <c r="Y74" s="2849"/>
      <c r="Z74" s="2849"/>
      <c r="AA74" s="2849"/>
      <c r="AB74" s="2849"/>
      <c r="AC74" s="2849"/>
    </row>
    <row r="75" spans="1:29" s="407" customFormat="1" ht="15.75" hidden="1" thickTop="1">
      <c r="A75" s="921"/>
      <c r="B75" s="880">
        <f>B24</f>
        <v>111</v>
      </c>
      <c r="C75" s="891"/>
      <c r="D75" s="891"/>
      <c r="E75" s="891"/>
      <c r="F75" s="891"/>
      <c r="G75" s="896"/>
      <c r="H75" s="896"/>
      <c r="I75" s="896"/>
      <c r="J75" s="896"/>
      <c r="K75" s="896"/>
      <c r="L75" s="896"/>
      <c r="M75" s="923"/>
      <c r="N75" s="2365"/>
      <c r="O75" s="2365"/>
      <c r="P75" s="2851"/>
      <c r="Q75" s="2845"/>
      <c r="R75" s="2849"/>
      <c r="S75" s="2849"/>
      <c r="T75" s="2849"/>
      <c r="U75" s="2849"/>
      <c r="V75" s="2849"/>
      <c r="W75" s="2849"/>
      <c r="X75" s="2849"/>
      <c r="Y75" s="2849"/>
      <c r="Z75" s="2849"/>
      <c r="AA75" s="2849"/>
      <c r="AB75" s="2849"/>
      <c r="AC75" s="2849"/>
    </row>
    <row r="76" spans="1:29" s="407" customFormat="1" ht="15.75" hidden="1" thickBot="1">
      <c r="A76" s="921"/>
      <c r="B76" s="885"/>
      <c r="C76" s="902"/>
      <c r="D76" s="878"/>
      <c r="E76" s="878"/>
      <c r="F76" s="878"/>
      <c r="G76" s="878"/>
      <c r="H76" s="878"/>
      <c r="I76" s="878"/>
      <c r="J76" s="878"/>
      <c r="K76" s="878"/>
      <c r="L76" s="878"/>
      <c r="M76" s="879"/>
      <c r="N76" s="2367"/>
      <c r="O76" s="2367"/>
      <c r="P76" s="2851"/>
      <c r="Q76" s="2845"/>
      <c r="R76" s="2849"/>
      <c r="S76" s="2849"/>
      <c r="T76" s="2849"/>
      <c r="U76" s="2849"/>
      <c r="V76" s="2849"/>
      <c r="W76" s="2849"/>
      <c r="X76" s="2849"/>
      <c r="Y76" s="2849"/>
      <c r="Z76" s="2849"/>
      <c r="AA76" s="2849"/>
      <c r="AB76" s="2849"/>
      <c r="AC76" s="2849"/>
    </row>
    <row r="77" spans="1:29" s="813" customFormat="1" ht="15.75" hidden="1" thickTop="1">
      <c r="A77" s="895"/>
      <c r="B77" s="880">
        <f>B25</f>
        <v>111</v>
      </c>
      <c r="C77" s="896"/>
      <c r="D77" s="896"/>
      <c r="E77" s="896"/>
      <c r="F77" s="896"/>
      <c r="G77" s="896"/>
      <c r="H77" s="897"/>
      <c r="I77" s="897"/>
      <c r="J77" s="897"/>
      <c r="K77" s="897"/>
      <c r="L77" s="898"/>
      <c r="M77" s="899"/>
      <c r="N77" s="2368"/>
      <c r="O77" s="2368"/>
      <c r="P77" s="2852"/>
      <c r="Q77" s="2853"/>
      <c r="R77" s="2854"/>
      <c r="S77" s="2854"/>
      <c r="T77" s="2854"/>
      <c r="U77" s="2854"/>
      <c r="V77" s="2854"/>
      <c r="W77" s="2854"/>
      <c r="X77" s="2854"/>
      <c r="Y77" s="2854"/>
      <c r="Z77" s="2854"/>
      <c r="AA77" s="2854"/>
      <c r="AB77" s="2854"/>
      <c r="AC77" s="2854"/>
    </row>
    <row r="78" spans="1:29" s="813" customFormat="1" ht="15.75" hidden="1" thickBot="1">
      <c r="A78" s="895"/>
      <c r="B78" s="885"/>
      <c r="C78" s="902"/>
      <c r="D78" s="902"/>
      <c r="E78" s="902"/>
      <c r="F78" s="902"/>
      <c r="G78" s="878"/>
      <c r="H78" s="878"/>
      <c r="I78" s="878"/>
      <c r="J78" s="878"/>
      <c r="K78" s="878"/>
      <c r="L78" s="878"/>
      <c r="M78" s="879"/>
      <c r="N78" s="2368"/>
      <c r="O78" s="2368"/>
      <c r="P78" s="2852"/>
      <c r="Q78" s="2853"/>
      <c r="R78" s="2854"/>
      <c r="S78" s="2854"/>
      <c r="T78" s="2854"/>
      <c r="U78" s="2854"/>
      <c r="V78" s="2854"/>
      <c r="W78" s="2854"/>
      <c r="X78" s="2854"/>
      <c r="Y78" s="2854"/>
      <c r="Z78" s="2854"/>
      <c r="AA78" s="2854"/>
      <c r="AB78" s="2854"/>
      <c r="AC78" s="2854"/>
    </row>
    <row r="79" spans="1:29" ht="27.75" thickTop="1">
      <c r="A79" s="869" t="s">
        <v>406</v>
      </c>
      <c r="B79" s="870" t="s">
        <v>465</v>
      </c>
      <c r="C79" s="871" t="str">
        <f>C26</f>
        <v>车库</v>
      </c>
      <c r="D79" s="3557" t="s">
        <v>3990</v>
      </c>
      <c r="E79" s="3557" t="s">
        <v>3991</v>
      </c>
      <c r="F79" s="3557" t="s">
        <v>3989</v>
      </c>
      <c r="G79" s="872"/>
      <c r="H79" s="872"/>
      <c r="I79" s="872"/>
      <c r="J79" s="872"/>
      <c r="K79" s="873"/>
      <c r="L79" s="874"/>
      <c r="M79" s="875"/>
      <c r="N79" s="2366"/>
      <c r="O79" s="2366"/>
      <c r="P79" s="2851"/>
      <c r="Q79" s="2845"/>
      <c r="R79" s="2358"/>
      <c r="S79" s="2358"/>
      <c r="T79" s="2358"/>
      <c r="U79" s="2358"/>
      <c r="V79" s="2358"/>
      <c r="W79" s="2358"/>
      <c r="X79" s="2358"/>
      <c r="Y79" s="2358"/>
      <c r="Z79" s="2358"/>
      <c r="AA79" s="2358"/>
      <c r="AB79" s="2358"/>
      <c r="AC79" s="2358"/>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6"/>
      <c r="B81" s="880" t="s">
        <v>466</v>
      </c>
      <c r="C81" s="1003"/>
      <c r="D81" s="1003"/>
      <c r="E81" s="1003"/>
      <c r="F81" s="1003"/>
      <c r="G81" s="1003"/>
      <c r="H81" s="1003"/>
      <c r="I81" s="1003"/>
      <c r="J81" s="1003"/>
      <c r="K81" s="1004"/>
      <c r="L81" s="1005"/>
      <c r="M81" s="1006"/>
      <c r="N81" s="2365"/>
      <c r="O81" s="2365"/>
      <c r="P81" s="2851"/>
      <c r="Q81" s="2845"/>
      <c r="R81" s="2358"/>
      <c r="S81" s="2358"/>
      <c r="T81" s="2358"/>
      <c r="U81" s="2358"/>
      <c r="V81" s="2358"/>
      <c r="W81" s="2358"/>
      <c r="X81" s="2358"/>
      <c r="Y81" s="2358"/>
      <c r="Z81" s="2358"/>
      <c r="AA81" s="2358"/>
      <c r="AB81" s="2358"/>
      <c r="AC81" s="2358"/>
    </row>
    <row r="82" spans="1:29" s="813" customFormat="1" ht="15.75" thickBot="1">
      <c r="A82" s="895"/>
      <c r="B82" s="885"/>
      <c r="C82" s="902"/>
      <c r="D82" s="878"/>
      <c r="E82" s="878"/>
      <c r="F82" s="878"/>
      <c r="G82" s="878"/>
      <c r="H82" s="878"/>
      <c r="I82" s="878"/>
      <c r="J82" s="878"/>
      <c r="K82" s="878"/>
      <c r="L82" s="878"/>
      <c r="M82" s="879"/>
      <c r="N82" s="2367"/>
      <c r="O82" s="2367"/>
      <c r="P82" s="2852"/>
      <c r="Q82" s="2853"/>
      <c r="R82" s="2854"/>
      <c r="S82" s="2854"/>
      <c r="T82" s="2854"/>
      <c r="U82" s="2854"/>
      <c r="V82" s="2854"/>
      <c r="W82" s="2854"/>
      <c r="X82" s="2854"/>
      <c r="Y82" s="2854"/>
      <c r="Z82" s="2854"/>
      <c r="AA82" s="2854"/>
      <c r="AB82" s="2854"/>
      <c r="AC82" s="2854"/>
    </row>
    <row r="83" spans="1:29" ht="15" thickTop="1">
      <c r="A83" s="941"/>
      <c r="B83" s="880" t="s">
        <v>432</v>
      </c>
      <c r="C83" s="3558" t="s">
        <v>3957</v>
      </c>
      <c r="D83" s="3558" t="s">
        <v>3972</v>
      </c>
      <c r="E83" s="3559" t="s">
        <v>3973</v>
      </c>
      <c r="F83" s="925"/>
      <c r="G83" s="925"/>
      <c r="H83" s="925"/>
      <c r="I83" s="925"/>
      <c r="J83" s="925"/>
      <c r="K83" s="926"/>
      <c r="L83" s="927"/>
      <c r="M83" s="928"/>
      <c r="N83" s="2366"/>
      <c r="O83" s="2366"/>
      <c r="P83" s="2851"/>
      <c r="Q83" s="2845"/>
      <c r="R83" s="2358"/>
      <c r="S83" s="2358"/>
      <c r="T83" s="2358"/>
      <c r="U83" s="2358"/>
      <c r="V83" s="2358"/>
      <c r="W83" s="2358"/>
      <c r="X83" s="2358"/>
      <c r="Y83" s="2358"/>
      <c r="Z83" s="2358"/>
      <c r="AA83" s="2358"/>
      <c r="AB83" s="2358"/>
      <c r="AC83" s="2358"/>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6"/>
      <c r="O85" s="2366"/>
      <c r="P85" s="2851"/>
      <c r="Q85" s="2845"/>
      <c r="R85" s="2358"/>
      <c r="S85" s="2358"/>
      <c r="T85" s="2358"/>
      <c r="U85" s="2358"/>
      <c r="V85" s="2358"/>
      <c r="W85" s="2358"/>
      <c r="X85" s="2358"/>
      <c r="Y85" s="2358"/>
      <c r="Z85" s="2358"/>
      <c r="AA85" s="2358"/>
      <c r="AB85" s="2358"/>
      <c r="AC85" s="2358"/>
    </row>
    <row r="86" spans="1:29">
      <c r="A86" s="941"/>
      <c r="B86" s="888"/>
      <c r="C86" s="945">
        <v>0.5</v>
      </c>
      <c r="D86" s="945">
        <v>0.6</v>
      </c>
      <c r="E86" s="945">
        <v>0.7</v>
      </c>
      <c r="F86" s="945">
        <v>0.8</v>
      </c>
      <c r="G86" s="945">
        <v>0.9</v>
      </c>
      <c r="H86" s="945">
        <v>1.0001</v>
      </c>
      <c r="I86" s="965"/>
      <c r="J86" s="965"/>
      <c r="K86" s="966"/>
      <c r="L86" s="967"/>
      <c r="M86" s="968"/>
      <c r="N86" s="2366"/>
      <c r="O86" s="2366"/>
      <c r="P86" s="2851"/>
      <c r="Q86" s="2845"/>
      <c r="R86" s="2358"/>
      <c r="S86" s="2358"/>
      <c r="T86" s="2358"/>
      <c r="U86" s="2358"/>
      <c r="V86" s="2358"/>
      <c r="W86" s="2358"/>
      <c r="X86" s="2358"/>
      <c r="Y86" s="2358"/>
      <c r="Z86" s="2358"/>
      <c r="AA86" s="2358"/>
      <c r="AB86" s="2358"/>
      <c r="AC86" s="2358"/>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41"/>
      <c r="B88" s="888" t="s">
        <v>468</v>
      </c>
      <c r="C88" s="3557" t="s">
        <v>3963</v>
      </c>
      <c r="D88" s="3557" t="s">
        <v>3964</v>
      </c>
      <c r="E88" s="872"/>
      <c r="F88" s="872"/>
      <c r="G88" s="872"/>
      <c r="H88" s="872"/>
      <c r="I88" s="872"/>
      <c r="J88" s="872"/>
      <c r="K88" s="873"/>
      <c r="L88" s="874"/>
      <c r="M88" s="875"/>
      <c r="N88" s="2366"/>
      <c r="O88" s="2366"/>
      <c r="P88" s="2851"/>
      <c r="Q88" s="2845"/>
      <c r="R88" s="2358"/>
      <c r="S88" s="2358"/>
      <c r="T88" s="2358"/>
      <c r="U88" s="2358"/>
      <c r="V88" s="2358"/>
      <c r="W88" s="2358"/>
      <c r="X88" s="2358"/>
      <c r="Y88" s="2358"/>
      <c r="Z88" s="2358"/>
      <c r="AA88" s="2358"/>
      <c r="AB88" s="2358"/>
      <c r="AC88" s="2358"/>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7"/>
      <c r="O89" s="2367"/>
      <c r="P89" s="2851"/>
      <c r="Q89" s="2845"/>
      <c r="R89" s="2358"/>
      <c r="S89" s="2358"/>
      <c r="T89" s="2358"/>
      <c r="U89" s="2358"/>
      <c r="V89" s="2358"/>
      <c r="W89" s="2358"/>
      <c r="X89" s="2358"/>
      <c r="Y89" s="2358"/>
      <c r="Z89" s="2358"/>
      <c r="AA89" s="2358"/>
      <c r="AB89" s="2358"/>
      <c r="AC89" s="2358"/>
    </row>
    <row r="90" spans="1:29" s="813" customFormat="1" ht="15" thickTop="1">
      <c r="A90" s="935"/>
      <c r="B90" s="880" t="s">
        <v>469</v>
      </c>
      <c r="C90" s="920" t="str">
        <f>C91&amp;"(含)"&amp;"-"&amp;D91</f>
        <v>0(含)-30</v>
      </c>
      <c r="D90" s="920" t="str">
        <f t="shared" ref="D90:L90" si="21">D91&amp;"(含)"&amp;"-"&amp;E91</f>
        <v>30(含)-50</v>
      </c>
      <c r="E90" s="920" t="str">
        <f t="shared" si="21"/>
        <v>50(含)-80</v>
      </c>
      <c r="F90" s="920" t="str">
        <f t="shared" si="21"/>
        <v>80(含)-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8"/>
      <c r="O90" s="2368"/>
      <c r="P90" s="2852"/>
      <c r="Q90" s="2853"/>
      <c r="R90" s="2854"/>
      <c r="S90" s="2854"/>
      <c r="T90" s="2854"/>
      <c r="U90" s="2854"/>
      <c r="V90" s="2854"/>
      <c r="W90" s="2854"/>
      <c r="X90" s="2854"/>
      <c r="Y90" s="2854"/>
      <c r="Z90" s="2854"/>
      <c r="AA90" s="2854"/>
      <c r="AB90" s="2854"/>
      <c r="AC90" s="2854"/>
    </row>
    <row r="91" spans="1:29" s="813" customFormat="1">
      <c r="A91" s="935"/>
      <c r="B91" s="888"/>
      <c r="C91" s="937">
        <v>0</v>
      </c>
      <c r="D91" s="937">
        <v>30</v>
      </c>
      <c r="E91" s="937">
        <v>50</v>
      </c>
      <c r="F91" s="937">
        <v>80</v>
      </c>
      <c r="G91" s="937"/>
      <c r="H91" s="937"/>
      <c r="I91" s="937"/>
      <c r="J91" s="938"/>
      <c r="K91" s="938"/>
      <c r="L91" s="939"/>
      <c r="M91" s="940"/>
      <c r="N91" s="2368"/>
      <c r="O91" s="2368"/>
      <c r="P91" s="2852"/>
      <c r="Q91" s="2853"/>
      <c r="R91" s="2854"/>
      <c r="S91" s="2854"/>
      <c r="T91" s="2854"/>
      <c r="U91" s="2854"/>
      <c r="V91" s="2854"/>
      <c r="W91" s="2854"/>
      <c r="X91" s="2854"/>
      <c r="Y91" s="2854"/>
      <c r="Z91" s="2854"/>
      <c r="AA91" s="2854"/>
      <c r="AB91" s="2854"/>
      <c r="AC91" s="2854"/>
    </row>
    <row r="92" spans="1:29" s="813" customFormat="1" ht="15.75" thickBot="1">
      <c r="A92" s="895"/>
      <c r="B92" s="885"/>
      <c r="C92" s="902">
        <v>100</v>
      </c>
      <c r="D92" s="878">
        <v>103</v>
      </c>
      <c r="E92" s="878">
        <v>106</v>
      </c>
      <c r="F92" s="878">
        <v>109</v>
      </c>
      <c r="G92" s="878"/>
      <c r="H92" s="878"/>
      <c r="I92" s="878"/>
      <c r="J92" s="878"/>
      <c r="K92" s="878"/>
      <c r="L92" s="878"/>
      <c r="M92" s="879"/>
      <c r="N92" s="2368"/>
      <c r="O92" s="2368"/>
      <c r="P92" s="2852"/>
      <c r="Q92" s="2853"/>
      <c r="R92" s="2854"/>
      <c r="S92" s="2854"/>
      <c r="T92" s="2854"/>
      <c r="U92" s="2854"/>
      <c r="V92" s="2854"/>
      <c r="W92" s="2854"/>
      <c r="X92" s="2854"/>
      <c r="Y92" s="2854"/>
      <c r="Z92" s="2854"/>
      <c r="AA92" s="2854"/>
      <c r="AB92" s="2854"/>
      <c r="AC92" s="2854"/>
    </row>
    <row r="93" spans="1:29" ht="15" thickTop="1">
      <c r="A93" s="941"/>
      <c r="B93" s="880" t="s">
        <v>470</v>
      </c>
      <c r="C93" s="3558" t="s">
        <v>3993</v>
      </c>
      <c r="D93" s="3558" t="s">
        <v>3994</v>
      </c>
      <c r="E93" s="925"/>
      <c r="F93" s="925"/>
      <c r="G93" s="925"/>
      <c r="H93" s="925"/>
      <c r="I93" s="925"/>
      <c r="J93" s="925"/>
      <c r="K93" s="926"/>
      <c r="L93" s="927"/>
      <c r="M93" s="928"/>
      <c r="N93" s="2366"/>
      <c r="O93" s="2366"/>
      <c r="P93" s="2851"/>
      <c r="Q93" s="2845"/>
      <c r="R93" s="2358"/>
      <c r="S93" s="2358"/>
      <c r="T93" s="2358"/>
      <c r="U93" s="2358"/>
      <c r="V93" s="2358"/>
      <c r="W93" s="2358"/>
      <c r="X93" s="2358"/>
      <c r="Y93" s="2358"/>
      <c r="Z93" s="2358"/>
      <c r="AA93" s="2358"/>
      <c r="AB93" s="2358"/>
      <c r="AC93" s="2358"/>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41"/>
      <c r="B95" s="880" t="s">
        <v>471</v>
      </c>
      <c r="C95" s="3557" t="s">
        <v>3995</v>
      </c>
      <c r="D95" s="3557" t="s">
        <v>3996</v>
      </c>
      <c r="E95" s="872"/>
      <c r="F95" s="872"/>
      <c r="G95" s="872"/>
      <c r="H95" s="872"/>
      <c r="I95" s="872"/>
      <c r="J95" s="872"/>
      <c r="K95" s="873"/>
      <c r="L95" s="874"/>
      <c r="M95" s="875"/>
      <c r="N95" s="2366"/>
      <c r="O95" s="2366"/>
      <c r="P95" s="2851"/>
      <c r="Q95" s="2845"/>
      <c r="R95" s="2358"/>
      <c r="S95" s="2358"/>
      <c r="T95" s="2358"/>
      <c r="U95" s="2358"/>
      <c r="V95" s="2358"/>
      <c r="W95" s="2358"/>
      <c r="X95" s="2358"/>
      <c r="Y95" s="2358"/>
      <c r="Z95" s="2358"/>
      <c r="AA95" s="2358"/>
      <c r="AB95" s="2358"/>
      <c r="AC95" s="2358"/>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7"/>
      <c r="O96" s="2367"/>
      <c r="P96" s="2851"/>
      <c r="Q96" s="2845"/>
      <c r="R96" s="2358"/>
      <c r="S96" s="2358"/>
      <c r="T96" s="2358"/>
      <c r="U96" s="2358"/>
      <c r="V96" s="2358"/>
      <c r="W96" s="2358"/>
      <c r="X96" s="2358"/>
      <c r="Y96" s="2358"/>
      <c r="Z96" s="2358"/>
      <c r="AA96" s="2358"/>
      <c r="AB96" s="2358"/>
      <c r="AC96" s="2358"/>
    </row>
    <row r="97" spans="1:29" ht="15" hidden="1" thickTop="1">
      <c r="A97" s="941"/>
      <c r="B97" s="978">
        <f>B34</f>
        <v>111</v>
      </c>
      <c r="C97" s="891"/>
      <c r="D97" s="891"/>
      <c r="E97" s="891"/>
      <c r="F97" s="891"/>
      <c r="G97" s="896"/>
      <c r="H97" s="897"/>
      <c r="I97" s="897"/>
      <c r="J97" s="897"/>
      <c r="K97" s="897"/>
      <c r="L97" s="898"/>
      <c r="M97" s="899"/>
      <c r="N97" s="2367"/>
      <c r="O97" s="2367"/>
      <c r="P97" s="2858"/>
      <c r="Q97" s="2859"/>
      <c r="R97" s="2358"/>
      <c r="S97" s="2358"/>
      <c r="T97" s="2358"/>
      <c r="U97" s="2358"/>
      <c r="V97" s="2358"/>
      <c r="W97" s="2358"/>
      <c r="X97" s="2358"/>
      <c r="Y97" s="2358"/>
      <c r="Z97" s="2358"/>
      <c r="AA97" s="2358"/>
      <c r="AB97" s="2358"/>
      <c r="AC97" s="2358"/>
    </row>
    <row r="98" spans="1:29" ht="15.75" hidden="1" thickBot="1">
      <c r="A98" s="876"/>
      <c r="B98" s="885"/>
      <c r="C98" s="902"/>
      <c r="D98" s="878"/>
      <c r="E98" s="878"/>
      <c r="F98" s="878"/>
      <c r="G98" s="902"/>
      <c r="H98" s="904"/>
      <c r="I98" s="904"/>
      <c r="J98" s="904"/>
      <c r="K98" s="904"/>
      <c r="L98" s="904"/>
      <c r="M98" s="905"/>
      <c r="N98" s="2367"/>
      <c r="O98" s="2367"/>
      <c r="P98" s="2851"/>
      <c r="Q98" s="2845"/>
      <c r="R98" s="2358"/>
      <c r="S98" s="2358"/>
      <c r="T98" s="2358"/>
      <c r="U98" s="2358"/>
      <c r="V98" s="2358"/>
      <c r="W98" s="2358"/>
      <c r="X98" s="2358"/>
      <c r="Y98" s="2358"/>
      <c r="Z98" s="2358"/>
      <c r="AA98" s="2358"/>
      <c r="AB98" s="2358"/>
      <c r="AC98" s="2358"/>
    </row>
    <row r="99" spans="1:29" s="813" customFormat="1" ht="15" hidden="1" thickTop="1">
      <c r="A99" s="935"/>
      <c r="B99" s="880">
        <f>B35</f>
        <v>111</v>
      </c>
      <c r="C99" s="891"/>
      <c r="D99" s="891"/>
      <c r="E99" s="891"/>
      <c r="F99" s="891"/>
      <c r="G99" s="896"/>
      <c r="H99" s="897"/>
      <c r="I99" s="897"/>
      <c r="J99" s="897"/>
      <c r="K99" s="897"/>
      <c r="L99" s="898"/>
      <c r="M99" s="899"/>
      <c r="N99" s="2368"/>
      <c r="O99" s="2368"/>
      <c r="P99" s="2852"/>
      <c r="Q99" s="2853"/>
      <c r="R99" s="2854"/>
      <c r="S99" s="2854"/>
      <c r="T99" s="2854"/>
      <c r="U99" s="2854"/>
      <c r="V99" s="2854"/>
      <c r="W99" s="2854"/>
      <c r="X99" s="2854"/>
      <c r="Y99" s="2854"/>
      <c r="Z99" s="2854"/>
      <c r="AA99" s="2854"/>
      <c r="AB99" s="2854"/>
      <c r="AC99" s="2854"/>
    </row>
    <row r="100" spans="1:29" s="813" customFormat="1" ht="15.75" hidden="1" thickBot="1">
      <c r="A100" s="895"/>
      <c r="B100" s="877"/>
      <c r="C100" s="902"/>
      <c r="D100" s="878"/>
      <c r="E100" s="878"/>
      <c r="F100" s="878"/>
      <c r="G100" s="902"/>
      <c r="H100" s="904"/>
      <c r="I100" s="904"/>
      <c r="J100" s="904"/>
      <c r="K100" s="904"/>
      <c r="L100" s="904"/>
      <c r="M100" s="905"/>
      <c r="N100" s="2368"/>
      <c r="O100" s="2368"/>
      <c r="P100" s="2852"/>
      <c r="Q100" s="2853"/>
      <c r="R100" s="2854"/>
      <c r="S100" s="2854"/>
      <c r="T100" s="2854"/>
      <c r="U100" s="2854"/>
      <c r="V100" s="2854"/>
      <c r="W100" s="2854"/>
      <c r="X100" s="2854"/>
      <c r="Y100" s="2854"/>
      <c r="Z100" s="2854"/>
      <c r="AA100" s="2854"/>
      <c r="AB100" s="2854"/>
      <c r="AC100" s="2854"/>
    </row>
    <row r="101" spans="1:29" ht="15" hidden="1" thickTop="1">
      <c r="A101" s="941"/>
      <c r="B101" s="880">
        <f>B36</f>
        <v>111</v>
      </c>
      <c r="C101" s="896"/>
      <c r="D101" s="896"/>
      <c r="E101" s="896"/>
      <c r="F101" s="896"/>
      <c r="G101" s="896"/>
      <c r="H101" s="897"/>
      <c r="I101" s="897"/>
      <c r="J101" s="897"/>
      <c r="K101" s="897"/>
      <c r="L101" s="898"/>
      <c r="M101" s="899"/>
      <c r="N101" s="2366"/>
      <c r="O101" s="2366"/>
      <c r="P101" s="2851"/>
      <c r="Q101" s="2845"/>
      <c r="R101" s="2358"/>
      <c r="S101" s="2358"/>
      <c r="T101" s="2358"/>
      <c r="U101" s="2358"/>
      <c r="V101" s="2358"/>
      <c r="W101" s="2358"/>
      <c r="X101" s="2358"/>
      <c r="Y101" s="2358"/>
      <c r="Z101" s="2358"/>
      <c r="AA101" s="2358"/>
      <c r="AB101" s="2358"/>
      <c r="AC101" s="2358"/>
    </row>
    <row r="102" spans="1:29" ht="15.75" hidden="1" thickBot="1">
      <c r="A102" s="876"/>
      <c r="B102" s="885"/>
      <c r="C102" s="902"/>
      <c r="D102" s="902"/>
      <c r="E102" s="902"/>
      <c r="F102" s="902"/>
      <c r="G102" s="902"/>
      <c r="H102" s="904"/>
      <c r="I102" s="904"/>
      <c r="J102" s="904"/>
      <c r="K102" s="904"/>
      <c r="L102" s="904"/>
      <c r="M102" s="905"/>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1" customFormat="1" ht="28.5" customHeight="1" thickTop="1">
      <c r="A2" s="3115" t="s">
        <v>444</v>
      </c>
      <c r="B2" s="2840" t="e">
        <f ca="1">IF(C2="——",ROUND(C37*D3/10000,0),ROUND(C37*D3/10000,0)-D2)</f>
        <v>#DIV/0!</v>
      </c>
      <c r="C2" s="3093"/>
      <c r="D2" s="2338" t="e">
        <f ca="1">SUMIF(INDIRECT("'"&amp;F2&amp;"'"&amp;"!A:A"),"承租人权益价值",INDIRECT("'"&amp;F2&amp;"'"&amp;"!c:c"))</f>
        <v>#REF!</v>
      </c>
      <c r="E2" s="3094" t="s">
        <v>869</v>
      </c>
      <c r="F2" s="3095"/>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row>
    <row r="3" spans="1:29" s="741" customFormat="1" ht="28.5" customHeight="1" thickBot="1">
      <c r="A3" s="579" t="s">
        <v>445</v>
      </c>
      <c r="B3" s="951" t="e">
        <f ca="1">IF(C2="——",C37,ROUND(B2*10000/D3,0))</f>
        <v>#DIV/0!</v>
      </c>
      <c r="C3" s="743" t="s">
        <v>446</v>
      </c>
      <c r="D3" s="742">
        <f>SUMIF('数据-汇总表'!$C19:$C33,D1,'数据-汇总表'!$E19:$E33)</f>
        <v>0</v>
      </c>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29" ht="15">
      <c r="A4" s="744" t="s">
        <v>447</v>
      </c>
      <c r="B4" s="745"/>
      <c r="C4" s="3866" t="s">
        <v>448</v>
      </c>
      <c r="D4" s="3867"/>
      <c r="E4" s="3868" t="s">
        <v>449</v>
      </c>
      <c r="F4" s="3869"/>
      <c r="G4" s="3866" t="s">
        <v>450</v>
      </c>
      <c r="H4" s="3867"/>
      <c r="I4" s="3866" t="s">
        <v>451</v>
      </c>
      <c r="J4" s="3867"/>
      <c r="K4" s="952" t="s">
        <v>452</v>
      </c>
      <c r="L4" s="2344"/>
      <c r="M4" s="2345"/>
      <c r="N4" s="2345"/>
      <c r="O4" s="2345"/>
      <c r="P4" s="3870" t="s">
        <v>453</v>
      </c>
      <c r="Q4" s="3871"/>
      <c r="R4" s="3857" t="s">
        <v>449</v>
      </c>
      <c r="S4" s="3858"/>
      <c r="T4" s="3857" t="s">
        <v>450</v>
      </c>
      <c r="U4" s="3858"/>
      <c r="V4" s="3878" t="s">
        <v>451</v>
      </c>
      <c r="W4" s="3878"/>
      <c r="X4" s="1317"/>
      <c r="Y4" s="3857" t="s">
        <v>453</v>
      </c>
      <c r="Z4" s="3858"/>
      <c r="AA4" s="3852" t="s">
        <v>449</v>
      </c>
      <c r="AB4" s="3853" t="s">
        <v>450</v>
      </c>
      <c r="AC4" s="3852" t="s">
        <v>451</v>
      </c>
    </row>
    <row r="5" spans="1:29" ht="15">
      <c r="A5" s="747"/>
      <c r="B5" s="748"/>
      <c r="C5" s="3795" t="s">
        <v>1127</v>
      </c>
      <c r="D5" s="3796"/>
      <c r="E5" s="3793" t="s">
        <v>1128</v>
      </c>
      <c r="F5" s="3794"/>
      <c r="G5" s="3795" t="s">
        <v>60</v>
      </c>
      <c r="H5" s="3796"/>
      <c r="I5" s="3795" t="s">
        <v>1129</v>
      </c>
      <c r="J5" s="3796"/>
      <c r="K5" s="952"/>
      <c r="L5" s="2344"/>
      <c r="M5" s="2345"/>
      <c r="N5" s="2345"/>
      <c r="O5" s="2345"/>
      <c r="P5" s="3872"/>
      <c r="Q5" s="3873"/>
      <c r="R5" s="3859"/>
      <c r="S5" s="3860"/>
      <c r="T5" s="3859"/>
      <c r="U5" s="3860"/>
      <c r="V5" s="3878"/>
      <c r="W5" s="3878"/>
      <c r="X5" s="1317"/>
      <c r="Y5" s="3859"/>
      <c r="Z5" s="3860"/>
      <c r="AA5" s="3853"/>
      <c r="AB5" s="3853"/>
      <c r="AC5" s="3853"/>
    </row>
    <row r="6" spans="1:29" ht="15.75" thickBot="1">
      <c r="A6" s="749"/>
      <c r="B6" s="750"/>
      <c r="C6" s="3797" t="s">
        <v>1130</v>
      </c>
      <c r="D6" s="3798"/>
      <c r="E6" s="3799" t="s">
        <v>1130</v>
      </c>
      <c r="F6" s="3800"/>
      <c r="G6" s="3797" t="s">
        <v>1130</v>
      </c>
      <c r="H6" s="3798"/>
      <c r="I6" s="3797" t="s">
        <v>1130</v>
      </c>
      <c r="J6" s="3798"/>
      <c r="K6" s="952" t="s">
        <v>395</v>
      </c>
      <c r="L6" s="2344"/>
      <c r="M6" s="2345"/>
      <c r="N6" s="2345"/>
      <c r="O6" s="2345"/>
      <c r="P6" s="3874"/>
      <c r="Q6" s="3875"/>
      <c r="R6" s="3859"/>
      <c r="S6" s="3860"/>
      <c r="T6" s="3876"/>
      <c r="U6" s="3877"/>
      <c r="V6" s="3878"/>
      <c r="W6" s="3878"/>
      <c r="X6" s="1317"/>
      <c r="Y6" s="3876"/>
      <c r="Z6" s="3877"/>
      <c r="AA6" s="3854"/>
      <c r="AB6" s="3854"/>
      <c r="AC6" s="3854"/>
    </row>
    <row r="7" spans="1:29" s="407" customFormat="1" ht="15.75" thickBot="1">
      <c r="A7" s="751" t="s">
        <v>396</v>
      </c>
      <c r="B7" s="752"/>
      <c r="C7" s="753">
        <f>'数据-取费表'!B2</f>
        <v>42970</v>
      </c>
      <c r="D7" s="754">
        <v>100</v>
      </c>
      <c r="E7" s="1016"/>
      <c r="F7" s="756">
        <f>SUMIF(46:46,YEAR(E7)&amp;"-"&amp;MONTH(E7),47:47)</f>
        <v>0</v>
      </c>
      <c r="G7" s="1017"/>
      <c r="H7" s="754">
        <f>SUMIF(46:46,YEAR(G7)&amp;"-"&amp;MONTH(G7),47:47)</f>
        <v>0</v>
      </c>
      <c r="I7" s="1016"/>
      <c r="J7" s="754">
        <f>SUMIF(46:46,YEAR(I7)&amp;"-"&amp;MONTH(I7),47:47)</f>
        <v>0</v>
      </c>
      <c r="K7" s="953"/>
      <c r="L7" s="2346"/>
      <c r="M7" s="2347"/>
      <c r="N7" s="2347"/>
      <c r="O7" s="2347"/>
      <c r="P7" s="3855" t="s">
        <v>397</v>
      </c>
      <c r="Q7" s="3879"/>
      <c r="R7" s="1318" t="s">
        <v>63</v>
      </c>
      <c r="S7" s="1319">
        <f t="shared" ref="S7:S14" si="0">F7</f>
        <v>0</v>
      </c>
      <c r="T7" s="1318" t="s">
        <v>63</v>
      </c>
      <c r="U7" s="1319">
        <f t="shared" ref="U7:U14" si="1">H7</f>
        <v>0</v>
      </c>
      <c r="V7" s="1318" t="s">
        <v>63</v>
      </c>
      <c r="W7" s="1319">
        <f t="shared" ref="W7:W14" si="2">J7</f>
        <v>0</v>
      </c>
      <c r="X7" s="1320"/>
      <c r="Y7" s="3855" t="s">
        <v>397</v>
      </c>
      <c r="Z7" s="3856"/>
      <c r="AA7" s="1321" t="e">
        <f>D7/F7</f>
        <v>#DIV/0!</v>
      </c>
      <c r="AB7" s="1321" t="e">
        <f>D7/H7</f>
        <v>#DIV/0!</v>
      </c>
      <c r="AC7" s="1321"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3"/>
      <c r="L8" s="2346"/>
      <c r="M8" s="2347"/>
      <c r="N8" s="2347"/>
      <c r="O8" s="2347"/>
      <c r="P8" s="3855" t="s">
        <v>433</v>
      </c>
      <c r="Q8" s="3856"/>
      <c r="R8" s="1318" t="s">
        <v>63</v>
      </c>
      <c r="S8" s="1319">
        <f t="shared" si="0"/>
        <v>0</v>
      </c>
      <c r="T8" s="1318" t="s">
        <v>63</v>
      </c>
      <c r="U8" s="1319">
        <f t="shared" si="1"/>
        <v>0</v>
      </c>
      <c r="V8" s="1318" t="s">
        <v>63</v>
      </c>
      <c r="W8" s="1319">
        <f t="shared" si="2"/>
        <v>0</v>
      </c>
      <c r="X8" s="1320"/>
      <c r="Y8" s="3855" t="s">
        <v>433</v>
      </c>
      <c r="Z8" s="3856"/>
      <c r="AA8" s="1321" t="e">
        <f t="shared" ref="AA8:AA34" si="3">D8/F8</f>
        <v>#DIV/0!</v>
      </c>
      <c r="AB8" s="1321" t="e">
        <f t="shared" ref="AB8:AB34" si="4">D8/H8</f>
        <v>#DIV/0!</v>
      </c>
      <c r="AC8" s="1321" t="e">
        <f t="shared" ref="AC8:AC34" si="5">D8/J8</f>
        <v>#DIV/0!</v>
      </c>
    </row>
    <row r="9" spans="1:29" s="407" customFormat="1">
      <c r="A9" s="758" t="s">
        <v>399</v>
      </c>
      <c r="B9" s="361" t="s">
        <v>417</v>
      </c>
      <c r="C9" s="1345"/>
      <c r="D9" s="425">
        <v>100</v>
      </c>
      <c r="E9" s="761"/>
      <c r="F9" s="760">
        <f>SUMIF(51:51,E9,52:52)-SUMIF(51:51,C9,52:52)+100</f>
        <v>100</v>
      </c>
      <c r="G9" s="761"/>
      <c r="H9" s="425">
        <f>SUMIF(51:51,G9,52:52)-SUMIF(51:51,C9,52:52)+100</f>
        <v>100</v>
      </c>
      <c r="I9" s="761"/>
      <c r="J9" s="425">
        <f>SUMIF(51:51,I9,52:52)-SUMIF(51:51,C9,52:52)+100</f>
        <v>100</v>
      </c>
      <c r="K9" s="953"/>
      <c r="L9" s="2346"/>
      <c r="M9" s="2347"/>
      <c r="N9" s="2347"/>
      <c r="O9" s="2348"/>
      <c r="P9" s="3865" t="s">
        <v>400</v>
      </c>
      <c r="Q9" s="296" t="str">
        <f t="shared" ref="Q9:Q14" si="6">B9</f>
        <v>用途</v>
      </c>
      <c r="R9" s="1318" t="s">
        <v>63</v>
      </c>
      <c r="S9" s="1319">
        <f t="shared" si="0"/>
        <v>100</v>
      </c>
      <c r="T9" s="1318" t="s">
        <v>63</v>
      </c>
      <c r="U9" s="1319">
        <f t="shared" si="1"/>
        <v>100</v>
      </c>
      <c r="V9" s="1318" t="s">
        <v>63</v>
      </c>
      <c r="W9" s="1319">
        <f t="shared" si="2"/>
        <v>100</v>
      </c>
      <c r="X9" s="1320"/>
      <c r="Y9" s="3731" t="s">
        <v>401</v>
      </c>
      <c r="Z9" s="344" t="str">
        <f t="shared" ref="Z9:Z14" si="7">Q9</f>
        <v>用途</v>
      </c>
      <c r="AA9" s="1321">
        <f t="shared" si="3"/>
        <v>1</v>
      </c>
      <c r="AB9" s="1321">
        <f t="shared" si="4"/>
        <v>1</v>
      </c>
      <c r="AC9" s="1321">
        <f t="shared" si="5"/>
        <v>1</v>
      </c>
    </row>
    <row r="10" spans="1:29" s="769" customFormat="1" ht="27">
      <c r="A10" s="763"/>
      <c r="B10" s="764" t="s">
        <v>402</v>
      </c>
      <c r="C10" s="765"/>
      <c r="D10" s="426">
        <v>100</v>
      </c>
      <c r="E10" s="765"/>
      <c r="F10" s="767">
        <f>SUMIF(53:53,E10,54:54)-SUMIF(53:53,C10,54:54)+100</f>
        <v>100</v>
      </c>
      <c r="G10" s="765"/>
      <c r="H10" s="426">
        <f>SUMIF(53:53,G10,54:54)-SUMIF(53:53,C10,54:54)+100</f>
        <v>100</v>
      </c>
      <c r="I10" s="765"/>
      <c r="J10" s="426">
        <f>SUMIF(53:53,I10,54:54)-SUMIF(53:53,C10,54:54)+100</f>
        <v>100</v>
      </c>
      <c r="K10" s="954"/>
      <c r="L10" s="2349"/>
      <c r="M10" s="2350"/>
      <c r="N10" s="2350"/>
      <c r="O10" s="2351"/>
      <c r="P10" s="3865"/>
      <c r="Q10" s="296" t="str">
        <f t="shared" si="6"/>
        <v>土地使用年限（年）</v>
      </c>
      <c r="R10" s="1318" t="s">
        <v>63</v>
      </c>
      <c r="S10" s="1319">
        <f t="shared" si="0"/>
        <v>100</v>
      </c>
      <c r="T10" s="1318" t="s">
        <v>63</v>
      </c>
      <c r="U10" s="1319">
        <f t="shared" si="1"/>
        <v>100</v>
      </c>
      <c r="V10" s="1318" t="s">
        <v>63</v>
      </c>
      <c r="W10" s="1319">
        <f t="shared" si="2"/>
        <v>100</v>
      </c>
      <c r="X10" s="1320"/>
      <c r="Y10" s="3731"/>
      <c r="Z10" s="344" t="str">
        <f t="shared" si="7"/>
        <v>土地使用年限（年）</v>
      </c>
      <c r="AA10" s="1321">
        <f t="shared" si="3"/>
        <v>1</v>
      </c>
      <c r="AB10" s="1321">
        <f t="shared" si="4"/>
        <v>1</v>
      </c>
      <c r="AC10" s="1321">
        <f t="shared" si="5"/>
        <v>1</v>
      </c>
    </row>
    <row r="11" spans="1:29" ht="15">
      <c r="A11" s="770"/>
      <c r="B11" s="1030">
        <v>111</v>
      </c>
      <c r="C11" s="1023"/>
      <c r="D11" s="426">
        <v>100</v>
      </c>
      <c r="E11" s="1357"/>
      <c r="F11" s="767">
        <f>SUMIF(55:55,E11,56:56)-SUMIF(55:55,C11,56:56)+100</f>
        <v>100</v>
      </c>
      <c r="G11" s="1357"/>
      <c r="H11" s="426">
        <f>SUMIF(55:55,G11,56:56)-SUMIF(55:55,C11,56:56)+100</f>
        <v>100</v>
      </c>
      <c r="I11" s="1357"/>
      <c r="J11" s="426">
        <f>SUMIF(55:55,I11,56:56)-SUMIF(55:55,C11,56:56)+100</f>
        <v>100</v>
      </c>
      <c r="K11" s="955"/>
      <c r="L11" s="2352"/>
      <c r="M11" s="2345"/>
      <c r="N11" s="2345"/>
      <c r="O11" s="2353"/>
      <c r="P11" s="3865"/>
      <c r="Q11" s="296">
        <f t="shared" si="6"/>
        <v>111</v>
      </c>
      <c r="R11" s="1318" t="s">
        <v>63</v>
      </c>
      <c r="S11" s="1319">
        <f t="shared" si="0"/>
        <v>100</v>
      </c>
      <c r="T11" s="1318" t="s">
        <v>63</v>
      </c>
      <c r="U11" s="1319">
        <f t="shared" si="1"/>
        <v>100</v>
      </c>
      <c r="V11" s="1318" t="s">
        <v>63</v>
      </c>
      <c r="W11" s="1319">
        <f t="shared" si="2"/>
        <v>100</v>
      </c>
      <c r="X11" s="1320"/>
      <c r="Y11" s="3731"/>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6">
        <f>SUMIF(57:57,G12,58:58)-SUMIF(57:57,C12,58:58)+100</f>
        <v>100</v>
      </c>
      <c r="I12" s="1357"/>
      <c r="J12" s="426">
        <f>SUMIF(57:57,I12,58:58)-SUMIF(57:57,C12,58:58)+100</f>
        <v>100</v>
      </c>
      <c r="K12" s="955"/>
      <c r="L12" s="2346"/>
      <c r="M12" s="2347"/>
      <c r="N12" s="2347"/>
      <c r="O12" s="2348"/>
      <c r="P12" s="3865"/>
      <c r="Q12" s="296">
        <f t="shared" si="6"/>
        <v>111</v>
      </c>
      <c r="R12" s="1318" t="s">
        <v>63</v>
      </c>
      <c r="S12" s="1319">
        <f t="shared" si="0"/>
        <v>100</v>
      </c>
      <c r="T12" s="1318" t="s">
        <v>63</v>
      </c>
      <c r="U12" s="1319">
        <f t="shared" si="1"/>
        <v>100</v>
      </c>
      <c r="V12" s="1318" t="s">
        <v>63</v>
      </c>
      <c r="W12" s="1319">
        <f t="shared" si="2"/>
        <v>100</v>
      </c>
      <c r="X12" s="1320"/>
      <c r="Y12" s="3731"/>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4"/>
      <c r="M13" s="2345"/>
      <c r="N13" s="2345"/>
      <c r="O13" s="2353"/>
      <c r="P13" s="3865"/>
      <c r="Q13" s="296">
        <f t="shared" si="6"/>
        <v>111</v>
      </c>
      <c r="R13" s="1318" t="s">
        <v>63</v>
      </c>
      <c r="S13" s="1319">
        <f t="shared" si="0"/>
        <v>100</v>
      </c>
      <c r="T13" s="1318" t="s">
        <v>63</v>
      </c>
      <c r="U13" s="1319">
        <f t="shared" si="1"/>
        <v>100</v>
      </c>
      <c r="V13" s="1318" t="s">
        <v>63</v>
      </c>
      <c r="W13" s="1319">
        <f t="shared" si="2"/>
        <v>100</v>
      </c>
      <c r="X13" s="1320"/>
      <c r="Y13" s="3731"/>
      <c r="Z13" s="344">
        <f t="shared" si="7"/>
        <v>111</v>
      </c>
      <c r="AA13" s="1321">
        <f t="shared" si="3"/>
        <v>1</v>
      </c>
      <c r="AB13" s="1321">
        <f t="shared" si="4"/>
        <v>1</v>
      </c>
      <c r="AC13" s="1321">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4"/>
      <c r="M14" s="2345"/>
      <c r="N14" s="2345"/>
      <c r="O14" s="2353"/>
      <c r="P14" s="3880" t="s">
        <v>405</v>
      </c>
      <c r="Q14" s="1322" t="str">
        <f t="shared" si="6"/>
        <v>交通便捷度</v>
      </c>
      <c r="R14" s="1323" t="s">
        <v>63</v>
      </c>
      <c r="S14" s="1324">
        <f t="shared" si="0"/>
        <v>100</v>
      </c>
      <c r="T14" s="1323" t="s">
        <v>63</v>
      </c>
      <c r="U14" s="1324">
        <f t="shared" si="1"/>
        <v>100</v>
      </c>
      <c r="V14" s="1323" t="s">
        <v>63</v>
      </c>
      <c r="W14" s="1324">
        <f t="shared" si="2"/>
        <v>100</v>
      </c>
      <c r="X14" s="1317"/>
      <c r="Y14" s="3880"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4"/>
      <c r="M15" s="2345"/>
      <c r="N15" s="2345"/>
      <c r="O15" s="2353"/>
      <c r="P15" s="3881"/>
      <c r="Q15" s="1322"/>
      <c r="R15" s="1323"/>
      <c r="S15" s="1324"/>
      <c r="T15" s="1323"/>
      <c r="U15" s="1324"/>
      <c r="V15" s="1323"/>
      <c r="W15" s="1324"/>
      <c r="X15" s="1317"/>
      <c r="Y15" s="3881"/>
      <c r="Z15" s="1325"/>
      <c r="AA15" s="1326">
        <v>1</v>
      </c>
      <c r="AB15" s="1326">
        <v>1</v>
      </c>
      <c r="AC15" s="1326">
        <v>1</v>
      </c>
    </row>
    <row r="16" spans="1:29" ht="40.5">
      <c r="A16" s="770"/>
      <c r="B16" s="1355" t="s">
        <v>2661</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4"/>
      <c r="M16" s="2345"/>
      <c r="N16" s="2345"/>
      <c r="O16" s="2353"/>
      <c r="P16" s="3881"/>
      <c r="Q16" s="1322" t="str">
        <f>B16</f>
        <v>公共配套设施</v>
      </c>
      <c r="R16" s="1323" t="s">
        <v>63</v>
      </c>
      <c r="S16" s="1324">
        <f>F16</f>
        <v>100</v>
      </c>
      <c r="T16" s="1323" t="s">
        <v>63</v>
      </c>
      <c r="U16" s="1324">
        <f>H16</f>
        <v>100</v>
      </c>
      <c r="V16" s="1323" t="s">
        <v>63</v>
      </c>
      <c r="W16" s="1324">
        <f>J16</f>
        <v>100</v>
      </c>
      <c r="X16" s="1317"/>
      <c r="Y16" s="3881"/>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4"/>
      <c r="M17" s="2345"/>
      <c r="N17" s="2345"/>
      <c r="O17" s="2353"/>
      <c r="P17" s="3881"/>
      <c r="Q17" s="1322"/>
      <c r="R17" s="1323"/>
      <c r="S17" s="1324"/>
      <c r="T17" s="1323"/>
      <c r="U17" s="1324"/>
      <c r="V17" s="1323"/>
      <c r="W17" s="1324"/>
      <c r="X17" s="1317"/>
      <c r="Y17" s="3881"/>
      <c r="Z17" s="1325"/>
      <c r="AA17" s="1326">
        <v>1</v>
      </c>
      <c r="AB17" s="1326">
        <v>1</v>
      </c>
      <c r="AC17" s="1326">
        <v>1</v>
      </c>
    </row>
    <row r="18" spans="1:29" ht="40.5">
      <c r="A18" s="770"/>
      <c r="B18" s="1411" t="s">
        <v>2663</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4"/>
      <c r="M18" s="2345"/>
      <c r="N18" s="2345"/>
      <c r="O18" s="2353"/>
      <c r="P18" s="3881"/>
      <c r="Q18" s="2745" t="str">
        <f>B18</f>
        <v>基础设施水平</v>
      </c>
      <c r="R18" s="1323" t="s">
        <v>63</v>
      </c>
      <c r="S18" s="1324">
        <f>F18</f>
        <v>100</v>
      </c>
      <c r="T18" s="1323" t="s">
        <v>63</v>
      </c>
      <c r="U18" s="1324">
        <f>H18</f>
        <v>100</v>
      </c>
      <c r="V18" s="1323" t="s">
        <v>63</v>
      </c>
      <c r="W18" s="1324">
        <f>J18</f>
        <v>100</v>
      </c>
      <c r="X18" s="2747"/>
      <c r="Y18" s="3881"/>
      <c r="Z18" s="2746" t="str">
        <f>Q18</f>
        <v>基础设施水平</v>
      </c>
      <c r="AA18" s="1326">
        <f t="shared" ref="AA18" si="8">D18/F18</f>
        <v>1</v>
      </c>
      <c r="AB18" s="1326">
        <f t="shared" ref="AB18" si="9">D18/H18</f>
        <v>1</v>
      </c>
      <c r="AC18" s="1326">
        <f t="shared" ref="AC18" si="10">D18/J18</f>
        <v>1</v>
      </c>
    </row>
    <row r="19" spans="1:29" ht="15">
      <c r="A19" s="770"/>
      <c r="B19" s="2765"/>
      <c r="C19" s="102"/>
      <c r="D19" s="792"/>
      <c r="E19" s="102"/>
      <c r="F19" s="795"/>
      <c r="G19" s="102"/>
      <c r="H19" s="790"/>
      <c r="I19" s="97"/>
      <c r="J19" s="790"/>
      <c r="K19" s="2763"/>
      <c r="L19" s="2354"/>
      <c r="M19" s="2345"/>
      <c r="N19" s="2345"/>
      <c r="O19" s="2353"/>
      <c r="P19" s="3881"/>
      <c r="Q19" s="2745"/>
      <c r="R19" s="1323"/>
      <c r="S19" s="1324"/>
      <c r="T19" s="1323"/>
      <c r="U19" s="1324"/>
      <c r="V19" s="1323"/>
      <c r="W19" s="1324"/>
      <c r="X19" s="2747"/>
      <c r="Y19" s="3881"/>
      <c r="Z19" s="2746"/>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4"/>
      <c r="M20" s="2345"/>
      <c r="N20" s="2345"/>
      <c r="O20" s="2353"/>
      <c r="P20" s="3881"/>
      <c r="Q20" s="1322" t="str">
        <f>B20</f>
        <v>自然及人文环境</v>
      </c>
      <c r="R20" s="1323" t="s">
        <v>63</v>
      </c>
      <c r="S20" s="1324">
        <f>F20</f>
        <v>100</v>
      </c>
      <c r="T20" s="1323" t="s">
        <v>63</v>
      </c>
      <c r="U20" s="1324">
        <f>H20</f>
        <v>100</v>
      </c>
      <c r="V20" s="1323" t="s">
        <v>63</v>
      </c>
      <c r="W20" s="1324">
        <f>J20</f>
        <v>100</v>
      </c>
      <c r="X20" s="1317"/>
      <c r="Y20" s="3881"/>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4"/>
      <c r="M21" s="2345"/>
      <c r="N21" s="2345"/>
      <c r="O21" s="2353"/>
      <c r="P21" s="3881"/>
      <c r="Q21" s="1322"/>
      <c r="R21" s="1323"/>
      <c r="S21" s="1324"/>
      <c r="T21" s="1323"/>
      <c r="U21" s="1324"/>
      <c r="V21" s="1323"/>
      <c r="W21" s="1324"/>
      <c r="X21" s="1317"/>
      <c r="Y21" s="3881"/>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4"/>
      <c r="M22" s="2345"/>
      <c r="N22" s="2345"/>
      <c r="O22" s="2353"/>
      <c r="P22" s="3881"/>
      <c r="Q22" s="1322" t="str">
        <f>B22</f>
        <v>楼层</v>
      </c>
      <c r="R22" s="1323" t="s">
        <v>63</v>
      </c>
      <c r="S22" s="1324">
        <f>F22</f>
        <v>100</v>
      </c>
      <c r="T22" s="1323" t="s">
        <v>63</v>
      </c>
      <c r="U22" s="1324">
        <f>H22</f>
        <v>100</v>
      </c>
      <c r="V22" s="1323" t="s">
        <v>63</v>
      </c>
      <c r="W22" s="1324">
        <f>J22</f>
        <v>100</v>
      </c>
      <c r="X22" s="1317"/>
      <c r="Y22" s="3881"/>
      <c r="Z22" s="1325" t="str">
        <f>Q22</f>
        <v>楼层</v>
      </c>
      <c r="AA22" s="1326">
        <f t="shared" si="3"/>
        <v>1</v>
      </c>
      <c r="AB22" s="1326">
        <f t="shared" si="4"/>
        <v>1</v>
      </c>
      <c r="AC22" s="1326">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4"/>
      <c r="M23" s="2345"/>
      <c r="N23" s="2345"/>
      <c r="O23" s="2353"/>
      <c r="P23" s="3881"/>
      <c r="Q23" s="1322">
        <f>B23</f>
        <v>111</v>
      </c>
      <c r="R23" s="1323" t="s">
        <v>63</v>
      </c>
      <c r="S23" s="1324">
        <f>F23</f>
        <v>100</v>
      </c>
      <c r="T23" s="1323" t="s">
        <v>63</v>
      </c>
      <c r="U23" s="1324">
        <f>H23</f>
        <v>100</v>
      </c>
      <c r="V23" s="1323" t="s">
        <v>63</v>
      </c>
      <c r="W23" s="1324">
        <f>J23</f>
        <v>100</v>
      </c>
      <c r="X23" s="1317"/>
      <c r="Y23" s="3881"/>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4"/>
      <c r="M24" s="2345"/>
      <c r="N24" s="2345"/>
      <c r="O24" s="2353"/>
      <c r="P24" s="3881"/>
      <c r="Q24" s="1322">
        <f t="shared" ref="Q24:Q34" si="11">B24</f>
        <v>111</v>
      </c>
      <c r="R24" s="1323" t="s">
        <v>63</v>
      </c>
      <c r="S24" s="1324">
        <f>F24</f>
        <v>100</v>
      </c>
      <c r="T24" s="1323" t="s">
        <v>63</v>
      </c>
      <c r="U24" s="1324">
        <f>H24</f>
        <v>100</v>
      </c>
      <c r="V24" s="1323" t="s">
        <v>63</v>
      </c>
      <c r="W24" s="1324">
        <f>J24</f>
        <v>100</v>
      </c>
      <c r="X24" s="1317"/>
      <c r="Y24" s="3881"/>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6"/>
      <c r="M25" s="2347"/>
      <c r="N25" s="2347"/>
      <c r="O25" s="2348"/>
      <c r="P25" s="3881"/>
      <c r="Q25" s="296">
        <f t="shared" si="11"/>
        <v>111</v>
      </c>
      <c r="R25" s="1318" t="s">
        <v>63</v>
      </c>
      <c r="S25" s="1319">
        <f>F25</f>
        <v>100</v>
      </c>
      <c r="T25" s="1318" t="s">
        <v>63</v>
      </c>
      <c r="U25" s="1319">
        <f>H25</f>
        <v>100</v>
      </c>
      <c r="V25" s="1318" t="s">
        <v>63</v>
      </c>
      <c r="W25" s="1319">
        <f>J25</f>
        <v>100</v>
      </c>
      <c r="X25" s="1320"/>
      <c r="Y25" s="3881"/>
      <c r="Z25" s="344">
        <f>Q25</f>
        <v>111</v>
      </c>
      <c r="AA25" s="1326">
        <f>D25/F25</f>
        <v>1</v>
      </c>
      <c r="AB25" s="1326">
        <f>D25/H25</f>
        <v>1</v>
      </c>
      <c r="AC25" s="1326">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4"/>
      <c r="M26" s="2345"/>
      <c r="N26" s="2345"/>
      <c r="O26" s="2353"/>
      <c r="P26" s="3882" t="s">
        <v>472</v>
      </c>
      <c r="Q26" s="1322" t="str">
        <f t="shared" si="11"/>
        <v>公共部分装修</v>
      </c>
      <c r="R26" s="1323" t="s">
        <v>63</v>
      </c>
      <c r="S26" s="1324">
        <f t="shared" ref="S26:S34" si="12">F26</f>
        <v>100</v>
      </c>
      <c r="T26" s="1323" t="s">
        <v>63</v>
      </c>
      <c r="U26" s="1324">
        <f t="shared" ref="U26:U34" si="13">H26</f>
        <v>100</v>
      </c>
      <c r="V26" s="1323" t="s">
        <v>63</v>
      </c>
      <c r="W26" s="1324">
        <f t="shared" ref="W26:W34" si="14">J26</f>
        <v>100</v>
      </c>
      <c r="X26" s="1317"/>
      <c r="Y26" s="3883"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6">
        <v>100</v>
      </c>
      <c r="E27" s="817"/>
      <c r="F27" s="803" t="e">
        <f>LOOKUP(E27,80:80,81:81)-LOOKUP(C27,80:80,81:81)+100</f>
        <v>#N/A</v>
      </c>
      <c r="G27" s="818"/>
      <c r="H27" s="777" t="e">
        <f>LOOKUP(G27,80:80,81:81)-LOOKUP(C27,80:80,81:81)+100</f>
        <v>#N/A</v>
      </c>
      <c r="I27" s="818"/>
      <c r="J27" s="777" t="e">
        <f>LOOKUP(I27,80:80,81:81)-LOOKUP(C27,80:80,81:81)+100</f>
        <v>#N/A</v>
      </c>
      <c r="K27" s="954"/>
      <c r="L27" s="2352"/>
      <c r="M27" s="2355"/>
      <c r="N27" s="2355"/>
      <c r="O27" s="2356"/>
      <c r="P27" s="3883"/>
      <c r="Q27" s="1327" t="str">
        <f t="shared" si="11"/>
        <v>成新率</v>
      </c>
      <c r="R27" s="1328" t="s">
        <v>63</v>
      </c>
      <c r="S27" s="1329" t="e">
        <f t="shared" si="12"/>
        <v>#N/A</v>
      </c>
      <c r="T27" s="1328" t="s">
        <v>63</v>
      </c>
      <c r="U27" s="1329" t="e">
        <f t="shared" si="13"/>
        <v>#N/A</v>
      </c>
      <c r="V27" s="1328" t="s">
        <v>63</v>
      </c>
      <c r="W27" s="1329" t="e">
        <f t="shared" si="14"/>
        <v>#N/A</v>
      </c>
      <c r="X27" s="1330"/>
      <c r="Y27" s="3883"/>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4"/>
      <c r="M28" s="2345"/>
      <c r="N28" s="2345"/>
      <c r="O28" s="2353"/>
      <c r="P28" s="3883"/>
      <c r="Q28" s="1322" t="str">
        <f t="shared" si="11"/>
        <v>物业等级</v>
      </c>
      <c r="R28" s="1323" t="s">
        <v>63</v>
      </c>
      <c r="S28" s="1324">
        <f t="shared" si="12"/>
        <v>100</v>
      </c>
      <c r="T28" s="1323" t="s">
        <v>63</v>
      </c>
      <c r="U28" s="1324">
        <f t="shared" si="13"/>
        <v>100</v>
      </c>
      <c r="V28" s="1323" t="s">
        <v>63</v>
      </c>
      <c r="W28" s="1324">
        <f t="shared" si="14"/>
        <v>100</v>
      </c>
      <c r="X28" s="1317"/>
      <c r="Y28" s="3883"/>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4"/>
      <c r="M29" s="2345"/>
      <c r="N29" s="2345"/>
      <c r="O29" s="2353"/>
      <c r="P29" s="3883"/>
      <c r="Q29" s="1322" t="str">
        <f t="shared" si="11"/>
        <v>有无电梯</v>
      </c>
      <c r="R29" s="1323" t="s">
        <v>63</v>
      </c>
      <c r="S29" s="1324">
        <f t="shared" si="12"/>
        <v>100</v>
      </c>
      <c r="T29" s="1323" t="s">
        <v>63</v>
      </c>
      <c r="U29" s="1324">
        <f t="shared" si="13"/>
        <v>100</v>
      </c>
      <c r="V29" s="1323" t="s">
        <v>63</v>
      </c>
      <c r="W29" s="1324">
        <f t="shared" si="14"/>
        <v>100</v>
      </c>
      <c r="X29" s="1317"/>
      <c r="Y29" s="3883"/>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4"/>
      <c r="M30" s="2345"/>
      <c r="N30" s="2345"/>
      <c r="O30" s="2353"/>
      <c r="P30" s="3883"/>
      <c r="Q30" s="1322" t="str">
        <f t="shared" si="11"/>
        <v>建筑面积</v>
      </c>
      <c r="R30" s="1323" t="s">
        <v>63</v>
      </c>
      <c r="S30" s="1324" t="e">
        <f t="shared" si="12"/>
        <v>#N/A</v>
      </c>
      <c r="T30" s="1323" t="s">
        <v>63</v>
      </c>
      <c r="U30" s="1324" t="e">
        <f t="shared" si="13"/>
        <v>#N/A</v>
      </c>
      <c r="V30" s="1323" t="s">
        <v>63</v>
      </c>
      <c r="W30" s="1324" t="e">
        <f t="shared" si="14"/>
        <v>#N/A</v>
      </c>
      <c r="X30" s="1317"/>
      <c r="Y30" s="3883"/>
      <c r="Z30" s="1325" t="str">
        <f t="shared" si="15"/>
        <v>建筑面积</v>
      </c>
      <c r="AA30" s="1326" t="e">
        <f t="shared" si="3"/>
        <v>#N/A</v>
      </c>
      <c r="AB30" s="1326" t="e">
        <f t="shared" si="4"/>
        <v>#N/A</v>
      </c>
      <c r="AC30" s="1326" t="e">
        <f t="shared" si="5"/>
        <v>#N/A</v>
      </c>
    </row>
    <row r="31" spans="1:29" s="407" customFormat="1" ht="15">
      <c r="A31" s="815"/>
      <c r="B31" s="764" t="s">
        <v>475</v>
      </c>
      <c r="C31" s="1412"/>
      <c r="D31" s="426">
        <v>100</v>
      </c>
      <c r="E31" s="1412"/>
      <c r="F31" s="803">
        <f>SUMIF(89:89,E31,90:90)-SUMIF(89:89,C31,90:90)+100</f>
        <v>100</v>
      </c>
      <c r="G31" s="1412"/>
      <c r="H31" s="777">
        <f>SUMIF(89:89,G31,90:90)-SUMIF(89:89,C31,90:90)+100</f>
        <v>100</v>
      </c>
      <c r="I31" s="1412"/>
      <c r="J31" s="777">
        <f>SUMIF(89:89,I31,90:90)-SUMIF(89:89,C31,90:90)+100</f>
        <v>100</v>
      </c>
      <c r="K31" s="954"/>
      <c r="L31" s="2346"/>
      <c r="M31" s="2347"/>
      <c r="N31" s="2347"/>
      <c r="O31" s="2348"/>
      <c r="P31" s="3883"/>
      <c r="Q31" s="296" t="str">
        <f t="shared" si="11"/>
        <v>是否封闭</v>
      </c>
      <c r="R31" s="1318" t="s">
        <v>63</v>
      </c>
      <c r="S31" s="1319">
        <f t="shared" si="12"/>
        <v>100</v>
      </c>
      <c r="T31" s="1318" t="s">
        <v>63</v>
      </c>
      <c r="U31" s="1319">
        <f t="shared" si="13"/>
        <v>100</v>
      </c>
      <c r="V31" s="1318" t="s">
        <v>63</v>
      </c>
      <c r="W31" s="1319">
        <f t="shared" si="14"/>
        <v>100</v>
      </c>
      <c r="X31" s="1320"/>
      <c r="Y31" s="3883"/>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4"/>
      <c r="M32" s="2345"/>
      <c r="N32" s="2345"/>
      <c r="O32" s="2353"/>
      <c r="P32" s="3883" t="s">
        <v>407</v>
      </c>
      <c r="Q32" s="1322">
        <f t="shared" si="11"/>
        <v>111</v>
      </c>
      <c r="R32" s="1323" t="s">
        <v>63</v>
      </c>
      <c r="S32" s="1324">
        <f t="shared" si="12"/>
        <v>100</v>
      </c>
      <c r="T32" s="1323" t="s">
        <v>63</v>
      </c>
      <c r="U32" s="1324">
        <f t="shared" si="13"/>
        <v>100</v>
      </c>
      <c r="V32" s="1323" t="s">
        <v>63</v>
      </c>
      <c r="W32" s="1324">
        <f t="shared" si="14"/>
        <v>100</v>
      </c>
      <c r="X32" s="1317"/>
      <c r="Y32" s="3883"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4"/>
      <c r="M33" s="2345"/>
      <c r="N33" s="2345"/>
      <c r="O33" s="2353"/>
      <c r="P33" s="3883"/>
      <c r="Q33" s="1322">
        <f t="shared" si="11"/>
        <v>111</v>
      </c>
      <c r="R33" s="1323" t="s">
        <v>63</v>
      </c>
      <c r="S33" s="1324">
        <f t="shared" si="12"/>
        <v>100</v>
      </c>
      <c r="T33" s="1323" t="s">
        <v>63</v>
      </c>
      <c r="U33" s="1324">
        <f t="shared" si="13"/>
        <v>100</v>
      </c>
      <c r="V33" s="1323" t="s">
        <v>63</v>
      </c>
      <c r="W33" s="1324">
        <f t="shared" si="14"/>
        <v>100</v>
      </c>
      <c r="X33" s="1317"/>
      <c r="Y33" s="3883"/>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4"/>
      <c r="M34" s="2345"/>
      <c r="N34" s="2345"/>
      <c r="O34" s="2353"/>
      <c r="P34" s="3883"/>
      <c r="Q34" s="1322">
        <f t="shared" si="11"/>
        <v>111</v>
      </c>
      <c r="R34" s="1323" t="s">
        <v>63</v>
      </c>
      <c r="S34" s="1324">
        <f t="shared" si="12"/>
        <v>100</v>
      </c>
      <c r="T34" s="1323" t="s">
        <v>63</v>
      </c>
      <c r="U34" s="1324">
        <f t="shared" si="13"/>
        <v>100</v>
      </c>
      <c r="V34" s="1323" t="s">
        <v>63</v>
      </c>
      <c r="W34" s="1324">
        <f t="shared" si="14"/>
        <v>100</v>
      </c>
      <c r="X34" s="1317"/>
      <c r="Y34" s="3883"/>
      <c r="Z34" s="1325">
        <f t="shared" si="15"/>
        <v>111</v>
      </c>
      <c r="AA34" s="1326">
        <f t="shared" si="3"/>
        <v>1</v>
      </c>
      <c r="AB34" s="1326">
        <f t="shared" si="4"/>
        <v>1</v>
      </c>
      <c r="AC34" s="1326">
        <f t="shared" si="5"/>
        <v>1</v>
      </c>
    </row>
    <row r="35" spans="1:29" ht="15">
      <c r="A35" s="821" t="s">
        <v>408</v>
      </c>
      <c r="B35" s="822"/>
      <c r="C35" s="2829" t="s">
        <v>23</v>
      </c>
      <c r="D35" s="2830"/>
      <c r="E35" s="2831"/>
      <c r="F35" s="2832"/>
      <c r="G35" s="2833"/>
      <c r="H35" s="2834"/>
      <c r="I35" s="2831"/>
      <c r="J35" s="2834"/>
      <c r="K35" s="1399"/>
      <c r="L35" s="2357"/>
      <c r="M35" s="2358"/>
      <c r="N35" s="2345"/>
      <c r="O35" s="2358"/>
      <c r="P35" s="3865" t="str">
        <f>A35</f>
        <v>成交单价（元/平方米）</v>
      </c>
      <c r="Q35" s="3865"/>
      <c r="R35" s="3884">
        <f>E35</f>
        <v>0</v>
      </c>
      <c r="S35" s="3884"/>
      <c r="T35" s="3884">
        <f>G35</f>
        <v>0</v>
      </c>
      <c r="U35" s="3884"/>
      <c r="V35" s="3884">
        <f>I35</f>
        <v>0</v>
      </c>
      <c r="W35" s="3884"/>
      <c r="X35" s="1306"/>
      <c r="Y35" s="1332"/>
      <c r="Z35" s="1306"/>
      <c r="AA35" s="1306"/>
      <c r="AB35" s="1306"/>
      <c r="AC35" s="1306"/>
    </row>
    <row r="36" spans="1:29" ht="15.75" thickBot="1">
      <c r="A36" s="828" t="s">
        <v>409</v>
      </c>
      <c r="B36" s="829"/>
      <c r="C36" s="2835" t="e">
        <f>R37</f>
        <v>#DIV/0!</v>
      </c>
      <c r="D36" s="2836"/>
      <c r="E36" s="2837" t="e">
        <f>R36</f>
        <v>#DIV/0!</v>
      </c>
      <c r="F36" s="2837"/>
      <c r="G36" s="2835" t="e">
        <f>T36</f>
        <v>#DIV/0!</v>
      </c>
      <c r="H36" s="2836"/>
      <c r="I36" s="2837" t="e">
        <f>V36</f>
        <v>#DIV/0!</v>
      </c>
      <c r="J36" s="2836"/>
      <c r="K36" s="1400"/>
      <c r="L36" s="2357"/>
      <c r="M36" s="2358"/>
      <c r="N36" s="2345"/>
      <c r="O36" s="2358"/>
      <c r="P36" s="3865" t="str">
        <f>A36</f>
        <v>比较价值（元/平方米）</v>
      </c>
      <c r="Q36" s="3865"/>
      <c r="R36" s="3884" t="e">
        <f>IF(F1="售价",ROUND(PRODUCT(R35,AA7:AA34),0),ROUND(PRODUCT(R35,AA7:AA34),1))</f>
        <v>#DIV/0!</v>
      </c>
      <c r="S36" s="3884"/>
      <c r="T36" s="3884" t="e">
        <f>IF(F1="售价",ROUND(PRODUCT(T35,AB7:AB34),0),ROUND(PRODUCT(T35,AB7:AB34),1))</f>
        <v>#DIV/0!</v>
      </c>
      <c r="U36" s="3884"/>
      <c r="V36" s="3884" t="e">
        <f>IF(F1="售价",ROUND(PRODUCT(V35,AC7:AC34),0),ROUND(PRODUCT(V35,AC7:AC34),1))</f>
        <v>#DIV/0!</v>
      </c>
      <c r="W36" s="3884"/>
      <c r="X36" s="1306"/>
      <c r="Y36" s="1306"/>
      <c r="Z36" s="1306"/>
      <c r="AA36" s="1306"/>
      <c r="AB36" s="1306"/>
      <c r="AC36" s="1306"/>
    </row>
    <row r="37" spans="1:29" ht="15.75" thickBot="1">
      <c r="A37" s="115" t="s">
        <v>3012</v>
      </c>
      <c r="B37" s="835"/>
      <c r="C37" s="2839" t="e">
        <f>R37</f>
        <v>#DIV/0!</v>
      </c>
      <c r="D37" s="2839"/>
      <c r="E37" s="2839"/>
      <c r="F37" s="2839"/>
      <c r="G37" s="2839"/>
      <c r="H37" s="2839"/>
      <c r="I37" s="2839"/>
      <c r="J37" s="2839"/>
      <c r="K37" s="1401"/>
      <c r="L37" s="2357"/>
      <c r="M37" s="2358"/>
      <c r="N37" s="2358"/>
      <c r="O37" s="2358"/>
      <c r="P37" s="3885" t="str">
        <f>A37</f>
        <v>估价对象XX用房的比较价值（楼面单价，元/平方米）</v>
      </c>
      <c r="Q37" s="3886"/>
      <c r="R37" s="3887" t="e">
        <f>IF(F1="售价",ROUND(AVERAGE(R36:V36),0),ROUND(AVERAGE(R36:V36),1))</f>
        <v>#DIV/0!</v>
      </c>
      <c r="S37" s="3887"/>
      <c r="T37" s="3887"/>
      <c r="U37" s="3887"/>
      <c r="V37" s="3887"/>
      <c r="W37" s="3887"/>
      <c r="X37" s="1306"/>
      <c r="Y37" s="1306"/>
      <c r="Z37" s="1306"/>
      <c r="AA37" s="1306"/>
      <c r="AB37" s="1306"/>
      <c r="AC37" s="1306"/>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4"/>
      <c r="L40" s="2185"/>
      <c r="M40" s="2358"/>
      <c r="N40" s="2358"/>
      <c r="O40" s="2358"/>
    </row>
    <row r="41" spans="1:29" ht="13.5" customHeight="1">
      <c r="A41" s="2358"/>
      <c r="B41" s="2358"/>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4"/>
      <c r="L41" s="2185"/>
      <c r="M41" s="2358"/>
      <c r="N41" s="2358"/>
      <c r="O41" s="2358"/>
    </row>
    <row r="42" spans="1:29" s="844" customFormat="1" ht="13.5" customHeight="1">
      <c r="A42" s="2359"/>
      <c r="B42" s="2359"/>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2"/>
      <c r="L42" s="2363"/>
      <c r="M42" s="2359"/>
      <c r="N42" s="2359"/>
      <c r="O42" s="2359"/>
    </row>
    <row r="43" spans="1:29" s="844"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9"/>
    </row>
    <row r="47" spans="1:29" s="407" customFormat="1" ht="15">
      <c r="A47" s="851"/>
      <c r="B47" s="852"/>
      <c r="C47" s="3035">
        <v>100</v>
      </c>
      <c r="D47" s="854"/>
      <c r="E47" s="854"/>
      <c r="F47" s="854"/>
      <c r="G47" s="854"/>
      <c r="H47" s="854"/>
      <c r="I47" s="854"/>
      <c r="J47" s="854"/>
      <c r="K47" s="854"/>
      <c r="L47" s="854"/>
      <c r="M47" s="855"/>
      <c r="N47" s="854"/>
      <c r="O47" s="856"/>
      <c r="P47" s="846"/>
    </row>
    <row r="48" spans="1:29" s="407" customFormat="1" ht="15.75" thickBot="1">
      <c r="A48" s="857" t="s">
        <v>414</v>
      </c>
      <c r="B48" s="858"/>
      <c r="C48" s="859"/>
      <c r="D48" s="860"/>
      <c r="E48" s="860"/>
      <c r="F48" s="860"/>
      <c r="G48" s="860"/>
      <c r="H48" s="860"/>
      <c r="I48" s="860"/>
      <c r="J48" s="860"/>
      <c r="K48" s="860"/>
      <c r="L48" s="860"/>
      <c r="M48" s="861"/>
      <c r="N48" s="860"/>
      <c r="O48" s="862"/>
      <c r="P48" s="846"/>
      <c r="Q48" s="846"/>
    </row>
    <row r="49" spans="1:17" s="407" customFormat="1" ht="15">
      <c r="A49" s="863" t="s">
        <v>398</v>
      </c>
      <c r="B49" s="852"/>
      <c r="C49" s="864" t="s">
        <v>415</v>
      </c>
      <c r="D49" s="140"/>
      <c r="E49" s="140"/>
      <c r="F49" s="140"/>
      <c r="G49" s="140"/>
      <c r="H49" s="140"/>
      <c r="I49" s="140"/>
      <c r="J49" s="140"/>
      <c r="K49" s="140"/>
      <c r="L49" s="141"/>
      <c r="M49" s="1050"/>
      <c r="N49" s="2365"/>
      <c r="O49" s="2365"/>
      <c r="P49" s="868"/>
      <c r="Q49" s="846"/>
    </row>
    <row r="50" spans="1:17" s="407" customFormat="1" ht="15.75" thickBot="1">
      <c r="A50" s="863"/>
      <c r="B50" s="852"/>
      <c r="C50" s="981">
        <v>100</v>
      </c>
      <c r="D50" s="854"/>
      <c r="E50" s="854"/>
      <c r="F50" s="854"/>
      <c r="G50" s="854"/>
      <c r="H50" s="854"/>
      <c r="I50" s="854"/>
      <c r="J50" s="854"/>
      <c r="K50" s="854"/>
      <c r="L50" s="854"/>
      <c r="M50" s="856"/>
      <c r="N50" s="2365"/>
      <c r="O50" s="2365"/>
      <c r="P50" s="846"/>
      <c r="Q50" s="846"/>
    </row>
    <row r="51" spans="1:17">
      <c r="A51" s="869" t="s">
        <v>416</v>
      </c>
      <c r="B51" s="870" t="s">
        <v>417</v>
      </c>
      <c r="C51" s="871">
        <f>C9</f>
        <v>0</v>
      </c>
      <c r="D51" s="122"/>
      <c r="E51" s="122"/>
      <c r="F51" s="122"/>
      <c r="G51" s="122"/>
      <c r="H51" s="122"/>
      <c r="I51" s="122"/>
      <c r="J51" s="122"/>
      <c r="K51" s="123"/>
      <c r="L51" s="124"/>
      <c r="M51" s="125"/>
      <c r="N51" s="2366"/>
      <c r="O51" s="2366"/>
      <c r="P51" s="334"/>
      <c r="Q51" s="846"/>
    </row>
    <row r="52" spans="1:17" ht="15.75" thickBot="1">
      <c r="A52" s="876"/>
      <c r="B52" s="877"/>
      <c r="C52" s="878">
        <v>100</v>
      </c>
      <c r="D52" s="878"/>
      <c r="E52" s="878"/>
      <c r="F52" s="878"/>
      <c r="G52" s="878"/>
      <c r="H52" s="878"/>
      <c r="I52" s="878"/>
      <c r="J52" s="878"/>
      <c r="K52" s="878"/>
      <c r="L52" s="878"/>
      <c r="M52" s="879"/>
      <c r="N52" s="2367"/>
      <c r="O52" s="2367"/>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6"/>
      <c r="O53" s="2366"/>
      <c r="P53" s="334"/>
      <c r="Q53" s="846"/>
    </row>
    <row r="54" spans="1:17" ht="15.75" thickBot="1">
      <c r="A54" s="876"/>
      <c r="B54" s="885"/>
      <c r="C54" s="886" t="s">
        <v>136</v>
      </c>
      <c r="D54" s="886" t="s">
        <v>137</v>
      </c>
      <c r="E54" s="886">
        <v>100</v>
      </c>
      <c r="F54" s="886">
        <f>E54-$K10</f>
        <v>100</v>
      </c>
      <c r="G54" s="886">
        <f>F54-$K10</f>
        <v>100</v>
      </c>
      <c r="H54" s="886">
        <f>G54-$K10</f>
        <v>100</v>
      </c>
      <c r="I54" s="886">
        <f>H54-$K10</f>
        <v>100</v>
      </c>
      <c r="J54" s="886"/>
      <c r="K54" s="886"/>
      <c r="L54" s="886"/>
      <c r="M54" s="887"/>
      <c r="N54" s="2367"/>
      <c r="O54" s="2367"/>
      <c r="P54" s="334"/>
      <c r="Q54" s="846"/>
    </row>
    <row r="55" spans="1:17" ht="15.75" thickTop="1">
      <c r="A55" s="876"/>
      <c r="B55" s="213">
        <f>B11</f>
        <v>111</v>
      </c>
      <c r="C55" s="126"/>
      <c r="D55" s="126"/>
      <c r="E55" s="126"/>
      <c r="F55" s="126"/>
      <c r="G55" s="126"/>
      <c r="H55" s="126"/>
      <c r="I55" s="126"/>
      <c r="J55" s="126"/>
      <c r="K55" s="127"/>
      <c r="L55" s="128"/>
      <c r="M55" s="129"/>
      <c r="N55" s="2366"/>
      <c r="O55" s="2366"/>
      <c r="P55" s="334"/>
      <c r="Q55" s="846"/>
    </row>
    <row r="56" spans="1:17" ht="15.75" thickBot="1">
      <c r="A56" s="876"/>
      <c r="B56" s="1052"/>
      <c r="C56" s="902"/>
      <c r="D56" s="878"/>
      <c r="E56" s="878"/>
      <c r="F56" s="878"/>
      <c r="G56" s="878"/>
      <c r="H56" s="878"/>
      <c r="I56" s="878"/>
      <c r="J56" s="878"/>
      <c r="K56" s="878"/>
      <c r="L56" s="878"/>
      <c r="M56" s="879"/>
      <c r="N56" s="2367"/>
      <c r="O56" s="2367"/>
      <c r="P56" s="334"/>
      <c r="Q56" s="846"/>
    </row>
    <row r="57" spans="1:17" s="813" customFormat="1" ht="15.75" thickTop="1">
      <c r="A57" s="895"/>
      <c r="B57" s="1053">
        <f>B12</f>
        <v>111</v>
      </c>
      <c r="C57" s="126"/>
      <c r="D57" s="126"/>
      <c r="E57" s="126"/>
      <c r="F57" s="126"/>
      <c r="G57" s="139"/>
      <c r="H57" s="1058"/>
      <c r="I57" s="1058"/>
      <c r="J57" s="1058"/>
      <c r="K57" s="1058"/>
      <c r="L57" s="1059"/>
      <c r="M57" s="1060"/>
      <c r="N57" s="2368"/>
      <c r="O57" s="2368"/>
      <c r="P57" s="900"/>
      <c r="Q57" s="901"/>
    </row>
    <row r="58" spans="1:17" s="813" customFormat="1" ht="15.75" thickBot="1">
      <c r="A58" s="895"/>
      <c r="B58" s="1054"/>
      <c r="C58" s="902"/>
      <c r="D58" s="878"/>
      <c r="E58" s="878"/>
      <c r="F58" s="878"/>
      <c r="G58" s="878"/>
      <c r="H58" s="878"/>
      <c r="I58" s="878"/>
      <c r="J58" s="878"/>
      <c r="K58" s="878"/>
      <c r="L58" s="878"/>
      <c r="M58" s="879"/>
      <c r="N58" s="2367"/>
      <c r="O58" s="2367"/>
      <c r="P58" s="900"/>
      <c r="Q58" s="901"/>
    </row>
    <row r="59" spans="1:17" s="813" customFormat="1" ht="15.75" thickTop="1">
      <c r="A59" s="895"/>
      <c r="B59" s="1053">
        <f>B13</f>
        <v>111</v>
      </c>
      <c r="C59" s="126"/>
      <c r="D59" s="126"/>
      <c r="E59" s="126"/>
      <c r="F59" s="126"/>
      <c r="G59" s="139"/>
      <c r="H59" s="1058"/>
      <c r="I59" s="1058"/>
      <c r="J59" s="1058"/>
      <c r="K59" s="1058"/>
      <c r="L59" s="1059"/>
      <c r="M59" s="1060"/>
      <c r="N59" s="2368"/>
      <c r="O59" s="2368"/>
      <c r="P59" s="812"/>
      <c r="Q59" s="903"/>
    </row>
    <row r="60" spans="1:17" s="813" customFormat="1" ht="15.75" thickBot="1">
      <c r="A60" s="895"/>
      <c r="B60" s="1054"/>
      <c r="C60" s="902"/>
      <c r="D60" s="902"/>
      <c r="E60" s="902"/>
      <c r="F60" s="902"/>
      <c r="G60" s="902"/>
      <c r="H60" s="904"/>
      <c r="I60" s="904"/>
      <c r="J60" s="904"/>
      <c r="K60" s="904"/>
      <c r="L60" s="904"/>
      <c r="M60" s="905"/>
      <c r="N60" s="2368"/>
      <c r="O60" s="2368"/>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6"/>
      <c r="O61" s="2366"/>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7"/>
      <c r="O62" s="2367"/>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6"/>
      <c r="O63" s="2366"/>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7"/>
      <c r="O64" s="2367"/>
      <c r="P64" s="334"/>
      <c r="Q64" s="846"/>
    </row>
    <row r="65" spans="1:17" ht="15.75" thickTop="1">
      <c r="A65" s="876"/>
      <c r="B65" s="1055" t="s">
        <v>2662</v>
      </c>
      <c r="C65" s="213" t="s">
        <v>2652</v>
      </c>
      <c r="D65" s="213" t="s">
        <v>2653</v>
      </c>
      <c r="E65" s="213" t="s">
        <v>2654</v>
      </c>
      <c r="F65" s="213" t="s">
        <v>2655</v>
      </c>
      <c r="G65" s="213" t="s">
        <v>2656</v>
      </c>
      <c r="H65" s="881"/>
      <c r="I65" s="881"/>
      <c r="J65" s="881"/>
      <c r="K65" s="881"/>
      <c r="L65" s="881"/>
      <c r="M65" s="2761"/>
      <c r="N65" s="2367"/>
      <c r="O65" s="2367"/>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7"/>
      <c r="O66" s="2367"/>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6"/>
      <c r="O67" s="2366"/>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7"/>
      <c r="O68" s="2367"/>
      <c r="P68" s="334"/>
      <c r="Q68" s="846"/>
    </row>
    <row r="69" spans="1:17" ht="15.75" thickTop="1">
      <c r="A69" s="876"/>
      <c r="B69" s="880" t="s">
        <v>431</v>
      </c>
      <c r="C69" s="139"/>
      <c r="D69" s="139"/>
      <c r="E69" s="139"/>
      <c r="F69" s="139"/>
      <c r="G69" s="139"/>
      <c r="H69" s="131"/>
      <c r="I69" s="131"/>
      <c r="J69" s="131"/>
      <c r="K69" s="132"/>
      <c r="L69" s="133"/>
      <c r="M69" s="134"/>
      <c r="N69" s="2366"/>
      <c r="O69" s="2366"/>
      <c r="P69" s="334"/>
      <c r="Q69" s="846"/>
    </row>
    <row r="70" spans="1:17" ht="15.75" thickBot="1">
      <c r="A70" s="876"/>
      <c r="B70" s="885"/>
      <c r="C70" s="886">
        <v>100</v>
      </c>
      <c r="D70" s="886">
        <f>C70-$K22</f>
        <v>100</v>
      </c>
      <c r="E70" s="886"/>
      <c r="F70" s="886"/>
      <c r="G70" s="886"/>
      <c r="H70" s="886"/>
      <c r="I70" s="886"/>
      <c r="J70" s="886"/>
      <c r="K70" s="886"/>
      <c r="L70" s="886"/>
      <c r="M70" s="887"/>
      <c r="N70" s="2367"/>
      <c r="O70" s="2367"/>
      <c r="P70" s="334"/>
      <c r="Q70" s="846"/>
    </row>
    <row r="71" spans="1:17" s="407" customFormat="1" ht="15.75" thickTop="1">
      <c r="A71" s="921"/>
      <c r="B71" s="1053">
        <f>B23</f>
        <v>111</v>
      </c>
      <c r="C71" s="126"/>
      <c r="D71" s="126"/>
      <c r="E71" s="126"/>
      <c r="F71" s="126"/>
      <c r="G71" s="139"/>
      <c r="H71" s="139"/>
      <c r="I71" s="139"/>
      <c r="J71" s="139"/>
      <c r="K71" s="139"/>
      <c r="L71" s="1383"/>
      <c r="M71" s="1384"/>
      <c r="N71" s="2365"/>
      <c r="O71" s="2365"/>
      <c r="P71" s="334"/>
      <c r="Q71" s="846"/>
    </row>
    <row r="72" spans="1:17" s="407" customFormat="1" ht="15.75" thickBot="1">
      <c r="A72" s="921"/>
      <c r="B72" s="1054"/>
      <c r="C72" s="902"/>
      <c r="D72" s="878"/>
      <c r="E72" s="878"/>
      <c r="F72" s="878"/>
      <c r="G72" s="878"/>
      <c r="H72" s="878"/>
      <c r="I72" s="878"/>
      <c r="J72" s="878"/>
      <c r="K72" s="878"/>
      <c r="L72" s="878"/>
      <c r="M72" s="879"/>
      <c r="N72" s="2367"/>
      <c r="O72" s="2367"/>
      <c r="P72" s="334"/>
      <c r="Q72" s="846"/>
    </row>
    <row r="73" spans="1:17" s="407" customFormat="1" ht="15.75" thickTop="1">
      <c r="A73" s="921"/>
      <c r="B73" s="1053">
        <f>B24</f>
        <v>111</v>
      </c>
      <c r="C73" s="126"/>
      <c r="D73" s="126"/>
      <c r="E73" s="126"/>
      <c r="F73" s="126"/>
      <c r="G73" s="139"/>
      <c r="H73" s="139"/>
      <c r="I73" s="139"/>
      <c r="J73" s="139"/>
      <c r="K73" s="139"/>
      <c r="L73" s="139"/>
      <c r="M73" s="1384"/>
      <c r="N73" s="2365"/>
      <c r="O73" s="2365"/>
      <c r="P73" s="334"/>
      <c r="Q73" s="846"/>
    </row>
    <row r="74" spans="1:17" s="407" customFormat="1" ht="15.75" thickBot="1">
      <c r="A74" s="921"/>
      <c r="B74" s="1054"/>
      <c r="C74" s="902"/>
      <c r="D74" s="878"/>
      <c r="E74" s="878"/>
      <c r="F74" s="878"/>
      <c r="G74" s="878"/>
      <c r="H74" s="878"/>
      <c r="I74" s="878"/>
      <c r="J74" s="878"/>
      <c r="K74" s="878"/>
      <c r="L74" s="878"/>
      <c r="M74" s="879"/>
      <c r="N74" s="2367"/>
      <c r="O74" s="2367"/>
      <c r="P74" s="334"/>
      <c r="Q74" s="846"/>
    </row>
    <row r="75" spans="1:17" s="813" customFormat="1" ht="15.75" thickTop="1">
      <c r="A75" s="895"/>
      <c r="B75" s="1053">
        <f>B25</f>
        <v>111</v>
      </c>
      <c r="C75" s="126"/>
      <c r="D75" s="126"/>
      <c r="E75" s="126"/>
      <c r="F75" s="126"/>
      <c r="G75" s="139"/>
      <c r="H75" s="1058"/>
      <c r="I75" s="1058"/>
      <c r="J75" s="1058"/>
      <c r="K75" s="1058"/>
      <c r="L75" s="1059"/>
      <c r="M75" s="1060"/>
      <c r="N75" s="2368"/>
      <c r="O75" s="2368"/>
      <c r="P75" s="900"/>
      <c r="Q75" s="901"/>
    </row>
    <row r="76" spans="1:17" s="813" customFormat="1" ht="15.75" thickBot="1">
      <c r="A76" s="895"/>
      <c r="B76" s="1054"/>
      <c r="C76" s="902"/>
      <c r="D76" s="902"/>
      <c r="E76" s="902"/>
      <c r="F76" s="902"/>
      <c r="G76" s="878"/>
      <c r="H76" s="878"/>
      <c r="I76" s="878"/>
      <c r="J76" s="878"/>
      <c r="K76" s="878"/>
      <c r="L76" s="878"/>
      <c r="M76" s="879"/>
      <c r="N76" s="2368"/>
      <c r="O76" s="2368"/>
      <c r="P76" s="900"/>
      <c r="Q76" s="901"/>
    </row>
    <row r="77" spans="1:17" ht="15" thickTop="1">
      <c r="A77" s="869" t="s">
        <v>406</v>
      </c>
      <c r="B77" s="870" t="s">
        <v>432</v>
      </c>
      <c r="C77" s="139"/>
      <c r="D77" s="139"/>
      <c r="E77" s="122"/>
      <c r="F77" s="122"/>
      <c r="G77" s="122"/>
      <c r="H77" s="122"/>
      <c r="I77" s="122"/>
      <c r="J77" s="122"/>
      <c r="K77" s="123"/>
      <c r="L77" s="124"/>
      <c r="M77" s="125"/>
      <c r="N77" s="2366"/>
      <c r="O77" s="2366"/>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7"/>
      <c r="O78" s="2367"/>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5"/>
      <c r="O79" s="2365"/>
      <c r="P79" s="334"/>
      <c r="Q79" s="846"/>
    </row>
    <row r="80" spans="1:17" ht="15">
      <c r="A80" s="876"/>
      <c r="B80" s="888"/>
      <c r="C80" s="945">
        <v>0.5</v>
      </c>
      <c r="D80" s="945">
        <v>0.6</v>
      </c>
      <c r="E80" s="945">
        <v>0.7</v>
      </c>
      <c r="F80" s="945">
        <v>0.8</v>
      </c>
      <c r="G80" s="945">
        <v>0.9</v>
      </c>
      <c r="H80" s="945">
        <v>1.0001</v>
      </c>
      <c r="I80" s="1002"/>
      <c r="J80" s="1002"/>
      <c r="K80" s="1010"/>
      <c r="L80" s="1011"/>
      <c r="M80" s="1012"/>
      <c r="N80" s="2365"/>
      <c r="O80" s="2365"/>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7"/>
      <c r="O81" s="2367"/>
      <c r="P81" s="900"/>
      <c r="Q81" s="901"/>
    </row>
    <row r="82" spans="1:17" ht="15" thickTop="1">
      <c r="A82" s="941"/>
      <c r="B82" s="888" t="s">
        <v>468</v>
      </c>
      <c r="C82" s="139"/>
      <c r="D82" s="139"/>
      <c r="E82" s="131"/>
      <c r="F82" s="131"/>
      <c r="G82" s="131"/>
      <c r="H82" s="131"/>
      <c r="I82" s="131"/>
      <c r="J82" s="131"/>
      <c r="K82" s="132"/>
      <c r="L82" s="133"/>
      <c r="M82" s="134"/>
      <c r="N82" s="2366"/>
      <c r="O82" s="2366"/>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7"/>
      <c r="O83" s="2367"/>
      <c r="P83" s="334"/>
      <c r="Q83" s="846"/>
    </row>
    <row r="84" spans="1:17" ht="15" thickTop="1">
      <c r="A84" s="941"/>
      <c r="B84" s="880" t="s">
        <v>476</v>
      </c>
      <c r="C84" s="139"/>
      <c r="D84" s="139"/>
      <c r="E84" s="139"/>
      <c r="F84" s="139"/>
      <c r="G84" s="139"/>
      <c r="H84" s="139"/>
      <c r="I84" s="131"/>
      <c r="J84" s="131"/>
      <c r="K84" s="132"/>
      <c r="L84" s="133"/>
      <c r="M84" s="134"/>
      <c r="N84" s="2366"/>
      <c r="O84" s="2366"/>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7"/>
      <c r="O85" s="2367"/>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6"/>
      <c r="O86" s="2366"/>
      <c r="P86" s="334"/>
      <c r="Q86" s="846"/>
    </row>
    <row r="87" spans="1:17">
      <c r="A87" s="941"/>
      <c r="B87" s="888"/>
      <c r="C87" s="937"/>
      <c r="D87" s="937"/>
      <c r="E87" s="937"/>
      <c r="F87" s="937"/>
      <c r="G87" s="937"/>
      <c r="H87" s="937"/>
      <c r="I87" s="937"/>
      <c r="J87" s="938"/>
      <c r="K87" s="938"/>
      <c r="L87" s="939"/>
      <c r="M87" s="940"/>
      <c r="N87" s="2366"/>
      <c r="O87" s="2366"/>
      <c r="P87" s="334"/>
      <c r="Q87" s="846"/>
    </row>
    <row r="88" spans="1:17" ht="15.75" thickBot="1">
      <c r="A88" s="876"/>
      <c r="B88" s="885"/>
      <c r="C88" s="902"/>
      <c r="D88" s="878"/>
      <c r="E88" s="878"/>
      <c r="F88" s="878"/>
      <c r="G88" s="878"/>
      <c r="H88" s="878"/>
      <c r="I88" s="878"/>
      <c r="J88" s="878"/>
      <c r="K88" s="878"/>
      <c r="L88" s="878"/>
      <c r="M88" s="878"/>
      <c r="N88" s="2367"/>
      <c r="O88" s="2367"/>
      <c r="P88" s="334"/>
      <c r="Q88" s="846"/>
    </row>
    <row r="89" spans="1:17" s="813" customFormat="1" ht="15" thickTop="1">
      <c r="A89" s="935"/>
      <c r="B89" s="880" t="s">
        <v>478</v>
      </c>
      <c r="C89" s="139"/>
      <c r="D89" s="139"/>
      <c r="E89" s="139"/>
      <c r="F89" s="139"/>
      <c r="G89" s="139"/>
      <c r="H89" s="139"/>
      <c r="I89" s="139"/>
      <c r="J89" s="139"/>
      <c r="K89" s="139"/>
      <c r="L89" s="139"/>
      <c r="M89" s="1384"/>
      <c r="N89" s="2368"/>
      <c r="O89" s="2368"/>
      <c r="P89" s="900"/>
      <c r="Q89" s="901"/>
    </row>
    <row r="90" spans="1:17" s="813" customFormat="1" ht="15.75" thickBot="1">
      <c r="A90" s="895"/>
      <c r="B90" s="885"/>
      <c r="C90" s="902"/>
      <c r="D90" s="878"/>
      <c r="E90" s="878"/>
      <c r="F90" s="878"/>
      <c r="G90" s="878"/>
      <c r="H90" s="878"/>
      <c r="I90" s="878"/>
      <c r="J90" s="878"/>
      <c r="K90" s="878"/>
      <c r="L90" s="878"/>
      <c r="M90" s="879"/>
      <c r="N90" s="2368"/>
      <c r="O90" s="2368"/>
      <c r="P90" s="900"/>
      <c r="Q90" s="901"/>
    </row>
    <row r="91" spans="1:17" ht="15" thickTop="1">
      <c r="A91" s="941"/>
      <c r="B91" s="1053">
        <f>B32</f>
        <v>111</v>
      </c>
      <c r="C91" s="126"/>
      <c r="D91" s="126"/>
      <c r="E91" s="126"/>
      <c r="F91" s="126"/>
      <c r="G91" s="139"/>
      <c r="H91" s="1058"/>
      <c r="I91" s="1058"/>
      <c r="J91" s="1058"/>
      <c r="K91" s="1058"/>
      <c r="L91" s="1059"/>
      <c r="M91" s="1060"/>
      <c r="N91" s="2366"/>
      <c r="O91" s="2366"/>
      <c r="P91" s="334"/>
      <c r="Q91" s="846"/>
    </row>
    <row r="92" spans="1:17" ht="15.75" thickBot="1">
      <c r="A92" s="876"/>
      <c r="B92" s="1054"/>
      <c r="C92" s="902"/>
      <c r="D92" s="878"/>
      <c r="E92" s="878"/>
      <c r="F92" s="878"/>
      <c r="G92" s="902"/>
      <c r="H92" s="904"/>
      <c r="I92" s="904"/>
      <c r="J92" s="904"/>
      <c r="K92" s="904"/>
      <c r="L92" s="904"/>
      <c r="M92" s="905"/>
      <c r="N92" s="2367"/>
      <c r="O92" s="2367"/>
      <c r="P92" s="334"/>
      <c r="Q92" s="846"/>
    </row>
    <row r="93" spans="1:17" ht="15" thickTop="1">
      <c r="A93" s="941"/>
      <c r="B93" s="1053">
        <f>B33</f>
        <v>111</v>
      </c>
      <c r="C93" s="126"/>
      <c r="D93" s="126"/>
      <c r="E93" s="126"/>
      <c r="F93" s="126"/>
      <c r="G93" s="139"/>
      <c r="H93" s="1058"/>
      <c r="I93" s="1058"/>
      <c r="J93" s="1058"/>
      <c r="K93" s="1058"/>
      <c r="L93" s="1059"/>
      <c r="M93" s="1060"/>
      <c r="N93" s="2366"/>
      <c r="O93" s="2366"/>
      <c r="P93" s="334"/>
      <c r="Q93" s="846"/>
    </row>
    <row r="94" spans="1:17" ht="15.75" thickBot="1">
      <c r="A94" s="876"/>
      <c r="B94" s="1054"/>
      <c r="C94" s="902"/>
      <c r="D94" s="878"/>
      <c r="E94" s="878"/>
      <c r="F94" s="878"/>
      <c r="G94" s="902"/>
      <c r="H94" s="904"/>
      <c r="I94" s="904"/>
      <c r="J94" s="904"/>
      <c r="K94" s="904"/>
      <c r="L94" s="904"/>
      <c r="M94" s="905"/>
      <c r="N94" s="2367"/>
      <c r="O94" s="2367"/>
      <c r="P94" s="334"/>
      <c r="Q94" s="846"/>
    </row>
    <row r="95" spans="1:17" ht="15" thickTop="1">
      <c r="A95" s="941"/>
      <c r="B95" s="211">
        <f>B34</f>
        <v>111</v>
      </c>
      <c r="C95" s="126"/>
      <c r="D95" s="126"/>
      <c r="E95" s="126"/>
      <c r="F95" s="126"/>
      <c r="G95" s="139"/>
      <c r="H95" s="1058"/>
      <c r="I95" s="1058"/>
      <c r="J95" s="1058"/>
      <c r="K95" s="1058"/>
      <c r="L95" s="1059"/>
      <c r="M95" s="1060"/>
      <c r="N95" s="2367"/>
      <c r="O95" s="2367"/>
      <c r="P95" s="979"/>
      <c r="Q95" s="980"/>
    </row>
    <row r="96" spans="1:17" ht="15.75" thickBot="1">
      <c r="A96" s="876"/>
      <c r="B96" s="1054"/>
      <c r="C96" s="902"/>
      <c r="D96" s="902"/>
      <c r="E96" s="902"/>
      <c r="F96" s="902"/>
      <c r="G96" s="902"/>
      <c r="H96" s="904"/>
      <c r="I96" s="904"/>
      <c r="J96" s="904"/>
      <c r="K96" s="904"/>
      <c r="L96" s="904"/>
      <c r="M96" s="905"/>
      <c r="N96" s="2367"/>
      <c r="O96" s="2367"/>
      <c r="P96" s="334"/>
      <c r="Q96" s="846"/>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343</v>
      </c>
      <c r="B2" s="1079" t="e">
        <f>F66</f>
        <v>#DIV/0!</v>
      </c>
      <c r="C2" s="2338"/>
      <c r="D2" s="2338"/>
      <c r="E2" s="2339"/>
      <c r="F2" s="2340"/>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c r="AD2" s="740"/>
    </row>
    <row r="3" spans="1:30" s="741" customFormat="1" ht="28.5" customHeight="1" thickBot="1">
      <c r="A3" s="579" t="s">
        <v>344</v>
      </c>
      <c r="B3" s="951" t="e">
        <f>ROUND(IF(D3="",B2*10000/'数据-汇总表'!E3,B2*10000/D3),0)</f>
        <v>#DIV/0!</v>
      </c>
      <c r="C3" s="579" t="s">
        <v>2882</v>
      </c>
      <c r="D3" s="3049"/>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30" ht="15">
      <c r="A4" s="744" t="s">
        <v>388</v>
      </c>
      <c r="B4" s="745"/>
      <c r="C4" s="3866" t="s">
        <v>389</v>
      </c>
      <c r="D4" s="3867"/>
      <c r="E4" s="3868" t="s">
        <v>390</v>
      </c>
      <c r="F4" s="3869"/>
      <c r="G4" s="3866" t="s">
        <v>391</v>
      </c>
      <c r="H4" s="3867"/>
      <c r="I4" s="3866" t="s">
        <v>392</v>
      </c>
      <c r="J4" s="3867"/>
      <c r="K4" s="952" t="s">
        <v>393</v>
      </c>
      <c r="L4" s="2344"/>
      <c r="M4" s="2345"/>
      <c r="N4" s="2345"/>
      <c r="O4" s="2345"/>
      <c r="P4" s="3870" t="s">
        <v>394</v>
      </c>
      <c r="Q4" s="3871"/>
      <c r="R4" s="3857" t="s">
        <v>390</v>
      </c>
      <c r="S4" s="3858"/>
      <c r="T4" s="3857" t="s">
        <v>391</v>
      </c>
      <c r="U4" s="3858"/>
      <c r="V4" s="3878" t="s">
        <v>392</v>
      </c>
      <c r="W4" s="3878"/>
      <c r="X4" s="1317"/>
      <c r="Y4" s="3857" t="s">
        <v>394</v>
      </c>
      <c r="Z4" s="3858"/>
      <c r="AA4" s="3852" t="s">
        <v>390</v>
      </c>
      <c r="AB4" s="3853" t="s">
        <v>391</v>
      </c>
      <c r="AC4" s="3852" t="s">
        <v>392</v>
      </c>
    </row>
    <row r="5" spans="1:30" ht="15">
      <c r="A5" s="747"/>
      <c r="B5" s="748"/>
      <c r="C5" s="3795" t="s">
        <v>1127</v>
      </c>
      <c r="D5" s="3796"/>
      <c r="E5" s="3793" t="s">
        <v>1128</v>
      </c>
      <c r="F5" s="3794"/>
      <c r="G5" s="3795" t="s">
        <v>1131</v>
      </c>
      <c r="H5" s="3796"/>
      <c r="I5" s="3795" t="s">
        <v>1129</v>
      </c>
      <c r="J5" s="3796"/>
      <c r="K5" s="952"/>
      <c r="L5" s="2344"/>
      <c r="M5" s="2345"/>
      <c r="N5" s="2345"/>
      <c r="O5" s="2345"/>
      <c r="P5" s="3872"/>
      <c r="Q5" s="3873"/>
      <c r="R5" s="3859"/>
      <c r="S5" s="3860"/>
      <c r="T5" s="3859"/>
      <c r="U5" s="3860"/>
      <c r="V5" s="3878"/>
      <c r="W5" s="3878"/>
      <c r="X5" s="1317"/>
      <c r="Y5" s="3859"/>
      <c r="Z5" s="3860"/>
      <c r="AA5" s="3853"/>
      <c r="AB5" s="3853"/>
      <c r="AC5" s="3853"/>
    </row>
    <row r="6" spans="1:30" ht="15.75" thickBot="1">
      <c r="A6" s="749"/>
      <c r="B6" s="750"/>
      <c r="C6" s="3797" t="s">
        <v>1130</v>
      </c>
      <c r="D6" s="3798"/>
      <c r="E6" s="3799" t="s">
        <v>1130</v>
      </c>
      <c r="F6" s="3800"/>
      <c r="G6" s="3797" t="s">
        <v>1130</v>
      </c>
      <c r="H6" s="3798"/>
      <c r="I6" s="3797" t="s">
        <v>1130</v>
      </c>
      <c r="J6" s="3798"/>
      <c r="K6" s="952" t="s">
        <v>395</v>
      </c>
      <c r="L6" s="2344"/>
      <c r="M6" s="2345"/>
      <c r="N6" s="2345"/>
      <c r="O6" s="2345"/>
      <c r="P6" s="3874"/>
      <c r="Q6" s="3875"/>
      <c r="R6" s="3859"/>
      <c r="S6" s="3860"/>
      <c r="T6" s="3876"/>
      <c r="U6" s="3877"/>
      <c r="V6" s="3878"/>
      <c r="W6" s="3878"/>
      <c r="X6" s="1317"/>
      <c r="Y6" s="3876"/>
      <c r="Z6" s="3877"/>
      <c r="AA6" s="3854"/>
      <c r="AB6" s="3854"/>
      <c r="AC6" s="3854"/>
    </row>
    <row r="7" spans="1:30" s="407" customFormat="1" ht="15.75" thickBot="1">
      <c r="A7" s="751" t="s">
        <v>396</v>
      </c>
      <c r="B7" s="752"/>
      <c r="C7" s="753">
        <f>'数据-取费表'!B2</f>
        <v>42970</v>
      </c>
      <c r="D7" s="754">
        <v>100</v>
      </c>
      <c r="E7" s="1016">
        <v>42309</v>
      </c>
      <c r="F7" s="756">
        <f>SUMIF(70:70,YEAR(E7)&amp;"-"&amp;INT((MONTH(E7)+2)/3),71:71)</f>
        <v>0</v>
      </c>
      <c r="G7" s="1017">
        <v>42309</v>
      </c>
      <c r="H7" s="754">
        <f>SUMIF(70:70,YEAR(G7)&amp;"-"&amp;INT((MONTH(G7)+2)/3),71:71)</f>
        <v>0</v>
      </c>
      <c r="I7" s="1017">
        <v>42036</v>
      </c>
      <c r="J7" s="754">
        <f>SUMIF(70:70,YEAR(I7)&amp;"-"&amp;INT((MONTH(I7)+2)/3),71:71)</f>
        <v>0</v>
      </c>
      <c r="K7" s="953"/>
      <c r="L7" s="2346"/>
      <c r="M7" s="2347"/>
      <c r="N7" s="2347"/>
      <c r="O7" s="2347"/>
      <c r="P7" s="3855" t="s">
        <v>397</v>
      </c>
      <c r="Q7" s="3879"/>
      <c r="R7" s="1318" t="s">
        <v>63</v>
      </c>
      <c r="S7" s="1319">
        <f t="shared" ref="S7:S15" si="0">F7</f>
        <v>0</v>
      </c>
      <c r="T7" s="1318" t="s">
        <v>63</v>
      </c>
      <c r="U7" s="1319">
        <f t="shared" ref="U7:U15" si="1">H7</f>
        <v>0</v>
      </c>
      <c r="V7" s="1318" t="s">
        <v>63</v>
      </c>
      <c r="W7" s="1319">
        <f t="shared" ref="W7:W15" si="2">J7</f>
        <v>0</v>
      </c>
      <c r="X7" s="1320"/>
      <c r="Y7" s="3855" t="s">
        <v>397</v>
      </c>
      <c r="Z7" s="3856"/>
      <c r="AA7" s="1321" t="e">
        <f>D7/F7</f>
        <v>#DIV/0!</v>
      </c>
      <c r="AB7" s="1321" t="e">
        <f>D7/H7</f>
        <v>#DIV/0!</v>
      </c>
      <c r="AC7" s="1321" t="e">
        <f>D7/J7</f>
        <v>#DIV/0!</v>
      </c>
    </row>
    <row r="8" spans="1:30" s="407" customFormat="1" ht="15.75" thickBot="1">
      <c r="A8" s="751" t="s">
        <v>398</v>
      </c>
      <c r="B8" s="752"/>
      <c r="C8" s="1019" t="s">
        <v>153</v>
      </c>
      <c r="D8" s="754">
        <v>100</v>
      </c>
      <c r="E8" s="1019"/>
      <c r="F8" s="756">
        <f>SUMIF(73:73,E8,74:74)-SUMIF(73:73,C8,74:74)+100</f>
        <v>0</v>
      </c>
      <c r="G8" s="1019"/>
      <c r="H8" s="754">
        <f>SUMIF(73:73,G8,74:74)-SUMIF(73:73,C8,74:74)+100</f>
        <v>0</v>
      </c>
      <c r="I8" s="1019"/>
      <c r="J8" s="754">
        <f>SUMIF(73:73,I8,74:74)-SUMIF(73:73,C8,74:74)+100</f>
        <v>0</v>
      </c>
      <c r="K8" s="953"/>
      <c r="L8" s="2346"/>
      <c r="M8" s="2347"/>
      <c r="N8" s="2347"/>
      <c r="O8" s="2347"/>
      <c r="P8" s="3855" t="s">
        <v>433</v>
      </c>
      <c r="Q8" s="3856"/>
      <c r="R8" s="1318" t="s">
        <v>63</v>
      </c>
      <c r="S8" s="1319">
        <f t="shared" si="0"/>
        <v>0</v>
      </c>
      <c r="T8" s="1318" t="s">
        <v>63</v>
      </c>
      <c r="U8" s="1319">
        <f t="shared" si="1"/>
        <v>0</v>
      </c>
      <c r="V8" s="1318" t="s">
        <v>63</v>
      </c>
      <c r="W8" s="1319">
        <f t="shared" si="2"/>
        <v>0</v>
      </c>
      <c r="X8" s="1320"/>
      <c r="Y8" s="3855" t="s">
        <v>433</v>
      </c>
      <c r="Z8" s="3856"/>
      <c r="AA8" s="1321" t="e">
        <f t="shared" ref="AA8:AA45" si="3">D8/F8</f>
        <v>#DIV/0!</v>
      </c>
      <c r="AB8" s="1321" t="e">
        <f t="shared" ref="AB8:AB45" si="4">D8/H8</f>
        <v>#DIV/0!</v>
      </c>
      <c r="AC8" s="1321" t="e">
        <f t="shared" ref="AC8:AC45" si="5">D8/J8</f>
        <v>#DIV/0!</v>
      </c>
    </row>
    <row r="9" spans="1:30" s="407" customFormat="1">
      <c r="A9" s="758" t="s">
        <v>399</v>
      </c>
      <c r="B9" s="361" t="s">
        <v>417</v>
      </c>
      <c r="C9" s="1021"/>
      <c r="D9" s="425">
        <v>100</v>
      </c>
      <c r="E9" s="1021"/>
      <c r="F9" s="425">
        <f>SUMIF(75:75,E9,76:76)-SUMIF(75:75,C9,76:76)+100</f>
        <v>100</v>
      </c>
      <c r="G9" s="1021"/>
      <c r="H9" s="425">
        <f>SUMIF(75:75,G9,76:76)-SUMIF(75:75,C9,76:76)+100</f>
        <v>100</v>
      </c>
      <c r="I9" s="1021"/>
      <c r="J9" s="425">
        <f>SUMIF(75:75,I9,76:76)-SUMIF(75:75,C9,76:76)+100</f>
        <v>100</v>
      </c>
      <c r="K9" s="953"/>
      <c r="L9" s="2346"/>
      <c r="M9" s="2347"/>
      <c r="N9" s="2347"/>
      <c r="O9" s="2348"/>
      <c r="P9" s="3865" t="s">
        <v>400</v>
      </c>
      <c r="Q9" s="296" t="str">
        <f t="shared" ref="Q9:Q15" si="6">B9</f>
        <v>用途</v>
      </c>
      <c r="R9" s="1318" t="s">
        <v>63</v>
      </c>
      <c r="S9" s="1319">
        <f t="shared" si="0"/>
        <v>100</v>
      </c>
      <c r="T9" s="1318" t="s">
        <v>63</v>
      </c>
      <c r="U9" s="1319">
        <f t="shared" si="1"/>
        <v>100</v>
      </c>
      <c r="V9" s="1318" t="s">
        <v>63</v>
      </c>
      <c r="W9" s="1319">
        <f t="shared" si="2"/>
        <v>100</v>
      </c>
      <c r="X9" s="1320"/>
      <c r="Y9" s="3731" t="s">
        <v>401</v>
      </c>
      <c r="Z9" s="344" t="str">
        <f t="shared" ref="Z9:Z15" si="7">Q9</f>
        <v>用途</v>
      </c>
      <c r="AA9" s="1321">
        <f t="shared" si="3"/>
        <v>1</v>
      </c>
      <c r="AB9" s="1321">
        <f t="shared" si="4"/>
        <v>1</v>
      </c>
      <c r="AC9" s="1321">
        <f t="shared" si="5"/>
        <v>1</v>
      </c>
    </row>
    <row r="10" spans="1:30" s="769" customFormat="1" ht="27">
      <c r="A10" s="763"/>
      <c r="B10" s="764" t="s">
        <v>402</v>
      </c>
      <c r="C10" s="774"/>
      <c r="D10" s="426">
        <v>100</v>
      </c>
      <c r="E10" s="807"/>
      <c r="F10" s="426" t="e">
        <f>ROUND(100/'数据-取费表'!G16,0)</f>
        <v>#DIV/0!</v>
      </c>
      <c r="G10" s="805"/>
      <c r="H10" s="426" t="e">
        <f>ROUND(100/'数据-取费表'!G16,0)</f>
        <v>#DIV/0!</v>
      </c>
      <c r="I10" s="805"/>
      <c r="J10" s="426" t="e">
        <f>ROUND(100/'数据-取费表'!G16,0)</f>
        <v>#DIV/0!</v>
      </c>
      <c r="K10" s="1080"/>
      <c r="L10" s="2349"/>
      <c r="M10" s="2350"/>
      <c r="N10" s="2350"/>
      <c r="O10" s="2351"/>
      <c r="P10" s="3865"/>
      <c r="Q10" s="296" t="str">
        <f t="shared" si="6"/>
        <v>土地使用年限（年）</v>
      </c>
      <c r="R10" s="1318" t="s">
        <v>63</v>
      </c>
      <c r="S10" s="1319" t="e">
        <f t="shared" si="0"/>
        <v>#DIV/0!</v>
      </c>
      <c r="T10" s="1318" t="s">
        <v>63</v>
      </c>
      <c r="U10" s="1319" t="e">
        <f t="shared" si="1"/>
        <v>#DIV/0!</v>
      </c>
      <c r="V10" s="1318" t="s">
        <v>63</v>
      </c>
      <c r="W10" s="1319" t="e">
        <f t="shared" si="2"/>
        <v>#DIV/0!</v>
      </c>
      <c r="X10" s="1320"/>
      <c r="Y10" s="3731"/>
      <c r="Z10" s="344" t="str">
        <f t="shared" si="7"/>
        <v>土地使用年限（年）</v>
      </c>
      <c r="AA10" s="1321" t="e">
        <f t="shared" si="3"/>
        <v>#DIV/0!</v>
      </c>
      <c r="AB10" s="1321" t="e">
        <f t="shared" si="4"/>
        <v>#DIV/0!</v>
      </c>
      <c r="AC10" s="1321" t="e">
        <f t="shared" si="5"/>
        <v>#DIV/0!</v>
      </c>
    </row>
    <row r="11" spans="1:30" ht="15">
      <c r="A11" s="770"/>
      <c r="B11" s="764" t="s">
        <v>403</v>
      </c>
      <c r="C11" s="771"/>
      <c r="D11" s="426">
        <v>100</v>
      </c>
      <c r="E11" s="771"/>
      <c r="F11" s="426" t="e">
        <f>LOOKUP(E11,80:80,81:81)-LOOKUP(C11,80:80,81:81)+100</f>
        <v>#N/A</v>
      </c>
      <c r="G11" s="772"/>
      <c r="H11" s="426" t="e">
        <f>LOOKUP(G11,80:80,81:81)-LOOKUP(C11,80:80,81:81)+100</f>
        <v>#N/A</v>
      </c>
      <c r="I11" s="771"/>
      <c r="J11" s="426" t="e">
        <f>LOOKUP(I11,80:80,81:81)-LOOKUP(C11,80:80,81:81)+100</f>
        <v>#N/A</v>
      </c>
      <c r="K11" s="1081"/>
      <c r="L11" s="2352"/>
      <c r="M11" s="2345"/>
      <c r="N11" s="2345"/>
      <c r="O11" s="2353"/>
      <c r="P11" s="3865"/>
      <c r="Q11" s="296" t="str">
        <f t="shared" si="6"/>
        <v>容积率</v>
      </c>
      <c r="R11" s="1318" t="s">
        <v>63</v>
      </c>
      <c r="S11" s="1319" t="e">
        <f t="shared" si="0"/>
        <v>#N/A</v>
      </c>
      <c r="T11" s="1318" t="s">
        <v>63</v>
      </c>
      <c r="U11" s="1319" t="e">
        <f t="shared" si="1"/>
        <v>#N/A</v>
      </c>
      <c r="V11" s="1318" t="s">
        <v>63</v>
      </c>
      <c r="W11" s="1319" t="e">
        <f t="shared" si="2"/>
        <v>#N/A</v>
      </c>
      <c r="X11" s="1320"/>
      <c r="Y11" s="3731"/>
      <c r="Z11" s="344" t="str">
        <f t="shared" si="7"/>
        <v>容积率</v>
      </c>
      <c r="AA11" s="1321" t="e">
        <f t="shared" si="3"/>
        <v>#N/A</v>
      </c>
      <c r="AB11" s="1321" t="e">
        <f t="shared" si="4"/>
        <v>#N/A</v>
      </c>
      <c r="AC11" s="1321" t="e">
        <f t="shared" si="5"/>
        <v>#N/A</v>
      </c>
    </row>
    <row r="12" spans="1:30" s="407" customFormat="1" ht="15">
      <c r="A12" s="773"/>
      <c r="B12" s="1030" t="s">
        <v>158</v>
      </c>
      <c r="C12" s="1023"/>
      <c r="D12" s="775">
        <v>100</v>
      </c>
      <c r="E12" s="1025"/>
      <c r="F12" s="426">
        <f>SUMIF(82:82,E12,83:83)-SUMIF(82:82,C12,83:83)+100</f>
        <v>100</v>
      </c>
      <c r="G12" s="1026"/>
      <c r="H12" s="426">
        <f>SUMIF(82:82,G12,83:83)-SUMIF(82:82,C12,83:83)+100</f>
        <v>100</v>
      </c>
      <c r="I12" s="1025"/>
      <c r="J12" s="426">
        <f>SUMIF(82:82,I12,83:83)-SUMIF(82:82,C12,83:83)+100</f>
        <v>100</v>
      </c>
      <c r="K12" s="1080"/>
      <c r="L12" s="2346"/>
      <c r="M12" s="2347"/>
      <c r="N12" s="2347"/>
      <c r="O12" s="2348"/>
      <c r="P12" s="3865"/>
      <c r="Q12" s="296" t="str">
        <f t="shared" si="6"/>
        <v>配建</v>
      </c>
      <c r="R12" s="1318" t="s">
        <v>63</v>
      </c>
      <c r="S12" s="1319">
        <f t="shared" si="0"/>
        <v>100</v>
      </c>
      <c r="T12" s="1318" t="s">
        <v>63</v>
      </c>
      <c r="U12" s="1319">
        <f t="shared" si="1"/>
        <v>100</v>
      </c>
      <c r="V12" s="1318" t="s">
        <v>63</v>
      </c>
      <c r="W12" s="1319">
        <f t="shared" si="2"/>
        <v>100</v>
      </c>
      <c r="X12" s="1320"/>
      <c r="Y12" s="3731"/>
      <c r="Z12" s="344" t="str">
        <f t="shared" si="7"/>
        <v>配建</v>
      </c>
      <c r="AA12" s="1321">
        <f>D12/F12</f>
        <v>1</v>
      </c>
      <c r="AB12" s="1321">
        <f>D12/H12</f>
        <v>1</v>
      </c>
      <c r="AC12" s="1321">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4"/>
      <c r="M13" s="2345"/>
      <c r="N13" s="2345"/>
      <c r="O13" s="2353"/>
      <c r="P13" s="3865"/>
      <c r="Q13" s="296">
        <f t="shared" si="6"/>
        <v>111</v>
      </c>
      <c r="R13" s="1318" t="s">
        <v>63</v>
      </c>
      <c r="S13" s="1319">
        <f t="shared" si="0"/>
        <v>100</v>
      </c>
      <c r="T13" s="1318" t="s">
        <v>63</v>
      </c>
      <c r="U13" s="1319">
        <f t="shared" si="1"/>
        <v>100</v>
      </c>
      <c r="V13" s="1318" t="s">
        <v>63</v>
      </c>
      <c r="W13" s="1319">
        <f t="shared" si="2"/>
        <v>100</v>
      </c>
      <c r="X13" s="1320"/>
      <c r="Y13" s="3731"/>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4"/>
      <c r="M14" s="2345"/>
      <c r="N14" s="2345"/>
      <c r="O14" s="2353"/>
      <c r="P14" s="3865"/>
      <c r="Q14" s="296">
        <f t="shared" si="6"/>
        <v>111</v>
      </c>
      <c r="R14" s="1318" t="s">
        <v>63</v>
      </c>
      <c r="S14" s="1319">
        <f t="shared" si="0"/>
        <v>100</v>
      </c>
      <c r="T14" s="1318" t="s">
        <v>63</v>
      </c>
      <c r="U14" s="1319">
        <f t="shared" si="1"/>
        <v>100</v>
      </c>
      <c r="V14" s="1318" t="s">
        <v>63</v>
      </c>
      <c r="W14" s="1319">
        <f t="shared" si="2"/>
        <v>100</v>
      </c>
      <c r="X14" s="1320"/>
      <c r="Y14" s="3731"/>
      <c r="Z14" s="344">
        <f t="shared" si="7"/>
        <v>111</v>
      </c>
      <c r="AA14" s="1321">
        <f>D14/F14</f>
        <v>1</v>
      </c>
      <c r="AB14" s="1321">
        <f>D14/H14</f>
        <v>1</v>
      </c>
      <c r="AC14" s="1321">
        <f>D14/J14</f>
        <v>1</v>
      </c>
    </row>
    <row r="15" spans="1:30" ht="94.5">
      <c r="A15" s="782" t="s">
        <v>404</v>
      </c>
      <c r="B15" s="359" t="s">
        <v>284</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4"/>
      <c r="M15" s="2345"/>
      <c r="N15" s="2345"/>
      <c r="O15" s="2353"/>
      <c r="P15" s="3880" t="s">
        <v>405</v>
      </c>
      <c r="Q15" s="1322" t="str">
        <f t="shared" si="6"/>
        <v>居住社区成熟度</v>
      </c>
      <c r="R15" s="1323" t="s">
        <v>63</v>
      </c>
      <c r="S15" s="1324">
        <f t="shared" si="0"/>
        <v>100</v>
      </c>
      <c r="T15" s="1323" t="s">
        <v>63</v>
      </c>
      <c r="U15" s="1324">
        <f t="shared" si="1"/>
        <v>100</v>
      </c>
      <c r="V15" s="1323" t="s">
        <v>63</v>
      </c>
      <c r="W15" s="1324">
        <f t="shared" si="2"/>
        <v>100</v>
      </c>
      <c r="X15" s="1317"/>
      <c r="Y15" s="3880" t="s">
        <v>405</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4"/>
      <c r="M16" s="2345"/>
      <c r="N16" s="2345"/>
      <c r="O16" s="2353"/>
      <c r="P16" s="3881"/>
      <c r="Q16" s="1322"/>
      <c r="R16" s="1323"/>
      <c r="S16" s="1324"/>
      <c r="T16" s="1323"/>
      <c r="U16" s="1324"/>
      <c r="V16" s="1323"/>
      <c r="W16" s="1324"/>
      <c r="X16" s="1317"/>
      <c r="Y16" s="3881"/>
      <c r="Z16" s="1325"/>
      <c r="AA16" s="1326">
        <v>1</v>
      </c>
      <c r="AB16" s="1326">
        <v>1</v>
      </c>
      <c r="AC16" s="1326">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4"/>
      <c r="M17" s="2345"/>
      <c r="N17" s="2345"/>
      <c r="O17" s="2353"/>
      <c r="P17" s="3881"/>
      <c r="Q17" s="1322" t="str">
        <f>B17</f>
        <v>商业繁华度</v>
      </c>
      <c r="R17" s="1323" t="s">
        <v>63</v>
      </c>
      <c r="S17" s="1324">
        <f>F17</f>
        <v>100</v>
      </c>
      <c r="T17" s="1323" t="s">
        <v>63</v>
      </c>
      <c r="U17" s="1324">
        <f>H17</f>
        <v>100</v>
      </c>
      <c r="V17" s="1323" t="s">
        <v>63</v>
      </c>
      <c r="W17" s="1324">
        <f>J17</f>
        <v>100</v>
      </c>
      <c r="X17" s="1317"/>
      <c r="Y17" s="3881"/>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4"/>
      <c r="M18" s="2345"/>
      <c r="N18" s="2345"/>
      <c r="O18" s="2353"/>
      <c r="P18" s="3881"/>
      <c r="Q18" s="1322"/>
      <c r="R18" s="1323"/>
      <c r="S18" s="1324"/>
      <c r="T18" s="1323"/>
      <c r="U18" s="1324"/>
      <c r="V18" s="1323"/>
      <c r="W18" s="1324"/>
      <c r="X18" s="1317"/>
      <c r="Y18" s="3881"/>
      <c r="Z18" s="1325"/>
      <c r="AA18" s="1326">
        <v>1</v>
      </c>
      <c r="AB18" s="1326">
        <v>1</v>
      </c>
      <c r="AC18" s="1326">
        <v>1</v>
      </c>
    </row>
    <row r="19" spans="1:29" ht="81">
      <c r="A19" s="770"/>
      <c r="B19" s="793" t="s">
        <v>439</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4"/>
      <c r="M19" s="2345"/>
      <c r="N19" s="2345"/>
      <c r="O19" s="2353"/>
      <c r="P19" s="3881"/>
      <c r="Q19" s="1322" t="str">
        <f>B19</f>
        <v>办公集聚程度</v>
      </c>
      <c r="R19" s="1323" t="s">
        <v>63</v>
      </c>
      <c r="S19" s="1324">
        <f>F19</f>
        <v>100</v>
      </c>
      <c r="T19" s="1323" t="s">
        <v>63</v>
      </c>
      <c r="U19" s="1324">
        <f>H19</f>
        <v>100</v>
      </c>
      <c r="V19" s="1323" t="s">
        <v>63</v>
      </c>
      <c r="W19" s="1324">
        <f>J19</f>
        <v>100</v>
      </c>
      <c r="X19" s="1317"/>
      <c r="Y19" s="3881"/>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4"/>
      <c r="M20" s="2345"/>
      <c r="N20" s="2345"/>
      <c r="O20" s="2353"/>
      <c r="P20" s="3881"/>
      <c r="Q20" s="1322"/>
      <c r="R20" s="1323"/>
      <c r="S20" s="1324"/>
      <c r="T20" s="1323"/>
      <c r="U20" s="1324"/>
      <c r="V20" s="1323"/>
      <c r="W20" s="1324"/>
      <c r="X20" s="1317"/>
      <c r="Y20" s="3881"/>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4"/>
      <c r="M21" s="2345"/>
      <c r="N21" s="2345"/>
      <c r="O21" s="2353"/>
      <c r="P21" s="3881"/>
      <c r="Q21" s="1322" t="str">
        <f>B21</f>
        <v>交通便捷度</v>
      </c>
      <c r="R21" s="1323" t="s">
        <v>63</v>
      </c>
      <c r="S21" s="1324">
        <f>F21</f>
        <v>100</v>
      </c>
      <c r="T21" s="1323" t="s">
        <v>63</v>
      </c>
      <c r="U21" s="1324">
        <f>H21</f>
        <v>100</v>
      </c>
      <c r="V21" s="1323" t="s">
        <v>63</v>
      </c>
      <c r="W21" s="1324">
        <f>J21</f>
        <v>100</v>
      </c>
      <c r="X21" s="1317"/>
      <c r="Y21" s="3881"/>
      <c r="Z21" s="1325" t="str">
        <f>Q21</f>
        <v>交通便捷度</v>
      </c>
      <c r="AA21" s="1326">
        <f t="shared" si="3"/>
        <v>1</v>
      </c>
      <c r="AB21" s="1326">
        <f t="shared" si="4"/>
        <v>1</v>
      </c>
      <c r="AC21" s="1326">
        <f t="shared" si="5"/>
        <v>1</v>
      </c>
    </row>
    <row r="22" spans="1:29" ht="15">
      <c r="A22" s="770"/>
      <c r="B22" s="2765"/>
      <c r="C22" s="97"/>
      <c r="D22" s="792"/>
      <c r="E22" s="98"/>
      <c r="F22" s="790"/>
      <c r="G22" s="98"/>
      <c r="H22" s="790"/>
      <c r="I22" s="99"/>
      <c r="J22" s="790"/>
      <c r="K22" s="1080"/>
      <c r="L22" s="2354"/>
      <c r="M22" s="2345"/>
      <c r="N22" s="2345"/>
      <c r="O22" s="2353"/>
      <c r="P22" s="3881"/>
      <c r="Q22" s="1322"/>
      <c r="R22" s="1323"/>
      <c r="S22" s="1324"/>
      <c r="T22" s="1323"/>
      <c r="U22" s="1324"/>
      <c r="V22" s="1323"/>
      <c r="W22" s="1324"/>
      <c r="X22" s="1317"/>
      <c r="Y22" s="3881"/>
      <c r="Z22" s="1325"/>
      <c r="AA22" s="1326">
        <v>1</v>
      </c>
      <c r="AB22" s="1326">
        <v>1</v>
      </c>
      <c r="AC22" s="1326">
        <v>1</v>
      </c>
    </row>
    <row r="23" spans="1:29" ht="27">
      <c r="A23" s="747"/>
      <c r="B23" s="793" t="s">
        <v>481</v>
      </c>
      <c r="C23" s="2770">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4"/>
      <c r="M23" s="2345"/>
      <c r="N23" s="2345"/>
      <c r="O23" s="2353"/>
      <c r="P23" s="3881"/>
      <c r="Q23" s="1322" t="str">
        <f t="shared" ref="Q23:Q37" si="8">B23</f>
        <v>区域土地利用方向</v>
      </c>
      <c r="R23" s="1323" t="s">
        <v>63</v>
      </c>
      <c r="S23" s="1324">
        <f>F23</f>
        <v>100</v>
      </c>
      <c r="T23" s="1323" t="s">
        <v>63</v>
      </c>
      <c r="U23" s="1324">
        <f>H23</f>
        <v>100</v>
      </c>
      <c r="V23" s="1323" t="s">
        <v>63</v>
      </c>
      <c r="W23" s="1324">
        <f>J23</f>
        <v>100</v>
      </c>
      <c r="X23" s="1317"/>
      <c r="Y23" s="3881"/>
      <c r="Z23" s="1325" t="str">
        <f>Q23</f>
        <v>区域土地利用方向</v>
      </c>
      <c r="AA23" s="1326">
        <f t="shared" si="3"/>
        <v>1</v>
      </c>
      <c r="AB23" s="1326">
        <f t="shared" si="4"/>
        <v>1</v>
      </c>
      <c r="AC23" s="1326">
        <f t="shared" si="5"/>
        <v>1</v>
      </c>
    </row>
    <row r="24" spans="1:29" ht="15">
      <c r="A24" s="747"/>
      <c r="B24" s="798"/>
      <c r="C24" s="182"/>
      <c r="D24" s="790"/>
      <c r="E24" s="98"/>
      <c r="F24" s="790"/>
      <c r="G24" s="99"/>
      <c r="H24" s="790"/>
      <c r="I24" s="99"/>
      <c r="J24" s="790"/>
      <c r="K24" s="1482"/>
      <c r="L24" s="2354"/>
      <c r="M24" s="2345"/>
      <c r="N24" s="2345"/>
      <c r="O24" s="2353"/>
      <c r="P24" s="3881"/>
      <c r="Q24" s="1469"/>
      <c r="R24" s="1323"/>
      <c r="S24" s="1324"/>
      <c r="T24" s="1323"/>
      <c r="U24" s="1324"/>
      <c r="V24" s="1323"/>
      <c r="W24" s="1324"/>
      <c r="X24" s="1468"/>
      <c r="Y24" s="3881"/>
      <c r="Z24" s="1470"/>
      <c r="AA24" s="1326"/>
      <c r="AB24" s="1326"/>
      <c r="AC24" s="1326"/>
    </row>
    <row r="25" spans="1:29" ht="54">
      <c r="A25" s="747"/>
      <c r="B25" s="2765" t="s">
        <v>482</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4"/>
      <c r="M25" s="2345"/>
      <c r="N25" s="2345"/>
      <c r="O25" s="2353"/>
      <c r="P25" s="3881"/>
      <c r="Q25" s="1322" t="str">
        <f t="shared" si="8"/>
        <v>自然及人文环境状况</v>
      </c>
      <c r="R25" s="1323" t="s">
        <v>63</v>
      </c>
      <c r="S25" s="1324">
        <f>F25</f>
        <v>100</v>
      </c>
      <c r="T25" s="1323" t="s">
        <v>63</v>
      </c>
      <c r="U25" s="1324">
        <f>H25</f>
        <v>100</v>
      </c>
      <c r="V25" s="1323" t="s">
        <v>63</v>
      </c>
      <c r="W25" s="1324">
        <f>J25</f>
        <v>100</v>
      </c>
      <c r="X25" s="1317"/>
      <c r="Y25" s="3881"/>
      <c r="Z25" s="1325" t="str">
        <f>Q25</f>
        <v>自然及人文环境状况</v>
      </c>
      <c r="AA25" s="1326">
        <f t="shared" si="3"/>
        <v>1</v>
      </c>
      <c r="AB25" s="1326">
        <f t="shared" si="4"/>
        <v>1</v>
      </c>
      <c r="AC25" s="1326">
        <f t="shared" si="5"/>
        <v>1</v>
      </c>
    </row>
    <row r="26" spans="1:29" ht="15">
      <c r="A26" s="747"/>
      <c r="B26" s="798"/>
      <c r="C26" s="97"/>
      <c r="D26" s="790"/>
      <c r="E26" s="192"/>
      <c r="F26" s="790"/>
      <c r="G26" s="192"/>
      <c r="H26" s="790"/>
      <c r="I26" s="97"/>
      <c r="J26" s="790"/>
      <c r="K26" s="1080"/>
      <c r="L26" s="2354"/>
      <c r="M26" s="2345"/>
      <c r="N26" s="2345"/>
      <c r="O26" s="2353"/>
      <c r="P26" s="3881"/>
      <c r="Q26" s="1322"/>
      <c r="R26" s="1323"/>
      <c r="S26" s="1324"/>
      <c r="T26" s="1323"/>
      <c r="U26" s="1324"/>
      <c r="V26" s="1323"/>
      <c r="W26" s="1324"/>
      <c r="X26" s="1317"/>
      <c r="Y26" s="3881"/>
      <c r="Z26" s="1325"/>
      <c r="AA26" s="1326">
        <v>1</v>
      </c>
      <c r="AB26" s="1326">
        <v>1</v>
      </c>
      <c r="AC26" s="1326">
        <v>1</v>
      </c>
    </row>
    <row r="27" spans="1:29" s="407" customFormat="1" ht="40.5">
      <c r="A27" s="991"/>
      <c r="B27" s="1411" t="s">
        <v>2664</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6"/>
      <c r="M27" s="2347"/>
      <c r="N27" s="2347"/>
      <c r="O27" s="2348"/>
      <c r="P27" s="3881"/>
      <c r="Q27" s="296" t="str">
        <f t="shared" si="8"/>
        <v>公共配套设施</v>
      </c>
      <c r="R27" s="1318" t="s">
        <v>63</v>
      </c>
      <c r="S27" s="1319">
        <f>F27</f>
        <v>100</v>
      </c>
      <c r="T27" s="1318" t="s">
        <v>63</v>
      </c>
      <c r="U27" s="1319">
        <f>H27</f>
        <v>100</v>
      </c>
      <c r="V27" s="1318" t="s">
        <v>63</v>
      </c>
      <c r="W27" s="1319">
        <f>J27</f>
        <v>100</v>
      </c>
      <c r="X27" s="1320"/>
      <c r="Y27" s="3881"/>
      <c r="Z27" s="344" t="str">
        <f>Q27</f>
        <v>公共配套设施</v>
      </c>
      <c r="AA27" s="1326">
        <f>D27/F27</f>
        <v>1</v>
      </c>
      <c r="AB27" s="1326">
        <f>D27/H27</f>
        <v>1</v>
      </c>
      <c r="AC27" s="1326">
        <f>D27/J27</f>
        <v>1</v>
      </c>
    </row>
    <row r="28" spans="1:29" s="407" customFormat="1" ht="15">
      <c r="A28" s="991"/>
      <c r="B28" s="798"/>
      <c r="C28" s="2771"/>
      <c r="D28" s="790"/>
      <c r="E28" s="192"/>
      <c r="F28" s="790"/>
      <c r="G28" s="192"/>
      <c r="H28" s="790"/>
      <c r="I28" s="97"/>
      <c r="J28" s="790"/>
      <c r="K28" s="1080"/>
      <c r="L28" s="2346"/>
      <c r="M28" s="2347"/>
      <c r="N28" s="2347"/>
      <c r="O28" s="2348"/>
      <c r="P28" s="3881"/>
      <c r="Q28" s="296"/>
      <c r="R28" s="1318"/>
      <c r="S28" s="1319"/>
      <c r="T28" s="1318"/>
      <c r="U28" s="1319"/>
      <c r="V28" s="1318"/>
      <c r="W28" s="1319"/>
      <c r="X28" s="1320"/>
      <c r="Y28" s="3881"/>
      <c r="Z28" s="344"/>
      <c r="AA28" s="1326">
        <v>1</v>
      </c>
      <c r="AB28" s="1326">
        <v>1</v>
      </c>
      <c r="AC28" s="1326">
        <v>1</v>
      </c>
    </row>
    <row r="29" spans="1:29" s="407" customFormat="1" ht="40.5">
      <c r="A29" s="991"/>
      <c r="B29" s="1411" t="s">
        <v>2665</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6"/>
      <c r="M29" s="2347"/>
      <c r="N29" s="2347"/>
      <c r="O29" s="2348"/>
      <c r="P29" s="3881"/>
      <c r="Q29" s="2740" t="str">
        <f t="shared" ref="Q29" si="9">B29</f>
        <v>基础设施水平</v>
      </c>
      <c r="R29" s="1318" t="s">
        <v>63</v>
      </c>
      <c r="S29" s="1319">
        <f>F29</f>
        <v>100</v>
      </c>
      <c r="T29" s="1318" t="s">
        <v>63</v>
      </c>
      <c r="U29" s="1319">
        <f>H29</f>
        <v>100</v>
      </c>
      <c r="V29" s="1318" t="s">
        <v>63</v>
      </c>
      <c r="W29" s="1319">
        <f>J29</f>
        <v>100</v>
      </c>
      <c r="X29" s="1320"/>
      <c r="Y29" s="3881"/>
      <c r="Z29" s="344" t="str">
        <f>Q29</f>
        <v>基础设施水平</v>
      </c>
      <c r="AA29" s="1326">
        <f>D29/F29</f>
        <v>1</v>
      </c>
      <c r="AB29" s="1326">
        <f>D29/H29</f>
        <v>1</v>
      </c>
      <c r="AC29" s="1326">
        <f>D29/J29</f>
        <v>1</v>
      </c>
    </row>
    <row r="30" spans="1:29" s="407" customFormat="1" ht="15">
      <c r="A30" s="991"/>
      <c r="B30" s="798"/>
      <c r="C30" s="2771"/>
      <c r="D30" s="790"/>
      <c r="E30" s="1036"/>
      <c r="F30" s="790"/>
      <c r="G30" s="1036"/>
      <c r="H30" s="790"/>
      <c r="I30" s="1036"/>
      <c r="J30" s="790"/>
      <c r="K30" s="1080"/>
      <c r="L30" s="2346"/>
      <c r="M30" s="2347"/>
      <c r="N30" s="2347"/>
      <c r="O30" s="2348"/>
      <c r="P30" s="3881"/>
      <c r="Q30" s="2740"/>
      <c r="R30" s="1318"/>
      <c r="S30" s="1319"/>
      <c r="T30" s="1318"/>
      <c r="U30" s="1319"/>
      <c r="V30" s="1318"/>
      <c r="W30" s="1319"/>
      <c r="X30" s="1320"/>
      <c r="Y30" s="3881"/>
      <c r="Z30" s="344"/>
      <c r="AA30" s="1326">
        <v>1</v>
      </c>
      <c r="AB30" s="1326">
        <v>1</v>
      </c>
      <c r="AC30" s="1326">
        <v>1</v>
      </c>
    </row>
    <row r="31" spans="1:29" ht="15">
      <c r="A31" s="770"/>
      <c r="B31" s="798" t="s">
        <v>435</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4"/>
      <c r="M31" s="2345"/>
      <c r="N31" s="2345"/>
      <c r="O31" s="2353"/>
      <c r="P31" s="3881"/>
      <c r="Q31" s="1322" t="str">
        <f t="shared" si="8"/>
        <v>临街状况</v>
      </c>
      <c r="R31" s="1323" t="s">
        <v>63</v>
      </c>
      <c r="S31" s="1324">
        <f t="shared" ref="S31:S45" si="10">F31</f>
        <v>100</v>
      </c>
      <c r="T31" s="1323" t="s">
        <v>63</v>
      </c>
      <c r="U31" s="1324">
        <f t="shared" ref="U31:U45" si="11">H31</f>
        <v>100</v>
      </c>
      <c r="V31" s="1323" t="s">
        <v>63</v>
      </c>
      <c r="W31" s="1324">
        <f t="shared" ref="W31:W45" si="12">J31</f>
        <v>100</v>
      </c>
      <c r="X31" s="1317"/>
      <c r="Y31" s="3881"/>
      <c r="Z31" s="1325" t="str">
        <f t="shared" ref="Z31:Z45" si="13">Q31</f>
        <v>临街状况</v>
      </c>
      <c r="AA31" s="1326">
        <f t="shared" si="3"/>
        <v>1</v>
      </c>
      <c r="AB31" s="1326">
        <f t="shared" si="4"/>
        <v>1</v>
      </c>
      <c r="AC31" s="1326">
        <f t="shared" si="5"/>
        <v>1</v>
      </c>
    </row>
    <row r="32" spans="1:29" ht="27">
      <c r="A32" s="770"/>
      <c r="B32" s="2765"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4"/>
      <c r="M32" s="2345"/>
      <c r="N32" s="2345"/>
      <c r="O32" s="2353"/>
      <c r="P32" s="3881"/>
      <c r="Q32" s="1322" t="str">
        <f t="shared" si="8"/>
        <v>毗邻道路的类型与等级</v>
      </c>
      <c r="R32" s="1323" t="s">
        <v>63</v>
      </c>
      <c r="S32" s="1324">
        <f t="shared" si="10"/>
        <v>100</v>
      </c>
      <c r="T32" s="1323" t="s">
        <v>63</v>
      </c>
      <c r="U32" s="1324">
        <f t="shared" si="11"/>
        <v>100</v>
      </c>
      <c r="V32" s="1323" t="s">
        <v>63</v>
      </c>
      <c r="W32" s="1324">
        <f t="shared" si="12"/>
        <v>100</v>
      </c>
      <c r="X32" s="1317"/>
      <c r="Y32" s="3881"/>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4"/>
      <c r="M33" s="2345"/>
      <c r="N33" s="2345"/>
      <c r="O33" s="2353"/>
      <c r="P33" s="3881"/>
      <c r="Q33" s="1322"/>
      <c r="R33" s="1323"/>
      <c r="S33" s="1324"/>
      <c r="T33" s="1323"/>
      <c r="U33" s="1324"/>
      <c r="V33" s="1323"/>
      <c r="W33" s="1324"/>
      <c r="X33" s="1317"/>
      <c r="Y33" s="3881"/>
      <c r="Z33" s="1325"/>
      <c r="AA33" s="1326">
        <v>1</v>
      </c>
      <c r="AB33" s="1326">
        <v>1</v>
      </c>
      <c r="AC33" s="1326">
        <v>1</v>
      </c>
    </row>
    <row r="34" spans="1:29" ht="15">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4"/>
      <c r="M34" s="2345"/>
      <c r="N34" s="2345"/>
      <c r="O34" s="2353"/>
      <c r="P34" s="3881"/>
      <c r="Q34" s="1322" t="str">
        <f t="shared" si="8"/>
        <v>土地级别</v>
      </c>
      <c r="R34" s="1323" t="s">
        <v>63</v>
      </c>
      <c r="S34" s="1324">
        <f t="shared" si="10"/>
        <v>100</v>
      </c>
      <c r="T34" s="1323" t="s">
        <v>63</v>
      </c>
      <c r="U34" s="1324">
        <f t="shared" si="11"/>
        <v>100</v>
      </c>
      <c r="V34" s="1323" t="s">
        <v>63</v>
      </c>
      <c r="W34" s="1324">
        <f t="shared" si="12"/>
        <v>100</v>
      </c>
      <c r="X34" s="1317"/>
      <c r="Y34" s="3881"/>
      <c r="Z34" s="1325" t="str">
        <f t="shared" si="13"/>
        <v>土地级别</v>
      </c>
      <c r="AA34" s="1326">
        <f t="shared" si="3"/>
        <v>1</v>
      </c>
      <c r="AB34" s="1326">
        <f t="shared" si="4"/>
        <v>1</v>
      </c>
      <c r="AC34" s="1326">
        <f t="shared" si="5"/>
        <v>1</v>
      </c>
    </row>
    <row r="35" spans="1:29" ht="15">
      <c r="A35" s="747"/>
      <c r="B35" s="2767">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4"/>
      <c r="M35" s="2345"/>
      <c r="N35" s="2345"/>
      <c r="O35" s="2353"/>
      <c r="P35" s="3881"/>
      <c r="Q35" s="1322">
        <f t="shared" si="8"/>
        <v>111</v>
      </c>
      <c r="R35" s="1323" t="s">
        <v>63</v>
      </c>
      <c r="S35" s="1324">
        <f t="shared" si="10"/>
        <v>100</v>
      </c>
      <c r="T35" s="1323" t="s">
        <v>63</v>
      </c>
      <c r="U35" s="1324">
        <f t="shared" si="11"/>
        <v>100</v>
      </c>
      <c r="V35" s="1323" t="s">
        <v>63</v>
      </c>
      <c r="W35" s="1324">
        <f t="shared" si="12"/>
        <v>100</v>
      </c>
      <c r="X35" s="1317"/>
      <c r="Y35" s="3881"/>
      <c r="Z35" s="1325">
        <f t="shared" si="13"/>
        <v>111</v>
      </c>
      <c r="AA35" s="1326">
        <f t="shared" si="3"/>
        <v>1</v>
      </c>
      <c r="AB35" s="1326">
        <f t="shared" si="4"/>
        <v>1</v>
      </c>
      <c r="AC35" s="1326">
        <f t="shared" si="5"/>
        <v>1</v>
      </c>
    </row>
    <row r="36" spans="1:29" ht="15">
      <c r="A36" s="1083"/>
      <c r="B36" s="2768">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4"/>
      <c r="M36" s="2345"/>
      <c r="N36" s="2345"/>
      <c r="O36" s="2353"/>
      <c r="P36" s="3882" t="s">
        <v>407</v>
      </c>
      <c r="Q36" s="1322">
        <f t="shared" si="8"/>
        <v>111</v>
      </c>
      <c r="R36" s="1323" t="s">
        <v>63</v>
      </c>
      <c r="S36" s="1324">
        <f t="shared" si="10"/>
        <v>100</v>
      </c>
      <c r="T36" s="1323" t="s">
        <v>63</v>
      </c>
      <c r="U36" s="1324">
        <f t="shared" si="11"/>
        <v>100</v>
      </c>
      <c r="V36" s="1323" t="s">
        <v>63</v>
      </c>
      <c r="W36" s="1324">
        <f t="shared" si="12"/>
        <v>100</v>
      </c>
      <c r="X36" s="1317"/>
      <c r="Y36" s="3883" t="s">
        <v>407</v>
      </c>
      <c r="Z36" s="1325">
        <f t="shared" si="13"/>
        <v>111</v>
      </c>
      <c r="AA36" s="1326">
        <f t="shared" si="3"/>
        <v>1</v>
      </c>
      <c r="AB36" s="1326">
        <f t="shared" si="4"/>
        <v>1</v>
      </c>
      <c r="AC36" s="1326">
        <f t="shared" si="5"/>
        <v>1</v>
      </c>
    </row>
    <row r="37" spans="1:29" s="813" customFormat="1" ht="15.75" thickBot="1">
      <c r="A37" s="1084"/>
      <c r="B37" s="2769">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2"/>
      <c r="M37" s="2355"/>
      <c r="N37" s="2355"/>
      <c r="O37" s="2356"/>
      <c r="P37" s="3883"/>
      <c r="Q37" s="1322">
        <f t="shared" si="8"/>
        <v>111</v>
      </c>
      <c r="R37" s="1328" t="s">
        <v>63</v>
      </c>
      <c r="S37" s="1329">
        <f t="shared" si="10"/>
        <v>100</v>
      </c>
      <c r="T37" s="1328" t="s">
        <v>63</v>
      </c>
      <c r="U37" s="1329">
        <f t="shared" si="11"/>
        <v>100</v>
      </c>
      <c r="V37" s="1328" t="s">
        <v>63</v>
      </c>
      <c r="W37" s="1329">
        <f t="shared" si="12"/>
        <v>100</v>
      </c>
      <c r="X37" s="1330"/>
      <c r="Y37" s="3883"/>
      <c r="Z37" s="1331">
        <f t="shared" si="13"/>
        <v>111</v>
      </c>
      <c r="AA37" s="1326">
        <f t="shared" si="3"/>
        <v>1</v>
      </c>
      <c r="AB37" s="1326">
        <f t="shared" si="4"/>
        <v>1</v>
      </c>
      <c r="AC37" s="1326">
        <f t="shared" si="5"/>
        <v>1</v>
      </c>
    </row>
    <row r="38" spans="1:29" ht="15">
      <c r="A38" s="814" t="s">
        <v>406</v>
      </c>
      <c r="B38" s="798" t="s">
        <v>484</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4"/>
      <c r="M38" s="2345"/>
      <c r="N38" s="2345"/>
      <c r="O38" s="2353"/>
      <c r="P38" s="3883"/>
      <c r="Q38" s="1322" t="str">
        <f>B38</f>
        <v>宗地面积</v>
      </c>
      <c r="R38" s="1323" t="s">
        <v>63</v>
      </c>
      <c r="S38" s="1324" t="e">
        <f t="shared" si="10"/>
        <v>#N/A</v>
      </c>
      <c r="T38" s="1323" t="s">
        <v>63</v>
      </c>
      <c r="U38" s="1324" t="e">
        <f t="shared" si="11"/>
        <v>#N/A</v>
      </c>
      <c r="V38" s="1323" t="s">
        <v>63</v>
      </c>
      <c r="W38" s="1324" t="e">
        <f t="shared" si="12"/>
        <v>#N/A</v>
      </c>
      <c r="X38" s="1317"/>
      <c r="Y38" s="3883"/>
      <c r="Z38" s="1325" t="str">
        <f t="shared" si="13"/>
        <v>宗地面积</v>
      </c>
      <c r="AA38" s="1326" t="e">
        <f t="shared" si="3"/>
        <v>#N/A</v>
      </c>
      <c r="AB38" s="1326" t="e">
        <f t="shared" si="4"/>
        <v>#N/A</v>
      </c>
      <c r="AC38" s="1326" t="e">
        <f t="shared" si="5"/>
        <v>#N/A</v>
      </c>
    </row>
    <row r="39" spans="1:29" ht="15">
      <c r="A39" s="814"/>
      <c r="B39" s="764" t="s">
        <v>485</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4"/>
      <c r="M39" s="2345"/>
      <c r="N39" s="2345"/>
      <c r="O39" s="2353"/>
      <c r="P39" s="3883"/>
      <c r="Q39" s="1322" t="str">
        <f t="shared" ref="Q39:Q45" si="14">B39</f>
        <v>宗地形状</v>
      </c>
      <c r="R39" s="1323" t="s">
        <v>63</v>
      </c>
      <c r="S39" s="1324">
        <f t="shared" si="10"/>
        <v>100</v>
      </c>
      <c r="T39" s="1323" t="s">
        <v>63</v>
      </c>
      <c r="U39" s="1324">
        <f t="shared" si="11"/>
        <v>100</v>
      </c>
      <c r="V39" s="1323" t="s">
        <v>63</v>
      </c>
      <c r="W39" s="1324">
        <f t="shared" si="12"/>
        <v>100</v>
      </c>
      <c r="X39" s="1317"/>
      <c r="Y39" s="3883"/>
      <c r="Z39" s="1325" t="str">
        <f t="shared" si="13"/>
        <v>宗地形状</v>
      </c>
      <c r="AA39" s="1326">
        <f t="shared" si="3"/>
        <v>1</v>
      </c>
      <c r="AB39" s="1326">
        <f t="shared" si="4"/>
        <v>1</v>
      </c>
      <c r="AC39" s="1326">
        <f t="shared" si="5"/>
        <v>1</v>
      </c>
    </row>
    <row r="40" spans="1:29" ht="15">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4"/>
      <c r="M40" s="2345"/>
      <c r="N40" s="2345"/>
      <c r="O40" s="2353"/>
      <c r="P40" s="3883"/>
      <c r="Q40" s="1322" t="str">
        <f t="shared" si="14"/>
        <v>临街宽度及深度</v>
      </c>
      <c r="R40" s="1323" t="s">
        <v>63</v>
      </c>
      <c r="S40" s="1324">
        <f t="shared" si="10"/>
        <v>100</v>
      </c>
      <c r="T40" s="1323" t="s">
        <v>63</v>
      </c>
      <c r="U40" s="1324">
        <f t="shared" si="11"/>
        <v>100</v>
      </c>
      <c r="V40" s="1323" t="s">
        <v>63</v>
      </c>
      <c r="W40" s="1324">
        <f t="shared" si="12"/>
        <v>100</v>
      </c>
      <c r="X40" s="1317"/>
      <c r="Y40" s="3883"/>
      <c r="Z40" s="1325" t="str">
        <f t="shared" si="13"/>
        <v>临街宽度及深度</v>
      </c>
      <c r="AA40" s="1326">
        <f t="shared" si="3"/>
        <v>1</v>
      </c>
      <c r="AB40" s="1326">
        <f t="shared" si="4"/>
        <v>1</v>
      </c>
      <c r="AC40" s="1326">
        <f t="shared" si="5"/>
        <v>1</v>
      </c>
    </row>
    <row r="41" spans="1:29" s="407" customFormat="1" ht="15">
      <c r="A41" s="815"/>
      <c r="B41" s="2606" t="s">
        <v>2497</v>
      </c>
      <c r="C41" s="1041"/>
      <c r="D41" s="426">
        <v>100</v>
      </c>
      <c r="E41" s="1041"/>
      <c r="F41" s="777">
        <f>SUMIF(123:123,E41,124:124)-SUMIF(123:123,C41,124:124)+100</f>
        <v>100</v>
      </c>
      <c r="G41" s="1041"/>
      <c r="H41" s="777">
        <f>SUMIF(123:123,G41,124:124)-SUMIF(123:123,C41,124:124)+100</f>
        <v>100</v>
      </c>
      <c r="I41" s="1041"/>
      <c r="J41" s="777">
        <f>SUMIF(123:123,I41,124:124)-SUMIF(123:123,C41,124:124)+100</f>
        <v>100</v>
      </c>
      <c r="K41" s="954"/>
      <c r="L41" s="2346"/>
      <c r="M41" s="2347"/>
      <c r="N41" s="2347"/>
      <c r="O41" s="2348"/>
      <c r="P41" s="3883"/>
      <c r="Q41" s="1322" t="str">
        <f t="shared" si="14"/>
        <v>宗地开发程度</v>
      </c>
      <c r="R41" s="1318" t="s">
        <v>63</v>
      </c>
      <c r="S41" s="1319">
        <f t="shared" si="10"/>
        <v>100</v>
      </c>
      <c r="T41" s="1318" t="s">
        <v>63</v>
      </c>
      <c r="U41" s="1319">
        <f t="shared" si="11"/>
        <v>100</v>
      </c>
      <c r="V41" s="1318" t="s">
        <v>63</v>
      </c>
      <c r="W41" s="1319">
        <f t="shared" si="12"/>
        <v>100</v>
      </c>
      <c r="X41" s="1320"/>
      <c r="Y41" s="3883"/>
      <c r="Z41" s="344" t="str">
        <f t="shared" si="13"/>
        <v>宗地开发程度</v>
      </c>
      <c r="AA41" s="1321">
        <f t="shared" si="3"/>
        <v>1</v>
      </c>
      <c r="AB41" s="1321">
        <f t="shared" si="4"/>
        <v>1</v>
      </c>
      <c r="AC41" s="1321">
        <f t="shared" si="5"/>
        <v>1</v>
      </c>
    </row>
    <row r="42" spans="1:29" ht="15">
      <c r="A42" s="814"/>
      <c r="B42" s="764" t="s">
        <v>487</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4"/>
      <c r="M42" s="2345"/>
      <c r="N42" s="2345"/>
      <c r="O42" s="2353"/>
      <c r="P42" s="3883" t="s">
        <v>407</v>
      </c>
      <c r="Q42" s="1322" t="str">
        <f t="shared" si="14"/>
        <v>工程地质条件</v>
      </c>
      <c r="R42" s="1323" t="s">
        <v>63</v>
      </c>
      <c r="S42" s="1324">
        <f t="shared" si="10"/>
        <v>100</v>
      </c>
      <c r="T42" s="1323" t="s">
        <v>63</v>
      </c>
      <c r="U42" s="1324">
        <f t="shared" si="11"/>
        <v>100</v>
      </c>
      <c r="V42" s="1323" t="s">
        <v>63</v>
      </c>
      <c r="W42" s="1324">
        <f t="shared" si="12"/>
        <v>100</v>
      </c>
      <c r="X42" s="1317"/>
      <c r="Y42" s="3883" t="s">
        <v>407</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4"/>
      <c r="M43" s="2345"/>
      <c r="N43" s="2345"/>
      <c r="O43" s="2353"/>
      <c r="P43" s="3883"/>
      <c r="Q43" s="1322">
        <f t="shared" si="14"/>
        <v>111</v>
      </c>
      <c r="R43" s="1323" t="s">
        <v>63</v>
      </c>
      <c r="S43" s="1324">
        <f t="shared" si="10"/>
        <v>100</v>
      </c>
      <c r="T43" s="1323" t="s">
        <v>63</v>
      </c>
      <c r="U43" s="1324">
        <f t="shared" si="11"/>
        <v>100</v>
      </c>
      <c r="V43" s="1323" t="s">
        <v>63</v>
      </c>
      <c r="W43" s="1324">
        <f t="shared" si="12"/>
        <v>100</v>
      </c>
      <c r="X43" s="1317"/>
      <c r="Y43" s="3883"/>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4"/>
      <c r="M44" s="2345"/>
      <c r="N44" s="2345"/>
      <c r="O44" s="2353"/>
      <c r="P44" s="3883"/>
      <c r="Q44" s="1322">
        <f t="shared" si="14"/>
        <v>111</v>
      </c>
      <c r="R44" s="1323" t="s">
        <v>63</v>
      </c>
      <c r="S44" s="1324">
        <f t="shared" si="10"/>
        <v>100</v>
      </c>
      <c r="T44" s="1323" t="s">
        <v>63</v>
      </c>
      <c r="U44" s="1324">
        <f t="shared" si="11"/>
        <v>100</v>
      </c>
      <c r="V44" s="1323" t="s">
        <v>63</v>
      </c>
      <c r="W44" s="1324">
        <f t="shared" si="12"/>
        <v>100</v>
      </c>
      <c r="X44" s="1317"/>
      <c r="Y44" s="3883"/>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2"/>
      <c r="M45" s="2355"/>
      <c r="N45" s="2355"/>
      <c r="O45" s="2356"/>
      <c r="P45" s="3883"/>
      <c r="Q45" s="1322">
        <f t="shared" si="14"/>
        <v>111</v>
      </c>
      <c r="R45" s="1328" t="s">
        <v>63</v>
      </c>
      <c r="S45" s="1329">
        <f t="shared" si="10"/>
        <v>100</v>
      </c>
      <c r="T45" s="1328" t="s">
        <v>63</v>
      </c>
      <c r="U45" s="1329">
        <f t="shared" si="11"/>
        <v>100</v>
      </c>
      <c r="V45" s="1328" t="s">
        <v>63</v>
      </c>
      <c r="W45" s="1329">
        <f t="shared" si="12"/>
        <v>100</v>
      </c>
      <c r="X45" s="1330"/>
      <c r="Y45" s="3883"/>
      <c r="Z45" s="1331">
        <f t="shared" si="13"/>
        <v>111</v>
      </c>
      <c r="AA45" s="1326">
        <f t="shared" si="3"/>
        <v>1</v>
      </c>
      <c r="AB45" s="1326">
        <f t="shared" si="4"/>
        <v>1</v>
      </c>
      <c r="AC45" s="1326">
        <f t="shared" si="5"/>
        <v>1</v>
      </c>
    </row>
    <row r="46" spans="1:29" ht="15">
      <c r="A46" s="821" t="s">
        <v>488</v>
      </c>
      <c r="B46" s="207" t="s">
        <v>156</v>
      </c>
      <c r="C46" s="1090" t="s">
        <v>23</v>
      </c>
      <c r="D46" s="823"/>
      <c r="E46" s="824"/>
      <c r="F46" s="825"/>
      <c r="G46" s="826"/>
      <c r="H46" s="827"/>
      <c r="I46" s="824"/>
      <c r="J46" s="827"/>
      <c r="K46" s="1399"/>
      <c r="L46" s="2357"/>
      <c r="M46" s="2358"/>
      <c r="N46" s="2345"/>
      <c r="O46" s="2358"/>
      <c r="P46" s="3865" t="str">
        <f>A46</f>
        <v>成交单价</v>
      </c>
      <c r="Q46" s="3865"/>
      <c r="R46" s="3878">
        <f>E46</f>
        <v>0</v>
      </c>
      <c r="S46" s="3878"/>
      <c r="T46" s="3878">
        <f>G46</f>
        <v>0</v>
      </c>
      <c r="U46" s="3878"/>
      <c r="V46" s="3878">
        <f>I46</f>
        <v>0</v>
      </c>
      <c r="W46" s="3878"/>
      <c r="X46" s="1306"/>
      <c r="Y46" s="1332"/>
      <c r="Z46" s="1306"/>
      <c r="AA46" s="1306"/>
      <c r="AB46" s="1306"/>
      <c r="AC46" s="1306"/>
    </row>
    <row r="47" spans="1:29" ht="15.75" thickBot="1">
      <c r="A47" s="828" t="s">
        <v>409</v>
      </c>
      <c r="B47" s="1091"/>
      <c r="C47" s="832" t="e">
        <f>R48</f>
        <v>#DIV/0!</v>
      </c>
      <c r="D47" s="831"/>
      <c r="E47" s="832" t="e">
        <f>R47</f>
        <v>#DIV/0!</v>
      </c>
      <c r="F47" s="833"/>
      <c r="G47" s="830" t="e">
        <f>T47</f>
        <v>#DIV/0!</v>
      </c>
      <c r="H47" s="831"/>
      <c r="I47" s="832" t="e">
        <f>V47</f>
        <v>#DIV/0!</v>
      </c>
      <c r="J47" s="831"/>
      <c r="K47" s="1400"/>
      <c r="L47" s="2357"/>
      <c r="M47" s="2358"/>
      <c r="N47" s="2358"/>
      <c r="O47" s="2358"/>
      <c r="P47" s="3865" t="str">
        <f>A47</f>
        <v>比较价值（元/平方米）</v>
      </c>
      <c r="Q47" s="3865"/>
      <c r="R47" s="3888" t="e">
        <f>ROUND(PRODUCT(R46,AA7:AA45),0)</f>
        <v>#DIV/0!</v>
      </c>
      <c r="S47" s="3888"/>
      <c r="T47" s="3888" t="e">
        <f>ROUND(PRODUCT(T46,AB7:AB45),0)</f>
        <v>#DIV/0!</v>
      </c>
      <c r="U47" s="3888"/>
      <c r="V47" s="3888" t="e">
        <f>ROUND(PRODUCT(V46,AC7:AC45),0)</f>
        <v>#DIV/0!</v>
      </c>
      <c r="W47" s="3888"/>
      <c r="X47" s="1306"/>
      <c r="Y47" s="1306"/>
      <c r="Z47" s="1306"/>
      <c r="AA47" s="1306"/>
      <c r="AB47" s="1306"/>
      <c r="AC47" s="1306"/>
    </row>
    <row r="48" spans="1:29" ht="15.75" thickBot="1">
      <c r="A48" s="115" t="s">
        <v>514</v>
      </c>
      <c r="B48" s="835"/>
      <c r="C48" s="836" t="e">
        <f>R48</f>
        <v>#DIV/0!</v>
      </c>
      <c r="D48" s="836"/>
      <c r="E48" s="836"/>
      <c r="F48" s="836"/>
      <c r="G48" s="836"/>
      <c r="H48" s="836"/>
      <c r="I48" s="836"/>
      <c r="J48" s="836"/>
      <c r="K48" s="1401"/>
      <c r="L48" s="2357"/>
      <c r="M48" s="2358"/>
      <c r="N48" s="2358"/>
      <c r="O48" s="2358"/>
      <c r="P48" s="3885" t="str">
        <f>A48</f>
        <v>估价对象XX用房的比较价值（楼面单价，元/平方米）</v>
      </c>
      <c r="Q48" s="3886"/>
      <c r="R48" s="3889" t="e">
        <f>ROUND(AVERAGE(R47:V47),0)</f>
        <v>#DIV/0!</v>
      </c>
      <c r="S48" s="3889"/>
      <c r="T48" s="3889"/>
      <c r="U48" s="3889"/>
      <c r="V48" s="3889"/>
      <c r="W48" s="3889"/>
      <c r="X48" s="1306"/>
      <c r="Y48" s="1306"/>
      <c r="Z48" s="1306"/>
      <c r="AA48" s="1306"/>
      <c r="AB48" s="1306"/>
      <c r="AC48" s="1306"/>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9" t="s">
        <v>410</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4"/>
      <c r="L51" s="2185"/>
      <c r="M51" s="2358"/>
      <c r="N51" s="2358"/>
      <c r="O51" s="2358"/>
    </row>
    <row r="52" spans="1:15" ht="13.5" customHeight="1">
      <c r="A52" s="2358"/>
      <c r="B52" s="2358"/>
      <c r="C52" s="839" t="s">
        <v>411</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4"/>
      <c r="L52" s="2185"/>
      <c r="M52" s="2358"/>
      <c r="N52" s="2358"/>
      <c r="O52" s="2358"/>
    </row>
    <row r="53" spans="1:15" s="844" customFormat="1" ht="13.5" customHeight="1">
      <c r="A53" s="2359"/>
      <c r="B53" s="2359"/>
      <c r="C53" s="839" t="s">
        <v>412</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2"/>
      <c r="L53" s="2363"/>
      <c r="M53" s="2359"/>
      <c r="N53" s="2359"/>
      <c r="O53" s="2359"/>
    </row>
    <row r="54" spans="1:15" s="844" customFormat="1" ht="15" thickBot="1">
      <c r="A54" s="2359"/>
      <c r="B54" s="2360"/>
      <c r="C54" s="1309"/>
      <c r="D54" s="1307"/>
      <c r="E54" s="1307"/>
      <c r="F54" s="1307"/>
      <c r="G54" s="1307"/>
      <c r="H54" s="1307"/>
      <c r="I54" s="1307"/>
      <c r="J54" s="1307"/>
      <c r="K54" s="2362"/>
      <c r="L54" s="2363"/>
      <c r="M54" s="2359"/>
      <c r="N54" s="2359"/>
      <c r="O54" s="2359"/>
    </row>
    <row r="55" spans="1:15" ht="27" customHeight="1">
      <c r="A55" s="1092" t="s">
        <v>489</v>
      </c>
      <c r="B55" s="1093" t="s">
        <v>490</v>
      </c>
      <c r="C55" s="1773" t="s">
        <v>1888</v>
      </c>
      <c r="D55" s="2389" t="s">
        <v>2321</v>
      </c>
      <c r="E55" s="1094" t="s">
        <v>491</v>
      </c>
      <c r="F55" s="2186" t="s">
        <v>492</v>
      </c>
      <c r="G55" s="3890" t="s">
        <v>2314</v>
      </c>
      <c r="H55" s="3891"/>
      <c r="I55" s="2187" t="s">
        <v>1887</v>
      </c>
      <c r="J55" s="2191" t="str">
        <f>项目基本情况!F35</f>
        <v>广东省中山市</v>
      </c>
      <c r="K55" s="2372" t="s">
        <v>1889</v>
      </c>
      <c r="L55" s="2185"/>
      <c r="M55" s="2358"/>
      <c r="N55" s="2358"/>
      <c r="O55" s="2358"/>
    </row>
    <row r="56" spans="1:15" s="1100" customFormat="1">
      <c r="A56" s="1096" t="s">
        <v>493</v>
      </c>
      <c r="B56" s="1097" t="e">
        <f>C48</f>
        <v>#DIV/0!</v>
      </c>
      <c r="C56" s="1098">
        <v>1</v>
      </c>
      <c r="D56" s="2390">
        <v>1</v>
      </c>
      <c r="E56" s="1098">
        <f>'数据-汇总表'!E8+'数据-汇总表'!E9</f>
        <v>78598.010000000009</v>
      </c>
      <c r="F56" s="2182" t="e">
        <f t="shared" ref="F56:F65" si="15">ROUND(B56*E56/10000,0)</f>
        <v>#DIV/0!</v>
      </c>
      <c r="G56" s="3892"/>
      <c r="H56" s="3893"/>
      <c r="I56" s="2188">
        <v>1</v>
      </c>
      <c r="J56" s="2192">
        <v>1</v>
      </c>
      <c r="K56" s="2359"/>
      <c r="L56" s="1770"/>
      <c r="M56" s="1770"/>
      <c r="N56" s="1770"/>
      <c r="O56" s="1770"/>
    </row>
    <row r="57" spans="1:15" s="1100" customFormat="1">
      <c r="A57" s="1101" t="s">
        <v>494</v>
      </c>
      <c r="B57" s="594" t="e">
        <f>ROUND($C$48*C57*D57,0)</f>
        <v>#DIV/0!</v>
      </c>
      <c r="C57" s="532">
        <f t="shared" ref="C57:C65" si="16">IF($C$55="北京市系数",I57,J57)</f>
        <v>0</v>
      </c>
      <c r="D57" s="2391">
        <v>0.25</v>
      </c>
      <c r="E57" s="1102"/>
      <c r="F57" s="2182" t="e">
        <f t="shared" si="15"/>
        <v>#DIV/0!</v>
      </c>
      <c r="G57" s="3894" t="s">
        <v>2315</v>
      </c>
      <c r="H57" s="2183">
        <f>项目基本情况!B37</f>
        <v>0</v>
      </c>
      <c r="I57" s="2188">
        <f>SUMIF(修正!A45:A56,H57,修正!B45:B56)</f>
        <v>0</v>
      </c>
      <c r="J57" s="2193"/>
      <c r="K57" s="2358"/>
      <c r="L57" s="1770"/>
      <c r="M57" s="1770"/>
      <c r="N57" s="1770"/>
      <c r="O57" s="1770"/>
    </row>
    <row r="58" spans="1:15" s="1100" customFormat="1">
      <c r="A58" s="1101" t="s">
        <v>495</v>
      </c>
      <c r="B58" s="594" t="e">
        <f t="shared" ref="B58:B65" si="17">ROUND($C$48*C58*D58,0)</f>
        <v>#DIV/0!</v>
      </c>
      <c r="C58" s="532">
        <f t="shared" si="16"/>
        <v>0</v>
      </c>
      <c r="D58" s="2391">
        <v>0.25</v>
      </c>
      <c r="E58" s="1102"/>
      <c r="F58" s="2182" t="e">
        <f t="shared" si="15"/>
        <v>#DIV/0!</v>
      </c>
      <c r="G58" s="3894"/>
      <c r="H58" s="2183">
        <f>项目基本情况!B37</f>
        <v>0</v>
      </c>
      <c r="I58" s="2188">
        <f>SUMIF(修正!A45:A56,H58,修正!C45:C56)</f>
        <v>0</v>
      </c>
      <c r="J58" s="2193"/>
      <c r="K58" s="2359"/>
      <c r="L58" s="1770"/>
      <c r="M58" s="1770"/>
      <c r="N58" s="1770"/>
      <c r="O58" s="1770"/>
    </row>
    <row r="59" spans="1:15" s="1100" customFormat="1">
      <c r="A59" s="1101" t="s">
        <v>496</v>
      </c>
      <c r="B59" s="594" t="e">
        <f t="shared" si="17"/>
        <v>#DIV/0!</v>
      </c>
      <c r="C59" s="532">
        <f t="shared" si="16"/>
        <v>0</v>
      </c>
      <c r="D59" s="2391">
        <v>0.25</v>
      </c>
      <c r="E59" s="1102"/>
      <c r="F59" s="2182" t="e">
        <f t="shared" si="15"/>
        <v>#DIV/0!</v>
      </c>
      <c r="G59" s="3894"/>
      <c r="H59" s="2183">
        <f>项目基本情况!B37</f>
        <v>0</v>
      </c>
      <c r="I59" s="2188">
        <f>SUMIF(修正!A45:A56,H59,修正!D45:D56)</f>
        <v>0</v>
      </c>
      <c r="J59" s="2193"/>
      <c r="K59" s="2358"/>
      <c r="L59" s="1770"/>
      <c r="M59" s="1770"/>
      <c r="N59" s="1770"/>
      <c r="O59" s="1770"/>
    </row>
    <row r="60" spans="1:15" s="1100" customFormat="1">
      <c r="A60" s="1101" t="s">
        <v>497</v>
      </c>
      <c r="B60" s="594" t="e">
        <f t="shared" si="17"/>
        <v>#DIV/0!</v>
      </c>
      <c r="C60" s="532">
        <f t="shared" si="16"/>
        <v>0</v>
      </c>
      <c r="D60" s="2391">
        <v>0.25</v>
      </c>
      <c r="E60" s="1102"/>
      <c r="F60" s="2182" t="e">
        <f t="shared" si="15"/>
        <v>#DIV/0!</v>
      </c>
      <c r="G60" s="3894"/>
      <c r="H60" s="2183">
        <f>项目基本情况!B37</f>
        <v>0</v>
      </c>
      <c r="I60" s="2188">
        <f>SUMIF(修正!A45:A56,H60,修正!E45:E56)</f>
        <v>0</v>
      </c>
      <c r="J60" s="2193"/>
      <c r="K60" s="2359"/>
      <c r="L60" s="1770"/>
      <c r="M60" s="1770"/>
      <c r="N60" s="1770"/>
      <c r="O60" s="1770"/>
    </row>
    <row r="61" spans="1:15" s="1100" customFormat="1">
      <c r="A61" s="2511" t="s">
        <v>2396</v>
      </c>
      <c r="B61" s="594" t="e">
        <f t="shared" si="17"/>
        <v>#DIV/0!</v>
      </c>
      <c r="C61" s="532">
        <f t="shared" si="16"/>
        <v>0</v>
      </c>
      <c r="D61" s="2391">
        <v>0.25</v>
      </c>
      <c r="E61" s="593">
        <f>'数据-汇总表'!E11</f>
        <v>0</v>
      </c>
      <c r="F61" s="2182" t="e">
        <f t="shared" si="15"/>
        <v>#DIV/0!</v>
      </c>
      <c r="G61" s="2195" t="s">
        <v>2316</v>
      </c>
      <c r="H61" s="2183">
        <f>项目基本情况!C37</f>
        <v>0</v>
      </c>
      <c r="I61" s="2188">
        <f>SUMIF(修正!A45:A56,H61,修正!F45:F56)</f>
        <v>0</v>
      </c>
      <c r="J61" s="2193"/>
      <c r="K61" s="2358"/>
      <c r="L61" s="1770"/>
      <c r="M61" s="1770"/>
      <c r="N61" s="1770"/>
      <c r="O61" s="1770"/>
    </row>
    <row r="62" spans="1:15" s="1100" customFormat="1">
      <c r="A62" s="1101" t="s">
        <v>498</v>
      </c>
      <c r="B62" s="594" t="e">
        <f t="shared" si="17"/>
        <v>#DIV/0!</v>
      </c>
      <c r="C62" s="532">
        <f t="shared" si="16"/>
        <v>0</v>
      </c>
      <c r="D62" s="2391">
        <v>0.25</v>
      </c>
      <c r="E62" s="593">
        <f>'数据-汇总表'!E12</f>
        <v>0</v>
      </c>
      <c r="F62" s="2182" t="e">
        <f t="shared" si="15"/>
        <v>#DIV/0!</v>
      </c>
      <c r="G62" s="2189" t="s">
        <v>139</v>
      </c>
      <c r="H62" s="2183">
        <f>IF(G62="商业",项目基本情况!B37,IF(G62="办公",项目基本情况!C37,IF(G62="住宅",项目基本情况!D37,项目基本情况!E37)))</f>
        <v>0</v>
      </c>
      <c r="I62" s="2188">
        <f>SUMIF(修正!A45:A56,H62,修正!G45:G56)</f>
        <v>0</v>
      </c>
      <c r="J62" s="2193"/>
      <c r="K62" s="2359"/>
      <c r="L62" s="1770"/>
      <c r="M62" s="1770"/>
      <c r="N62" s="1770"/>
      <c r="O62" s="1770"/>
    </row>
    <row r="63" spans="1:15" s="1100" customFormat="1">
      <c r="A63" s="1101" t="s">
        <v>499</v>
      </c>
      <c r="B63" s="594" t="e">
        <f t="shared" si="17"/>
        <v>#DIV/0!</v>
      </c>
      <c r="C63" s="532">
        <f t="shared" si="16"/>
        <v>0</v>
      </c>
      <c r="D63" s="2391">
        <v>0.25</v>
      </c>
      <c r="E63" s="593">
        <f>'数据-汇总表'!E13</f>
        <v>86900.44</v>
      </c>
      <c r="F63" s="2182" t="e">
        <f t="shared" si="15"/>
        <v>#DIV/0!</v>
      </c>
      <c r="G63" s="2189" t="s">
        <v>40</v>
      </c>
      <c r="H63" s="2183">
        <f>IF(G63="商业",项目基本情况!B37,IF(G63="办公",项目基本情况!C37,IF(G63="住宅",项目基本情况!D37,项目基本情况!E37)))</f>
        <v>0</v>
      </c>
      <c r="I63" s="2188">
        <f>SUMIF(修正!A45:A56,H63,修正!H45:H56)</f>
        <v>0</v>
      </c>
      <c r="J63" s="2193"/>
      <c r="K63" s="2358"/>
      <c r="L63" s="1770"/>
      <c r="M63" s="1770"/>
      <c r="N63" s="1770"/>
      <c r="O63" s="1770"/>
    </row>
    <row r="64" spans="1:15" s="1100" customFormat="1">
      <c r="A64" s="1101" t="s">
        <v>500</v>
      </c>
      <c r="B64" s="594" t="e">
        <f t="shared" si="17"/>
        <v>#DIV/0!</v>
      </c>
      <c r="C64" s="532">
        <f t="shared" si="16"/>
        <v>0</v>
      </c>
      <c r="D64" s="2391">
        <v>0.25</v>
      </c>
      <c r="E64" s="593">
        <f>'数据-汇总表'!E14</f>
        <v>0</v>
      </c>
      <c r="F64" s="2182" t="e">
        <f t="shared" si="15"/>
        <v>#DIV/0!</v>
      </c>
      <c r="G64" s="2195" t="s">
        <v>2317</v>
      </c>
      <c r="H64" s="2183">
        <f>项目基本情况!B37</f>
        <v>0</v>
      </c>
      <c r="I64" s="2188">
        <f>SUMIF(修正!A45:A56,H64,修正!H45:H56)</f>
        <v>0</v>
      </c>
      <c r="J64" s="2193"/>
      <c r="K64" s="2359"/>
      <c r="L64" s="1770"/>
      <c r="M64" s="1770"/>
      <c r="N64" s="1770"/>
      <c r="O64" s="1770"/>
    </row>
    <row r="65" spans="1:17" s="1100" customFormat="1" ht="15" thickBot="1">
      <c r="A65" s="1101" t="s">
        <v>501</v>
      </c>
      <c r="B65" s="594" t="e">
        <f t="shared" si="17"/>
        <v>#DIV/0!</v>
      </c>
      <c r="C65" s="532">
        <f t="shared" si="16"/>
        <v>0</v>
      </c>
      <c r="D65" s="2391">
        <v>0.25</v>
      </c>
      <c r="E65" s="593">
        <f>'数据-汇总表'!E15</f>
        <v>0</v>
      </c>
      <c r="F65" s="2182" t="e">
        <f t="shared" si="15"/>
        <v>#DIV/0!</v>
      </c>
      <c r="G65" s="2196" t="s">
        <v>2316</v>
      </c>
      <c r="H65" s="2197">
        <f>项目基本情况!C37</f>
        <v>0</v>
      </c>
      <c r="I65" s="2190">
        <f>SUMIF(修正!A45:A56,H65,修正!H45:H56)</f>
        <v>0</v>
      </c>
      <c r="J65" s="2194"/>
      <c r="K65" s="2358"/>
      <c r="L65" s="1770"/>
      <c r="M65" s="1770"/>
      <c r="N65" s="1770"/>
      <c r="O65" s="1770"/>
    </row>
    <row r="66" spans="1:17" s="1100" customFormat="1" ht="13.5" thickBot="1">
      <c r="A66" s="1103" t="s">
        <v>502</v>
      </c>
      <c r="B66" s="1104" t="s">
        <v>154</v>
      </c>
      <c r="C66" s="1104" t="s">
        <v>155</v>
      </c>
      <c r="D66" s="1104" t="s">
        <v>2322</v>
      </c>
      <c r="E66" s="1104">
        <f>IF(B46="楼面地价",SUM(E56:E65),'数据-汇总表'!D3)</f>
        <v>165498.45000000001</v>
      </c>
      <c r="F66" s="1105" t="e">
        <f>IF(B46="楼面地价",SUM(F56:F65),ROUND(C48*E66/10000,0))</f>
        <v>#DIV/0!</v>
      </c>
      <c r="G66" s="1414"/>
      <c r="H66" s="1414"/>
      <c r="I66" s="1414"/>
      <c r="J66" s="1414"/>
      <c r="K66" s="2373"/>
      <c r="L66" s="1770"/>
      <c r="M66" s="1770"/>
      <c r="N66" s="1770"/>
      <c r="O66" s="1770"/>
    </row>
    <row r="67" spans="1:17">
      <c r="A67" s="1306"/>
      <c r="B67" s="1308"/>
      <c r="C67" s="1309"/>
      <c r="D67" s="1306"/>
      <c r="E67" s="1306"/>
      <c r="F67" s="1306"/>
      <c r="G67" s="1306"/>
      <c r="H67" s="1306"/>
      <c r="I67" s="1306"/>
      <c r="J67" s="2358"/>
      <c r="K67" s="2184"/>
      <c r="L67" s="2185"/>
      <c r="M67" s="2358"/>
      <c r="N67" s="2358"/>
      <c r="O67" s="2358"/>
    </row>
    <row r="68" spans="1:17">
      <c r="A68" s="1306"/>
      <c r="B68" s="1308"/>
      <c r="C68" s="1308" t="str">
        <f>YEAR(C7)&amp;"-"&amp;MONTH(C7)&amp;"-1"</f>
        <v>2017-8-1</v>
      </c>
      <c r="D68" s="1308">
        <f>EDATE(C68,-3)</f>
        <v>42856</v>
      </c>
      <c r="E68" s="1308">
        <f>EDATE(D68,-3)</f>
        <v>42767</v>
      </c>
      <c r="F68" s="1308">
        <f t="shared" ref="F68:O68" si="18">EDATE(E68,-3)</f>
        <v>42675</v>
      </c>
      <c r="G68" s="1308">
        <f t="shared" si="18"/>
        <v>42583</v>
      </c>
      <c r="H68" s="1308">
        <f t="shared" si="18"/>
        <v>42491</v>
      </c>
      <c r="I68" s="1308">
        <f t="shared" si="18"/>
        <v>42401</v>
      </c>
      <c r="J68" s="1308">
        <f t="shared" si="18"/>
        <v>42309</v>
      </c>
      <c r="K68" s="1308">
        <f t="shared" si="18"/>
        <v>42217</v>
      </c>
      <c r="L68" s="1308">
        <f t="shared" si="18"/>
        <v>42125</v>
      </c>
      <c r="M68" s="1308">
        <f t="shared" si="18"/>
        <v>42036</v>
      </c>
      <c r="N68" s="1308">
        <f t="shared" si="18"/>
        <v>41944</v>
      </c>
      <c r="O68" s="1308">
        <f t="shared" si="18"/>
        <v>41852</v>
      </c>
    </row>
    <row r="69" spans="1:17" ht="21.75" thickBot="1">
      <c r="A69" s="1310" t="s">
        <v>413</v>
      </c>
      <c r="B69" s="1306"/>
      <c r="C69" s="1311"/>
      <c r="D69" s="1311"/>
      <c r="E69" s="1311"/>
      <c r="F69" s="1312"/>
      <c r="G69" s="1312"/>
      <c r="H69" s="1311"/>
      <c r="I69" s="1311"/>
      <c r="J69" s="2374"/>
      <c r="K69" s="2375"/>
      <c r="L69" s="2376"/>
      <c r="M69" s="2374"/>
      <c r="N69" s="2374"/>
      <c r="O69" s="2374"/>
      <c r="P69" s="845"/>
      <c r="Q69" s="846"/>
    </row>
    <row r="70" spans="1:17" s="850" customFormat="1" ht="15">
      <c r="A70" s="2702" t="s">
        <v>2787</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9"/>
    </row>
    <row r="71" spans="1:17" s="407" customFormat="1" ht="30" customHeight="1">
      <c r="A71" s="3036" t="s">
        <v>40</v>
      </c>
      <c r="B71" s="664" t="str">
        <f>"北京市平均增长率"&amp;TEXT(SUMIF(基准地价修正!N21:N25,A71,基准地价修正!P21:P25),"0.00%")</f>
        <v>北京市平均增长率2.75%</v>
      </c>
      <c r="C71" s="945">
        <v>100</v>
      </c>
      <c r="D71" s="937"/>
      <c r="E71" s="937"/>
      <c r="F71" s="937"/>
      <c r="G71" s="937"/>
      <c r="H71" s="937"/>
      <c r="I71" s="937"/>
      <c r="J71" s="937"/>
      <c r="K71" s="937"/>
      <c r="L71" s="937"/>
      <c r="M71" s="3027"/>
      <c r="N71" s="937"/>
      <c r="O71" s="3028"/>
      <c r="P71" s="846"/>
    </row>
    <row r="72" spans="1:17" s="407" customFormat="1" ht="15.75" thickBot="1">
      <c r="A72" s="857" t="s">
        <v>414</v>
      </c>
      <c r="B72" s="858"/>
      <c r="C72" s="859"/>
      <c r="D72" s="860"/>
      <c r="E72" s="860"/>
      <c r="F72" s="860"/>
      <c r="G72" s="860"/>
      <c r="H72" s="860"/>
      <c r="I72" s="860"/>
      <c r="J72" s="860"/>
      <c r="K72" s="860"/>
      <c r="L72" s="860"/>
      <c r="M72" s="861"/>
      <c r="N72" s="860"/>
      <c r="O72" s="2377"/>
      <c r="P72" s="846"/>
      <c r="Q72" s="846"/>
    </row>
    <row r="73" spans="1:17" s="407" customFormat="1" ht="15">
      <c r="A73" s="863" t="s">
        <v>398</v>
      </c>
      <c r="B73" s="852"/>
      <c r="C73" s="864" t="s">
        <v>415</v>
      </c>
      <c r="D73" s="140"/>
      <c r="E73" s="140"/>
      <c r="F73" s="140"/>
      <c r="G73" s="140"/>
      <c r="H73" s="140"/>
      <c r="I73" s="140"/>
      <c r="J73" s="140"/>
      <c r="K73" s="140"/>
      <c r="L73" s="141"/>
      <c r="M73" s="1050"/>
      <c r="N73" s="2365"/>
      <c r="O73" s="2365"/>
      <c r="P73" s="868"/>
      <c r="Q73" s="846"/>
    </row>
    <row r="74" spans="1:17" s="407" customFormat="1" ht="15.75" thickBot="1">
      <c r="A74" s="863"/>
      <c r="B74" s="852"/>
      <c r="C74" s="981">
        <v>100</v>
      </c>
      <c r="D74" s="854"/>
      <c r="E74" s="854"/>
      <c r="F74" s="854"/>
      <c r="G74" s="854"/>
      <c r="H74" s="854"/>
      <c r="I74" s="854"/>
      <c r="J74" s="854"/>
      <c r="K74" s="854"/>
      <c r="L74" s="854"/>
      <c r="M74" s="856"/>
      <c r="N74" s="2365"/>
      <c r="O74" s="2365"/>
      <c r="P74" s="846"/>
      <c r="Q74" s="846"/>
    </row>
    <row r="75" spans="1:17">
      <c r="A75" s="869" t="s">
        <v>416</v>
      </c>
      <c r="B75" s="870" t="s">
        <v>417</v>
      </c>
      <c r="C75" s="122"/>
      <c r="D75" s="122"/>
      <c r="E75" s="122"/>
      <c r="F75" s="122"/>
      <c r="G75" s="122"/>
      <c r="H75" s="122"/>
      <c r="I75" s="122"/>
      <c r="J75" s="122"/>
      <c r="K75" s="123"/>
      <c r="L75" s="124"/>
      <c r="M75" s="125"/>
      <c r="N75" s="2366"/>
      <c r="O75" s="2366"/>
      <c r="P75" s="334"/>
      <c r="Q75" s="846"/>
    </row>
    <row r="76" spans="1:17" ht="15.75" thickBot="1">
      <c r="A76" s="876"/>
      <c r="B76" s="877"/>
      <c r="C76" s="878"/>
      <c r="D76" s="878"/>
      <c r="E76" s="878"/>
      <c r="F76" s="878"/>
      <c r="G76" s="878"/>
      <c r="H76" s="878"/>
      <c r="I76" s="878"/>
      <c r="J76" s="878"/>
      <c r="K76" s="878"/>
      <c r="L76" s="878"/>
      <c r="M76" s="879"/>
      <c r="N76" s="2367"/>
      <c r="O76" s="2367"/>
      <c r="P76" s="334"/>
      <c r="Q76" s="846"/>
    </row>
    <row r="77" spans="1:17" ht="27.75" thickTop="1">
      <c r="A77" s="876"/>
      <c r="B77" s="880" t="s">
        <v>402</v>
      </c>
      <c r="C77" s="881"/>
      <c r="D77" s="881"/>
      <c r="E77" s="881"/>
      <c r="F77" s="881"/>
      <c r="G77" s="881"/>
      <c r="H77" s="881"/>
      <c r="I77" s="881"/>
      <c r="J77" s="881"/>
      <c r="K77" s="882"/>
      <c r="L77" s="883"/>
      <c r="M77" s="884"/>
      <c r="N77" s="2366"/>
      <c r="O77" s="2366"/>
      <c r="P77" s="334"/>
      <c r="Q77" s="846"/>
    </row>
    <row r="78" spans="1:17" ht="15.75" thickBot="1">
      <c r="A78" s="876"/>
      <c r="B78" s="885"/>
      <c r="C78" s="886"/>
      <c r="D78" s="886"/>
      <c r="E78" s="886"/>
      <c r="F78" s="886"/>
      <c r="G78" s="886"/>
      <c r="H78" s="886"/>
      <c r="I78" s="886"/>
      <c r="J78" s="886"/>
      <c r="K78" s="886"/>
      <c r="L78" s="886"/>
      <c r="M78" s="887"/>
      <c r="N78" s="2367"/>
      <c r="O78" s="2367"/>
      <c r="P78" s="334"/>
      <c r="Q78" s="846"/>
    </row>
    <row r="79" spans="1:17" ht="15.75" thickTop="1">
      <c r="A79" s="876"/>
      <c r="B79" s="888" t="s">
        <v>403</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7"/>
      <c r="O79" s="2367"/>
      <c r="P79" s="334"/>
      <c r="Q79" s="846"/>
    </row>
    <row r="80" spans="1:17" ht="15">
      <c r="A80" s="876"/>
      <c r="B80" s="890"/>
      <c r="C80" s="891"/>
      <c r="D80" s="891"/>
      <c r="E80" s="891"/>
      <c r="F80" s="891"/>
      <c r="G80" s="891"/>
      <c r="H80" s="891"/>
      <c r="I80" s="891"/>
      <c r="J80" s="891"/>
      <c r="K80" s="892"/>
      <c r="L80" s="893"/>
      <c r="M80" s="894"/>
      <c r="N80" s="2366"/>
      <c r="O80" s="2366"/>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7"/>
      <c r="O81" s="2367"/>
      <c r="P81" s="334"/>
      <c r="Q81" s="846"/>
    </row>
    <row r="82" spans="1:17" s="813" customFormat="1" ht="15.75" thickTop="1">
      <c r="A82" s="895"/>
      <c r="B82" s="880" t="str">
        <f>B12</f>
        <v>配建</v>
      </c>
      <c r="C82" s="139"/>
      <c r="D82" s="139"/>
      <c r="E82" s="139"/>
      <c r="F82" s="139"/>
      <c r="G82" s="139"/>
      <c r="H82" s="1058"/>
      <c r="I82" s="1058"/>
      <c r="J82" s="1058"/>
      <c r="K82" s="1058"/>
      <c r="L82" s="1059"/>
      <c r="M82" s="1060"/>
      <c r="N82" s="2368"/>
      <c r="O82" s="2368"/>
      <c r="P82" s="900"/>
      <c r="Q82" s="901"/>
    </row>
    <row r="83" spans="1:17" s="813" customFormat="1" ht="15.75" thickBot="1">
      <c r="A83" s="895"/>
      <c r="B83" s="885"/>
      <c r="C83" s="902"/>
      <c r="D83" s="878"/>
      <c r="E83" s="878"/>
      <c r="F83" s="878"/>
      <c r="G83" s="878"/>
      <c r="H83" s="878"/>
      <c r="I83" s="878"/>
      <c r="J83" s="878"/>
      <c r="K83" s="878"/>
      <c r="L83" s="878"/>
      <c r="M83" s="879"/>
      <c r="N83" s="2367"/>
      <c r="O83" s="2367"/>
      <c r="P83" s="900"/>
      <c r="Q83" s="901"/>
    </row>
    <row r="84" spans="1:17" s="813" customFormat="1" ht="15.75" thickTop="1">
      <c r="A84" s="895"/>
      <c r="B84" s="880">
        <f>B13</f>
        <v>111</v>
      </c>
      <c r="C84" s="139"/>
      <c r="D84" s="139"/>
      <c r="E84" s="139"/>
      <c r="F84" s="139"/>
      <c r="G84" s="139"/>
      <c r="H84" s="1058"/>
      <c r="I84" s="1058"/>
      <c r="J84" s="1058"/>
      <c r="K84" s="1058"/>
      <c r="L84" s="1059"/>
      <c r="M84" s="1060"/>
      <c r="N84" s="2368"/>
      <c r="O84" s="2368"/>
      <c r="P84" s="812"/>
      <c r="Q84" s="903"/>
    </row>
    <row r="85" spans="1:17" s="813" customFormat="1" ht="15.75" thickBot="1">
      <c r="A85" s="895"/>
      <c r="B85" s="885"/>
      <c r="C85" s="902"/>
      <c r="D85" s="902"/>
      <c r="E85" s="902"/>
      <c r="F85" s="902"/>
      <c r="G85" s="902"/>
      <c r="H85" s="904"/>
      <c r="I85" s="904"/>
      <c r="J85" s="904"/>
      <c r="K85" s="904"/>
      <c r="L85" s="904"/>
      <c r="M85" s="905"/>
      <c r="N85" s="2368"/>
      <c r="O85" s="2368"/>
      <c r="P85" s="900"/>
      <c r="Q85" s="901"/>
    </row>
    <row r="86" spans="1:17" s="813" customFormat="1" ht="15.75" thickTop="1">
      <c r="A86" s="895"/>
      <c r="B86" s="888">
        <f>B14</f>
        <v>111</v>
      </c>
      <c r="C86" s="140"/>
      <c r="D86" s="140"/>
      <c r="E86" s="140"/>
      <c r="F86" s="140"/>
      <c r="G86" s="140"/>
      <c r="H86" s="1065"/>
      <c r="I86" s="1065"/>
      <c r="J86" s="1065"/>
      <c r="K86" s="1065"/>
      <c r="L86" s="1066"/>
      <c r="M86" s="1067"/>
      <c r="N86" s="2368"/>
      <c r="O86" s="2368"/>
      <c r="P86" s="909"/>
      <c r="Q86" s="901"/>
    </row>
    <row r="87" spans="1:17" s="813" customFormat="1" ht="15.75" thickBot="1">
      <c r="A87" s="910"/>
      <c r="B87" s="911"/>
      <c r="C87" s="912"/>
      <c r="D87" s="912"/>
      <c r="E87" s="912"/>
      <c r="F87" s="912"/>
      <c r="G87" s="912"/>
      <c r="H87" s="913"/>
      <c r="I87" s="913"/>
      <c r="J87" s="913"/>
      <c r="K87" s="913"/>
      <c r="L87" s="913"/>
      <c r="M87" s="914"/>
      <c r="N87" s="2368"/>
      <c r="O87" s="2368"/>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66"/>
      <c r="O88" s="2366"/>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7"/>
      <c r="O89" s="2367"/>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6"/>
      <c r="O90" s="2366"/>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7"/>
      <c r="O91" s="2367"/>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6"/>
      <c r="O92" s="2366"/>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7"/>
      <c r="O93" s="2367"/>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6"/>
      <c r="O94" s="2366"/>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7"/>
      <c r="O95" s="2367"/>
      <c r="P95" s="334"/>
      <c r="Q95" s="846"/>
    </row>
    <row r="96" spans="1:17" s="407" customFormat="1" ht="27.75" thickTop="1">
      <c r="A96" s="921"/>
      <c r="B96" s="880" t="s">
        <v>504</v>
      </c>
      <c r="C96" s="920" t="s">
        <v>423</v>
      </c>
      <c r="D96" s="920" t="s">
        <v>424</v>
      </c>
      <c r="E96" s="920" t="s">
        <v>425</v>
      </c>
      <c r="F96" s="920" t="s">
        <v>426</v>
      </c>
      <c r="G96" s="920" t="s">
        <v>427</v>
      </c>
      <c r="H96" s="920"/>
      <c r="I96" s="920"/>
      <c r="J96" s="920"/>
      <c r="K96" s="920"/>
      <c r="L96" s="1106"/>
      <c r="M96" s="964"/>
      <c r="N96" s="2365"/>
      <c r="O96" s="2365"/>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7"/>
      <c r="O97" s="2367"/>
      <c r="P97" s="334"/>
      <c r="Q97" s="846"/>
    </row>
    <row r="98" spans="1:17" s="407" customFormat="1" ht="27.75" thickTop="1">
      <c r="A98" s="921"/>
      <c r="B98" s="880" t="s">
        <v>505</v>
      </c>
      <c r="C98" s="915" t="s">
        <v>423</v>
      </c>
      <c r="D98" s="915" t="s">
        <v>424</v>
      </c>
      <c r="E98" s="915" t="s">
        <v>425</v>
      </c>
      <c r="F98" s="915" t="s">
        <v>426</v>
      </c>
      <c r="G98" s="915" t="s">
        <v>427</v>
      </c>
      <c r="H98" s="920"/>
      <c r="I98" s="920"/>
      <c r="J98" s="920"/>
      <c r="K98" s="920"/>
      <c r="L98" s="920"/>
      <c r="M98" s="964"/>
      <c r="N98" s="2365"/>
      <c r="O98" s="2365"/>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7"/>
      <c r="O99" s="2367"/>
      <c r="P99" s="334"/>
      <c r="Q99" s="846"/>
    </row>
    <row r="100" spans="1:17" s="813" customFormat="1" ht="15.75" thickTop="1">
      <c r="A100" s="895"/>
      <c r="B100" s="1053" t="s">
        <v>2664</v>
      </c>
      <c r="C100" s="915" t="s">
        <v>423</v>
      </c>
      <c r="D100" s="915" t="s">
        <v>424</v>
      </c>
      <c r="E100" s="915" t="s">
        <v>425</v>
      </c>
      <c r="F100" s="915" t="s">
        <v>426</v>
      </c>
      <c r="G100" s="915" t="s">
        <v>427</v>
      </c>
      <c r="H100" s="942"/>
      <c r="I100" s="942"/>
      <c r="J100" s="942"/>
      <c r="K100" s="942"/>
      <c r="L100" s="943"/>
      <c r="M100" s="944"/>
      <c r="N100" s="2368"/>
      <c r="O100" s="2368"/>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68"/>
      <c r="O101" s="2368"/>
      <c r="P101" s="900"/>
      <c r="Q101" s="901"/>
    </row>
    <row r="102" spans="1:17" s="813" customFormat="1" ht="15.75" thickTop="1">
      <c r="A102" s="895"/>
      <c r="B102" s="1055" t="s">
        <v>2651</v>
      </c>
      <c r="C102" s="213" t="s">
        <v>2652</v>
      </c>
      <c r="D102" s="213" t="s">
        <v>2653</v>
      </c>
      <c r="E102" s="213" t="s">
        <v>2654</v>
      </c>
      <c r="F102" s="213" t="s">
        <v>2655</v>
      </c>
      <c r="G102" s="213" t="s">
        <v>2656</v>
      </c>
      <c r="H102" s="942"/>
      <c r="I102" s="942"/>
      <c r="J102" s="942"/>
      <c r="K102" s="942"/>
      <c r="L102" s="942"/>
      <c r="M102" s="2766"/>
      <c r="N102" s="2368"/>
      <c r="O102" s="2368"/>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6"/>
      <c r="N103" s="2368"/>
      <c r="O103" s="2368"/>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6"/>
      <c r="O104" s="2366"/>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7"/>
      <c r="O105" s="2367"/>
      <c r="P105" s="334"/>
      <c r="Q105" s="846"/>
    </row>
    <row r="106" spans="1:17" ht="27.75" thickTop="1">
      <c r="A106" s="876"/>
      <c r="B106" s="880" t="s">
        <v>440</v>
      </c>
      <c r="C106" s="139"/>
      <c r="D106" s="139"/>
      <c r="E106" s="139"/>
      <c r="F106" s="139"/>
      <c r="G106" s="139"/>
      <c r="H106" s="131"/>
      <c r="I106" s="131"/>
      <c r="J106" s="131"/>
      <c r="K106" s="132"/>
      <c r="L106" s="133"/>
      <c r="M106" s="134"/>
      <c r="N106" s="2366"/>
      <c r="O106" s="2366"/>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7"/>
      <c r="O107" s="2367"/>
      <c r="P107" s="334"/>
      <c r="Q107" s="846"/>
    </row>
    <row r="108" spans="1:17" ht="15.75" thickTop="1">
      <c r="A108" s="876"/>
      <c r="B108" s="880" t="s">
        <v>483</v>
      </c>
      <c r="C108" s="131"/>
      <c r="D108" s="131"/>
      <c r="E108" s="131"/>
      <c r="F108" s="131"/>
      <c r="G108" s="131"/>
      <c r="H108" s="131"/>
      <c r="I108" s="131"/>
      <c r="J108" s="131"/>
      <c r="K108" s="132"/>
      <c r="L108" s="133"/>
      <c r="M108" s="134"/>
      <c r="N108" s="2366"/>
      <c r="O108" s="2366"/>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7"/>
      <c r="O109" s="2367"/>
      <c r="P109" s="334"/>
      <c r="Q109" s="846"/>
    </row>
    <row r="110" spans="1:17" ht="15.75" thickTop="1">
      <c r="A110" s="876"/>
      <c r="B110" s="888">
        <f>B35</f>
        <v>111</v>
      </c>
      <c r="C110" s="139"/>
      <c r="D110" s="139"/>
      <c r="E110" s="139"/>
      <c r="F110" s="139"/>
      <c r="G110" s="135"/>
      <c r="H110" s="135"/>
      <c r="I110" s="135"/>
      <c r="J110" s="135"/>
      <c r="K110" s="136"/>
      <c r="L110" s="137"/>
      <c r="M110" s="138"/>
      <c r="N110" s="2366"/>
      <c r="O110" s="2366"/>
      <c r="P110" s="334"/>
      <c r="Q110" s="846"/>
    </row>
    <row r="111" spans="1:17" ht="15.75" thickBot="1">
      <c r="A111" s="876"/>
      <c r="B111" s="911"/>
      <c r="C111" s="902"/>
      <c r="D111" s="902"/>
      <c r="E111" s="902"/>
      <c r="F111" s="902"/>
      <c r="G111" s="933"/>
      <c r="H111" s="933"/>
      <c r="I111" s="933"/>
      <c r="J111" s="933"/>
      <c r="K111" s="933"/>
      <c r="L111" s="933"/>
      <c r="M111" s="934"/>
      <c r="N111" s="2367"/>
      <c r="O111" s="2367"/>
      <c r="P111" s="334"/>
      <c r="Q111" s="846"/>
    </row>
    <row r="112" spans="1:17" ht="15" thickTop="1">
      <c r="A112" s="1083"/>
      <c r="B112" s="880">
        <f>B36</f>
        <v>111</v>
      </c>
      <c r="C112" s="140"/>
      <c r="D112" s="140"/>
      <c r="E112" s="140"/>
      <c r="F112" s="140"/>
      <c r="G112" s="131"/>
      <c r="H112" s="131"/>
      <c r="I112" s="131"/>
      <c r="J112" s="131"/>
      <c r="K112" s="132"/>
      <c r="L112" s="133"/>
      <c r="M112" s="134"/>
      <c r="N112" s="2366"/>
      <c r="O112" s="2366"/>
      <c r="P112" s="334"/>
      <c r="Q112" s="846"/>
    </row>
    <row r="113" spans="1:17" ht="15.75" thickBot="1">
      <c r="A113" s="876"/>
      <c r="B113" s="885"/>
      <c r="C113" s="912"/>
      <c r="D113" s="912"/>
      <c r="E113" s="912"/>
      <c r="F113" s="912"/>
      <c r="G113" s="878"/>
      <c r="H113" s="878"/>
      <c r="I113" s="878"/>
      <c r="J113" s="878"/>
      <c r="K113" s="878"/>
      <c r="L113" s="878"/>
      <c r="M113" s="879"/>
      <c r="N113" s="2367"/>
      <c r="O113" s="2367"/>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8"/>
      <c r="O114" s="2368"/>
      <c r="P114" s="900"/>
      <c r="Q114" s="901"/>
    </row>
    <row r="115" spans="1:17" s="813" customFormat="1" ht="15.75" thickBot="1">
      <c r="A115" s="895"/>
      <c r="B115" s="888"/>
      <c r="C115" s="854"/>
      <c r="D115" s="1085"/>
      <c r="E115" s="1085"/>
      <c r="F115" s="1085"/>
      <c r="G115" s="1085"/>
      <c r="H115" s="1085"/>
      <c r="I115" s="1085"/>
      <c r="J115" s="1085"/>
      <c r="K115" s="1085"/>
      <c r="L115" s="1085"/>
      <c r="M115" s="1107"/>
      <c r="N115" s="2367"/>
      <c r="O115" s="2367"/>
      <c r="P115" s="900"/>
      <c r="Q115" s="901"/>
    </row>
    <row r="116" spans="1:17">
      <c r="A116" s="869" t="s">
        <v>406</v>
      </c>
      <c r="B116" s="870" t="s">
        <v>510</v>
      </c>
      <c r="C116" s="872"/>
      <c r="D116" s="872"/>
      <c r="E116" s="872"/>
      <c r="F116" s="872"/>
      <c r="G116" s="872"/>
      <c r="H116" s="872"/>
      <c r="I116" s="872"/>
      <c r="J116" s="872"/>
      <c r="K116" s="873"/>
      <c r="L116" s="874"/>
      <c r="M116" s="875"/>
      <c r="N116" s="2366"/>
      <c r="O116" s="2366"/>
      <c r="P116" s="334"/>
      <c r="Q116" s="846"/>
    </row>
    <row r="117" spans="1:17" ht="15">
      <c r="A117" s="876"/>
      <c r="B117" s="888"/>
      <c r="C117" s="937"/>
      <c r="D117" s="937"/>
      <c r="E117" s="937"/>
      <c r="F117" s="937"/>
      <c r="G117" s="937"/>
      <c r="H117" s="937"/>
      <c r="I117" s="937"/>
      <c r="J117" s="938"/>
      <c r="K117" s="938"/>
      <c r="L117" s="939"/>
      <c r="M117" s="940"/>
      <c r="N117" s="2366"/>
      <c r="O117" s="2366"/>
      <c r="P117" s="334"/>
      <c r="Q117" s="846"/>
    </row>
    <row r="118" spans="1:17" ht="15.75" thickBot="1">
      <c r="A118" s="876"/>
      <c r="B118" s="885"/>
      <c r="C118" s="912"/>
      <c r="D118" s="933"/>
      <c r="E118" s="933"/>
      <c r="F118" s="933"/>
      <c r="G118" s="933"/>
      <c r="H118" s="933"/>
      <c r="I118" s="933"/>
      <c r="J118" s="933"/>
      <c r="K118" s="933"/>
      <c r="L118" s="933"/>
      <c r="M118" s="934"/>
      <c r="N118" s="2367"/>
      <c r="O118" s="2367"/>
      <c r="P118" s="334"/>
      <c r="Q118" s="846"/>
    </row>
    <row r="119" spans="1:17" ht="15" thickTop="1">
      <c r="A119" s="941"/>
      <c r="B119" s="880" t="s">
        <v>511</v>
      </c>
      <c r="C119" s="131"/>
      <c r="D119" s="131"/>
      <c r="E119" s="131"/>
      <c r="F119" s="131"/>
      <c r="G119" s="131"/>
      <c r="H119" s="131"/>
      <c r="I119" s="131"/>
      <c r="J119" s="131"/>
      <c r="K119" s="132"/>
      <c r="L119" s="133"/>
      <c r="M119" s="134"/>
      <c r="N119" s="2366"/>
      <c r="O119" s="2366"/>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7"/>
      <c r="O120" s="2367"/>
      <c r="P120" s="334"/>
      <c r="Q120" s="846"/>
    </row>
    <row r="121" spans="1:17" ht="15" thickTop="1">
      <c r="A121" s="941"/>
      <c r="B121" s="880" t="s">
        <v>512</v>
      </c>
      <c r="C121" s="139"/>
      <c r="D121" s="139"/>
      <c r="E121" s="139"/>
      <c r="F121" s="131"/>
      <c r="G121" s="131"/>
      <c r="H121" s="131"/>
      <c r="I121" s="131"/>
      <c r="J121" s="131"/>
      <c r="K121" s="132"/>
      <c r="L121" s="133"/>
      <c r="M121" s="134"/>
      <c r="N121" s="2366"/>
      <c r="O121" s="2366"/>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7"/>
      <c r="O122" s="2367"/>
      <c r="P122" s="334"/>
      <c r="Q122" s="846"/>
    </row>
    <row r="123" spans="1:17" s="813" customFormat="1" ht="15" thickTop="1">
      <c r="A123" s="935"/>
      <c r="B123" s="1053" t="s">
        <v>2496</v>
      </c>
      <c r="C123" s="139"/>
      <c r="D123" s="139"/>
      <c r="E123" s="139"/>
      <c r="F123" s="139"/>
      <c r="G123" s="139"/>
      <c r="H123" s="131"/>
      <c r="I123" s="131"/>
      <c r="J123" s="131"/>
      <c r="K123" s="132"/>
      <c r="L123" s="133"/>
      <c r="M123" s="134"/>
      <c r="N123" s="2368"/>
      <c r="O123" s="2368"/>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68"/>
      <c r="O124" s="2368"/>
      <c r="P124" s="900"/>
      <c r="Q124" s="901"/>
    </row>
    <row r="125" spans="1:17" ht="15" thickTop="1">
      <c r="A125" s="941"/>
      <c r="B125" s="880" t="s">
        <v>513</v>
      </c>
      <c r="C125" s="139"/>
      <c r="D125" s="139"/>
      <c r="E125" s="131"/>
      <c r="F125" s="131"/>
      <c r="G125" s="131"/>
      <c r="H125" s="131"/>
      <c r="I125" s="131"/>
      <c r="J125" s="131"/>
      <c r="K125" s="132"/>
      <c r="L125" s="133"/>
      <c r="M125" s="134"/>
      <c r="N125" s="2366"/>
      <c r="O125" s="2366"/>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7"/>
      <c r="O126" s="2367"/>
      <c r="P126" s="334"/>
      <c r="Q126" s="846"/>
    </row>
    <row r="127" spans="1:17" ht="15" thickTop="1">
      <c r="A127" s="941"/>
      <c r="B127" s="880">
        <f>B43</f>
        <v>111</v>
      </c>
      <c r="C127" s="139"/>
      <c r="D127" s="139"/>
      <c r="E127" s="139"/>
      <c r="F127" s="139"/>
      <c r="G127" s="139"/>
      <c r="H127" s="131"/>
      <c r="I127" s="131"/>
      <c r="J127" s="131"/>
      <c r="K127" s="132"/>
      <c r="L127" s="133"/>
      <c r="M127" s="134"/>
      <c r="N127" s="2366"/>
      <c r="O127" s="2366"/>
      <c r="P127" s="334"/>
      <c r="Q127" s="846"/>
    </row>
    <row r="128" spans="1:17" ht="15.75" thickBot="1">
      <c r="A128" s="876"/>
      <c r="B128" s="885"/>
      <c r="C128" s="902"/>
      <c r="D128" s="902"/>
      <c r="E128" s="902"/>
      <c r="F128" s="902"/>
      <c r="G128" s="878"/>
      <c r="H128" s="878"/>
      <c r="I128" s="878"/>
      <c r="J128" s="878"/>
      <c r="K128" s="878"/>
      <c r="L128" s="878"/>
      <c r="M128" s="879"/>
      <c r="N128" s="2367"/>
      <c r="O128" s="2367"/>
      <c r="P128" s="334"/>
      <c r="Q128" s="846"/>
    </row>
    <row r="129" spans="1:17" ht="15" thickTop="1">
      <c r="A129" s="941"/>
      <c r="B129" s="880">
        <f>B44</f>
        <v>111</v>
      </c>
      <c r="C129" s="140"/>
      <c r="D129" s="140"/>
      <c r="E129" s="140"/>
      <c r="F129" s="140"/>
      <c r="G129" s="131"/>
      <c r="H129" s="131"/>
      <c r="I129" s="131"/>
      <c r="J129" s="131"/>
      <c r="K129" s="132"/>
      <c r="L129" s="133"/>
      <c r="M129" s="134"/>
      <c r="N129" s="2366"/>
      <c r="O129" s="2366"/>
      <c r="P129" s="334"/>
      <c r="Q129" s="846"/>
    </row>
    <row r="130" spans="1:17" ht="15.75" thickBot="1">
      <c r="A130" s="876"/>
      <c r="B130" s="885"/>
      <c r="C130" s="912"/>
      <c r="D130" s="912"/>
      <c r="E130" s="912"/>
      <c r="F130" s="912"/>
      <c r="G130" s="878"/>
      <c r="H130" s="878"/>
      <c r="I130" s="878"/>
      <c r="J130" s="878"/>
      <c r="K130" s="878"/>
      <c r="L130" s="878"/>
      <c r="M130" s="879"/>
      <c r="N130" s="2367"/>
      <c r="O130" s="2367"/>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8"/>
      <c r="O131" s="2368"/>
      <c r="P131" s="900"/>
      <c r="Q131" s="901"/>
    </row>
    <row r="132" spans="1:17" s="813" customFormat="1" ht="15.75" thickBot="1">
      <c r="A132" s="910"/>
      <c r="B132" s="1108"/>
      <c r="C132" s="912"/>
      <c r="D132" s="912"/>
      <c r="E132" s="912"/>
      <c r="F132" s="912"/>
      <c r="G132" s="933"/>
      <c r="H132" s="933"/>
      <c r="I132" s="933"/>
      <c r="J132" s="933"/>
      <c r="K132" s="933"/>
      <c r="L132" s="933"/>
      <c r="M132" s="934"/>
      <c r="N132" s="2368"/>
      <c r="O132" s="2368"/>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343</v>
      </c>
      <c r="B2" s="1079" t="e">
        <f>F61</f>
        <v>#DIV/0!</v>
      </c>
      <c r="C2" s="2339"/>
      <c r="D2" s="2339"/>
      <c r="E2" s="2339"/>
      <c r="F2" s="2340"/>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row>
    <row r="3" spans="1:29" s="741" customFormat="1" ht="28.5" customHeight="1" thickBot="1">
      <c r="A3" s="579" t="s">
        <v>344</v>
      </c>
      <c r="B3" s="951" t="e">
        <f>ROUND(IF(D3="",B2*10000/'数据-汇总表'!E3,B2*10000/D3),0)</f>
        <v>#DIV/0!</v>
      </c>
      <c r="C3" s="579" t="s">
        <v>2882</v>
      </c>
      <c r="D3" s="3049"/>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29" ht="15">
      <c r="A4" s="744" t="s">
        <v>388</v>
      </c>
      <c r="B4" s="745"/>
      <c r="C4" s="3866" t="s">
        <v>389</v>
      </c>
      <c r="D4" s="3867"/>
      <c r="E4" s="3868" t="s">
        <v>390</v>
      </c>
      <c r="F4" s="3869"/>
      <c r="G4" s="3866" t="s">
        <v>391</v>
      </c>
      <c r="H4" s="3867"/>
      <c r="I4" s="3866" t="s">
        <v>392</v>
      </c>
      <c r="J4" s="3867"/>
      <c r="K4" s="952" t="s">
        <v>393</v>
      </c>
      <c r="L4" s="2344"/>
      <c r="M4" s="2345"/>
      <c r="N4" s="2345"/>
      <c r="O4" s="2345"/>
      <c r="P4" s="3870" t="s">
        <v>394</v>
      </c>
      <c r="Q4" s="3871"/>
      <c r="R4" s="3857" t="s">
        <v>390</v>
      </c>
      <c r="S4" s="3858"/>
      <c r="T4" s="3857" t="s">
        <v>391</v>
      </c>
      <c r="U4" s="3858"/>
      <c r="V4" s="3878" t="s">
        <v>392</v>
      </c>
      <c r="W4" s="3878"/>
      <c r="X4" s="1317"/>
      <c r="Y4" s="3857" t="s">
        <v>394</v>
      </c>
      <c r="Z4" s="3858"/>
      <c r="AA4" s="3852" t="s">
        <v>390</v>
      </c>
      <c r="AB4" s="3853" t="s">
        <v>391</v>
      </c>
      <c r="AC4" s="3852" t="s">
        <v>392</v>
      </c>
    </row>
    <row r="5" spans="1:29" ht="15">
      <c r="A5" s="747"/>
      <c r="B5" s="748"/>
      <c r="C5" s="3795" t="s">
        <v>1127</v>
      </c>
      <c r="D5" s="3796"/>
      <c r="E5" s="3793" t="s">
        <v>1128</v>
      </c>
      <c r="F5" s="3794"/>
      <c r="G5" s="3795" t="s">
        <v>1131</v>
      </c>
      <c r="H5" s="3796"/>
      <c r="I5" s="3795" t="s">
        <v>1129</v>
      </c>
      <c r="J5" s="3796"/>
      <c r="K5" s="952"/>
      <c r="L5" s="2344"/>
      <c r="M5" s="2345"/>
      <c r="N5" s="2345"/>
      <c r="O5" s="2345"/>
      <c r="P5" s="3872"/>
      <c r="Q5" s="3873"/>
      <c r="R5" s="3859"/>
      <c r="S5" s="3860"/>
      <c r="T5" s="3859"/>
      <c r="U5" s="3860"/>
      <c r="V5" s="3878"/>
      <c r="W5" s="3878"/>
      <c r="X5" s="1317"/>
      <c r="Y5" s="3859"/>
      <c r="Z5" s="3860"/>
      <c r="AA5" s="3853"/>
      <c r="AB5" s="3853"/>
      <c r="AC5" s="3853"/>
    </row>
    <row r="6" spans="1:29" ht="15.75" thickBot="1">
      <c r="A6" s="749"/>
      <c r="B6" s="750"/>
      <c r="C6" s="3895" t="s">
        <v>1130</v>
      </c>
      <c r="D6" s="3896"/>
      <c r="E6" s="3897" t="s">
        <v>1130</v>
      </c>
      <c r="F6" s="3898"/>
      <c r="G6" s="3895" t="s">
        <v>1130</v>
      </c>
      <c r="H6" s="3896"/>
      <c r="I6" s="3895" t="s">
        <v>1130</v>
      </c>
      <c r="J6" s="3896"/>
      <c r="K6" s="952" t="s">
        <v>395</v>
      </c>
      <c r="L6" s="2344"/>
      <c r="M6" s="2345"/>
      <c r="N6" s="2345"/>
      <c r="O6" s="2345"/>
      <c r="P6" s="3874"/>
      <c r="Q6" s="3875"/>
      <c r="R6" s="3859"/>
      <c r="S6" s="3860"/>
      <c r="T6" s="3876"/>
      <c r="U6" s="3877"/>
      <c r="V6" s="3878"/>
      <c r="W6" s="3878"/>
      <c r="X6" s="1317"/>
      <c r="Y6" s="3876"/>
      <c r="Z6" s="3877"/>
      <c r="AA6" s="3854"/>
      <c r="AB6" s="3854"/>
      <c r="AC6" s="3854"/>
    </row>
    <row r="7" spans="1:29" s="407" customFormat="1" ht="15.75" thickBot="1">
      <c r="A7" s="751" t="s">
        <v>396</v>
      </c>
      <c r="B7" s="752"/>
      <c r="C7" s="753">
        <f>'数据-取费表'!B2</f>
        <v>42970</v>
      </c>
      <c r="D7" s="754">
        <v>100</v>
      </c>
      <c r="E7" s="1016"/>
      <c r="F7" s="756">
        <f>SUMIF(65:65,YEAR(E7)&amp;"-"&amp;INT((MONTH(E7)+2)/3),66:66)</f>
        <v>0</v>
      </c>
      <c r="G7" s="1017"/>
      <c r="H7" s="754">
        <f>SUMIF(65:65,YEAR(G7)&amp;"-"&amp;INT((MONTH(G7)+2)/3),66:66)</f>
        <v>0</v>
      </c>
      <c r="I7" s="1017"/>
      <c r="J7" s="754">
        <f>SUMIF(65:65,YEAR(I7)&amp;"-"&amp;INT((MONTH(I7)+2)/3),66:66)</f>
        <v>0</v>
      </c>
      <c r="K7" s="953"/>
      <c r="L7" s="2346"/>
      <c r="M7" s="2347"/>
      <c r="N7" s="2347"/>
      <c r="O7" s="2347"/>
      <c r="P7" s="3855" t="s">
        <v>397</v>
      </c>
      <c r="Q7" s="3879"/>
      <c r="R7" s="1318" t="s">
        <v>63</v>
      </c>
      <c r="S7" s="1319">
        <f t="shared" ref="S7:S15" si="0">F7</f>
        <v>0</v>
      </c>
      <c r="T7" s="1318" t="s">
        <v>63</v>
      </c>
      <c r="U7" s="1319">
        <f t="shared" ref="U7:U15" si="1">H7</f>
        <v>0</v>
      </c>
      <c r="V7" s="1318" t="s">
        <v>63</v>
      </c>
      <c r="W7" s="1319">
        <f t="shared" ref="W7:W15" si="2">J7</f>
        <v>0</v>
      </c>
      <c r="X7" s="1320"/>
      <c r="Y7" s="3855" t="s">
        <v>397</v>
      </c>
      <c r="Z7" s="3856"/>
      <c r="AA7" s="1321" t="e">
        <f>D7/F7</f>
        <v>#DIV/0!</v>
      </c>
      <c r="AB7" s="1321" t="e">
        <f>D7/H7</f>
        <v>#DIV/0!</v>
      </c>
      <c r="AC7" s="1321" t="e">
        <f>D7/J7</f>
        <v>#DIV/0!</v>
      </c>
    </row>
    <row r="8" spans="1:29" s="407" customFormat="1" ht="15.75" thickBot="1">
      <c r="A8" s="751" t="s">
        <v>398</v>
      </c>
      <c r="B8" s="752"/>
      <c r="C8" s="1019" t="s">
        <v>153</v>
      </c>
      <c r="D8" s="754">
        <v>100</v>
      </c>
      <c r="E8" s="1019"/>
      <c r="F8" s="756">
        <f>SUMIF(68:68,E8,69:69)-SUMIF(68:68,C8,69:69)+100</f>
        <v>0</v>
      </c>
      <c r="G8" s="1019"/>
      <c r="H8" s="754">
        <f>SUMIF(68:68,G8,69:69)-SUMIF(68:68,C8,69:69)+100</f>
        <v>0</v>
      </c>
      <c r="I8" s="1019"/>
      <c r="J8" s="754">
        <f>SUMIF(68:68,I8,69:69)-SUMIF(68:68,C8,69:69)+100</f>
        <v>0</v>
      </c>
      <c r="K8" s="953"/>
      <c r="L8" s="2346"/>
      <c r="M8" s="2347"/>
      <c r="N8" s="2347"/>
      <c r="O8" s="2347"/>
      <c r="P8" s="3855" t="s">
        <v>433</v>
      </c>
      <c r="Q8" s="3856"/>
      <c r="R8" s="1318" t="s">
        <v>63</v>
      </c>
      <c r="S8" s="1319">
        <f t="shared" si="0"/>
        <v>0</v>
      </c>
      <c r="T8" s="1318" t="s">
        <v>63</v>
      </c>
      <c r="U8" s="1319">
        <f t="shared" si="1"/>
        <v>0</v>
      </c>
      <c r="V8" s="1318" t="s">
        <v>63</v>
      </c>
      <c r="W8" s="1319">
        <f t="shared" si="2"/>
        <v>0</v>
      </c>
      <c r="X8" s="1320"/>
      <c r="Y8" s="3855" t="s">
        <v>433</v>
      </c>
      <c r="Z8" s="3856"/>
      <c r="AA8" s="1321" t="e">
        <f t="shared" ref="AA8:AA40" si="3">D8/F8</f>
        <v>#DIV/0!</v>
      </c>
      <c r="AB8" s="1321" t="e">
        <f t="shared" ref="AB8:AB40" si="4">D8/H8</f>
        <v>#DIV/0!</v>
      </c>
      <c r="AC8" s="1321" t="e">
        <f t="shared" ref="AC8:AC40" si="5">D8/J8</f>
        <v>#DIV/0!</v>
      </c>
    </row>
    <row r="9" spans="1:29" s="407" customFormat="1">
      <c r="A9" s="758" t="s">
        <v>399</v>
      </c>
      <c r="B9" s="361" t="s">
        <v>417</v>
      </c>
      <c r="C9" s="1021"/>
      <c r="D9" s="425">
        <v>100</v>
      </c>
      <c r="E9" s="1021"/>
      <c r="F9" s="425">
        <f>SUMIF(70:70,E9,71:71)-SUMIF(70:70,C9,71:71)+100</f>
        <v>100</v>
      </c>
      <c r="G9" s="1021"/>
      <c r="H9" s="425">
        <f>SUMIF(70:70,G9,71:71)-SUMIF(70:70,C9,71:71)+100</f>
        <v>100</v>
      </c>
      <c r="I9" s="1021"/>
      <c r="J9" s="425">
        <f>SUMIF(70:70,I9,71:71)-SUMIF(70:70,C9,71:71)+100</f>
        <v>100</v>
      </c>
      <c r="K9" s="953"/>
      <c r="L9" s="2346"/>
      <c r="M9" s="2347"/>
      <c r="N9" s="2347"/>
      <c r="O9" s="2348"/>
      <c r="P9" s="3865" t="s">
        <v>400</v>
      </c>
      <c r="Q9" s="296" t="str">
        <f t="shared" ref="Q9:Q15" si="6">B9</f>
        <v>用途</v>
      </c>
      <c r="R9" s="1318" t="s">
        <v>63</v>
      </c>
      <c r="S9" s="1319">
        <f t="shared" si="0"/>
        <v>100</v>
      </c>
      <c r="T9" s="1318" t="s">
        <v>63</v>
      </c>
      <c r="U9" s="1319">
        <f t="shared" si="1"/>
        <v>100</v>
      </c>
      <c r="V9" s="1318" t="s">
        <v>63</v>
      </c>
      <c r="W9" s="1319">
        <f t="shared" si="2"/>
        <v>100</v>
      </c>
      <c r="X9" s="1320"/>
      <c r="Y9" s="3731" t="s">
        <v>401</v>
      </c>
      <c r="Z9" s="344" t="str">
        <f t="shared" ref="Z9:Z15" si="7">Q9</f>
        <v>用途</v>
      </c>
      <c r="AA9" s="1321">
        <f t="shared" si="3"/>
        <v>1</v>
      </c>
      <c r="AB9" s="1321">
        <f t="shared" si="4"/>
        <v>1</v>
      </c>
      <c r="AC9" s="1321">
        <f t="shared" si="5"/>
        <v>1</v>
      </c>
    </row>
    <row r="10" spans="1:29" s="769" customFormat="1" ht="27">
      <c r="A10" s="763"/>
      <c r="B10" s="764" t="s">
        <v>402</v>
      </c>
      <c r="C10" s="1023"/>
      <c r="D10" s="426">
        <v>100</v>
      </c>
      <c r="E10" s="1023"/>
      <c r="F10" s="426" t="e">
        <f>ROUND(100/'数据-取费表'!G16,0)</f>
        <v>#DIV/0!</v>
      </c>
      <c r="G10" s="1023"/>
      <c r="H10" s="426" t="e">
        <f>ROUND(100/'数据-取费表'!G16,0)</f>
        <v>#DIV/0!</v>
      </c>
      <c r="I10" s="1023"/>
      <c r="J10" s="426" t="e">
        <f>ROUND(100/'数据-取费表'!G16,0)</f>
        <v>#DIV/0!</v>
      </c>
      <c r="K10" s="1080"/>
      <c r="L10" s="2349"/>
      <c r="M10" s="2350"/>
      <c r="N10" s="2350"/>
      <c r="O10" s="2351"/>
      <c r="P10" s="3865"/>
      <c r="Q10" s="296" t="str">
        <f t="shared" si="6"/>
        <v>土地使用年限（年）</v>
      </c>
      <c r="R10" s="1318" t="s">
        <v>63</v>
      </c>
      <c r="S10" s="1319" t="e">
        <f t="shared" si="0"/>
        <v>#DIV/0!</v>
      </c>
      <c r="T10" s="1318" t="s">
        <v>63</v>
      </c>
      <c r="U10" s="1319" t="e">
        <f t="shared" si="1"/>
        <v>#DIV/0!</v>
      </c>
      <c r="V10" s="1318" t="s">
        <v>63</v>
      </c>
      <c r="W10" s="1319" t="e">
        <f t="shared" si="2"/>
        <v>#DIV/0!</v>
      </c>
      <c r="X10" s="1320"/>
      <c r="Y10" s="3731"/>
      <c r="Z10" s="344" t="str">
        <f t="shared" si="7"/>
        <v>土地使用年限（年）</v>
      </c>
      <c r="AA10" s="1321" t="e">
        <f t="shared" si="3"/>
        <v>#DIV/0!</v>
      </c>
      <c r="AB10" s="1321" t="e">
        <f t="shared" si="4"/>
        <v>#DIV/0!</v>
      </c>
      <c r="AC10" s="1321" t="e">
        <f t="shared" si="5"/>
        <v>#DIV/0!</v>
      </c>
    </row>
    <row r="11" spans="1:29" ht="15">
      <c r="A11" s="770"/>
      <c r="B11" s="764" t="s">
        <v>403</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2"/>
      <c r="M11" s="2345"/>
      <c r="N11" s="2345"/>
      <c r="O11" s="2353"/>
      <c r="P11" s="3865"/>
      <c r="Q11" s="296" t="str">
        <f t="shared" si="6"/>
        <v>容积率</v>
      </c>
      <c r="R11" s="1318" t="s">
        <v>63</v>
      </c>
      <c r="S11" s="1319" t="e">
        <f t="shared" si="0"/>
        <v>#N/A</v>
      </c>
      <c r="T11" s="1318" t="s">
        <v>63</v>
      </c>
      <c r="U11" s="1319" t="e">
        <f t="shared" si="1"/>
        <v>#N/A</v>
      </c>
      <c r="V11" s="1318" t="s">
        <v>63</v>
      </c>
      <c r="W11" s="1319" t="e">
        <f t="shared" si="2"/>
        <v>#N/A</v>
      </c>
      <c r="X11" s="1320"/>
      <c r="Y11" s="3731"/>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46"/>
      <c r="M12" s="2347"/>
      <c r="N12" s="2347"/>
      <c r="O12" s="2348"/>
      <c r="P12" s="3865"/>
      <c r="Q12" s="296">
        <f t="shared" si="6"/>
        <v>111</v>
      </c>
      <c r="R12" s="1318" t="s">
        <v>63</v>
      </c>
      <c r="S12" s="1319">
        <f t="shared" si="0"/>
        <v>100</v>
      </c>
      <c r="T12" s="1318" t="s">
        <v>63</v>
      </c>
      <c r="U12" s="1319">
        <f t="shared" si="1"/>
        <v>100</v>
      </c>
      <c r="V12" s="1318" t="s">
        <v>63</v>
      </c>
      <c r="W12" s="1319">
        <f t="shared" si="2"/>
        <v>100</v>
      </c>
      <c r="X12" s="1320"/>
      <c r="Y12" s="3731"/>
      <c r="Z12" s="344">
        <f t="shared" si="7"/>
        <v>111</v>
      </c>
      <c r="AA12" s="1321">
        <f>D12/F12</f>
        <v>1</v>
      </c>
      <c r="AB12" s="1321">
        <f>D12/H12</f>
        <v>1</v>
      </c>
      <c r="AC12" s="1321">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4"/>
      <c r="M13" s="2345"/>
      <c r="N13" s="2345"/>
      <c r="O13" s="2353"/>
      <c r="P13" s="3865"/>
      <c r="Q13" s="296">
        <f t="shared" si="6"/>
        <v>111</v>
      </c>
      <c r="R13" s="1318" t="s">
        <v>63</v>
      </c>
      <c r="S13" s="1319">
        <f t="shared" si="0"/>
        <v>100</v>
      </c>
      <c r="T13" s="1318" t="s">
        <v>63</v>
      </c>
      <c r="U13" s="1319">
        <f t="shared" si="1"/>
        <v>100</v>
      </c>
      <c r="V13" s="1318" t="s">
        <v>63</v>
      </c>
      <c r="W13" s="1319">
        <f t="shared" si="2"/>
        <v>100</v>
      </c>
      <c r="X13" s="1320"/>
      <c r="Y13" s="3731"/>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4"/>
      <c r="M14" s="2345"/>
      <c r="N14" s="2345"/>
      <c r="O14" s="2353"/>
      <c r="P14" s="3865"/>
      <c r="Q14" s="296">
        <f t="shared" si="6"/>
        <v>111</v>
      </c>
      <c r="R14" s="1318" t="s">
        <v>63</v>
      </c>
      <c r="S14" s="1319">
        <f t="shared" si="0"/>
        <v>100</v>
      </c>
      <c r="T14" s="1318" t="s">
        <v>63</v>
      </c>
      <c r="U14" s="1319">
        <f t="shared" si="1"/>
        <v>100</v>
      </c>
      <c r="V14" s="1318" t="s">
        <v>63</v>
      </c>
      <c r="W14" s="1319">
        <f t="shared" si="2"/>
        <v>100</v>
      </c>
      <c r="X14" s="1320"/>
      <c r="Y14" s="3731"/>
      <c r="Z14" s="344">
        <f t="shared" si="7"/>
        <v>111</v>
      </c>
      <c r="AA14" s="1321">
        <f t="shared" si="3"/>
        <v>1</v>
      </c>
      <c r="AB14" s="1321">
        <f t="shared" si="4"/>
        <v>1</v>
      </c>
      <c r="AC14" s="1321">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4"/>
      <c r="M15" s="2345"/>
      <c r="N15" s="2345"/>
      <c r="O15" s="2353"/>
      <c r="P15" s="3880" t="s">
        <v>405</v>
      </c>
      <c r="Q15" s="1322" t="str">
        <f t="shared" si="6"/>
        <v>产业集聚程度</v>
      </c>
      <c r="R15" s="1323" t="s">
        <v>63</v>
      </c>
      <c r="S15" s="1324">
        <f t="shared" si="0"/>
        <v>100</v>
      </c>
      <c r="T15" s="1323" t="s">
        <v>63</v>
      </c>
      <c r="U15" s="1324">
        <f t="shared" si="1"/>
        <v>100</v>
      </c>
      <c r="V15" s="1323" t="s">
        <v>63</v>
      </c>
      <c r="W15" s="1324">
        <f t="shared" si="2"/>
        <v>100</v>
      </c>
      <c r="X15" s="1317"/>
      <c r="Y15" s="3880" t="s">
        <v>405</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4"/>
      <c r="M16" s="2345"/>
      <c r="N16" s="2345"/>
      <c r="O16" s="2353"/>
      <c r="P16" s="3881"/>
      <c r="Q16" s="1322"/>
      <c r="R16" s="1323"/>
      <c r="S16" s="1324"/>
      <c r="T16" s="1323"/>
      <c r="U16" s="1324"/>
      <c r="V16" s="1323"/>
      <c r="W16" s="1324"/>
      <c r="X16" s="1317"/>
      <c r="Y16" s="3881"/>
      <c r="Z16" s="1325"/>
      <c r="AA16" s="1326">
        <v>1</v>
      </c>
      <c r="AB16" s="1326">
        <v>1</v>
      </c>
      <c r="AC16" s="1326">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4"/>
      <c r="M17" s="2345"/>
      <c r="N17" s="2345"/>
      <c r="O17" s="2353"/>
      <c r="P17" s="3881"/>
      <c r="Q17" s="1322" t="str">
        <f>B17</f>
        <v>交通便捷度</v>
      </c>
      <c r="R17" s="1323" t="s">
        <v>63</v>
      </c>
      <c r="S17" s="1324">
        <f>F17</f>
        <v>100</v>
      </c>
      <c r="T17" s="1323" t="s">
        <v>63</v>
      </c>
      <c r="U17" s="1324">
        <f>H17</f>
        <v>100</v>
      </c>
      <c r="V17" s="1323" t="s">
        <v>63</v>
      </c>
      <c r="W17" s="1324">
        <f>J17</f>
        <v>100</v>
      </c>
      <c r="X17" s="1317"/>
      <c r="Y17" s="3881"/>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4"/>
      <c r="M18" s="2345"/>
      <c r="N18" s="2345"/>
      <c r="O18" s="2353"/>
      <c r="P18" s="3881"/>
      <c r="Q18" s="1322"/>
      <c r="R18" s="1323"/>
      <c r="S18" s="1324"/>
      <c r="T18" s="1323"/>
      <c r="U18" s="1324"/>
      <c r="V18" s="1323"/>
      <c r="W18" s="1324"/>
      <c r="X18" s="1317"/>
      <c r="Y18" s="3881"/>
      <c r="Z18" s="1325"/>
      <c r="AA18" s="1326">
        <v>1</v>
      </c>
      <c r="AB18" s="1326">
        <v>1</v>
      </c>
      <c r="AC18" s="1326">
        <v>1</v>
      </c>
    </row>
    <row r="19" spans="1:29" ht="27">
      <c r="A19" s="770"/>
      <c r="B19" s="973" t="s">
        <v>1849</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4"/>
      <c r="M19" s="2345"/>
      <c r="N19" s="2345"/>
      <c r="O19" s="2353"/>
      <c r="P19" s="3881"/>
      <c r="Q19" s="1322" t="str">
        <f t="shared" ref="Q19:Q33" si="8">B19</f>
        <v>区域土地利用方向</v>
      </c>
      <c r="R19" s="1323" t="s">
        <v>63</v>
      </c>
      <c r="S19" s="1324">
        <f>F19</f>
        <v>100</v>
      </c>
      <c r="T19" s="1323" t="s">
        <v>63</v>
      </c>
      <c r="U19" s="1324">
        <f>H19</f>
        <v>100</v>
      </c>
      <c r="V19" s="1323" t="s">
        <v>63</v>
      </c>
      <c r="W19" s="1324">
        <f>J19</f>
        <v>100</v>
      </c>
      <c r="X19" s="1317"/>
      <c r="Y19" s="3881"/>
      <c r="Z19" s="1325" t="str">
        <f>Q19</f>
        <v>区域土地利用方向</v>
      </c>
      <c r="AA19" s="1326">
        <f t="shared" si="3"/>
        <v>1</v>
      </c>
      <c r="AB19" s="1326">
        <f t="shared" si="4"/>
        <v>1</v>
      </c>
      <c r="AC19" s="1326">
        <f t="shared" si="5"/>
        <v>1</v>
      </c>
    </row>
    <row r="20" spans="1:29" ht="15">
      <c r="A20" s="747"/>
      <c r="B20" s="974"/>
      <c r="C20" s="97"/>
      <c r="D20" s="790"/>
      <c r="E20" s="98"/>
      <c r="F20" s="790"/>
      <c r="G20" s="98"/>
      <c r="H20" s="790"/>
      <c r="I20" s="98"/>
      <c r="J20" s="790"/>
      <c r="K20" s="1482"/>
      <c r="L20" s="2354"/>
      <c r="M20" s="2345"/>
      <c r="N20" s="2345"/>
      <c r="O20" s="2353"/>
      <c r="P20" s="3881"/>
      <c r="Q20" s="1469"/>
      <c r="R20" s="1323"/>
      <c r="S20" s="1324"/>
      <c r="T20" s="1323"/>
      <c r="U20" s="1324"/>
      <c r="V20" s="1323"/>
      <c r="W20" s="1324"/>
      <c r="X20" s="1468"/>
      <c r="Y20" s="3881"/>
      <c r="Z20" s="1470"/>
      <c r="AA20" s="1326"/>
      <c r="AB20" s="1326"/>
      <c r="AC20" s="1326"/>
    </row>
    <row r="21" spans="1:29" ht="81">
      <c r="A21" s="747"/>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4"/>
      <c r="M21" s="2345"/>
      <c r="N21" s="2345"/>
      <c r="O21" s="2353"/>
      <c r="P21" s="3881"/>
      <c r="Q21" s="1322" t="str">
        <f t="shared" si="8"/>
        <v>环境状况</v>
      </c>
      <c r="R21" s="1323" t="s">
        <v>63</v>
      </c>
      <c r="S21" s="1324">
        <f>F21</f>
        <v>100</v>
      </c>
      <c r="T21" s="1323" t="s">
        <v>63</v>
      </c>
      <c r="U21" s="1324">
        <f>H21</f>
        <v>100</v>
      </c>
      <c r="V21" s="1323" t="s">
        <v>63</v>
      </c>
      <c r="W21" s="1324">
        <f>J21</f>
        <v>100</v>
      </c>
      <c r="X21" s="1317"/>
      <c r="Y21" s="3881"/>
      <c r="Z21" s="1325" t="str">
        <f>Q21</f>
        <v>环境状况</v>
      </c>
      <c r="AA21" s="1326">
        <f t="shared" si="3"/>
        <v>1</v>
      </c>
      <c r="AB21" s="1326">
        <f t="shared" si="4"/>
        <v>1</v>
      </c>
      <c r="AC21" s="1326">
        <f t="shared" si="5"/>
        <v>1</v>
      </c>
    </row>
    <row r="22" spans="1:29" ht="15">
      <c r="A22" s="747"/>
      <c r="B22" s="974"/>
      <c r="C22" s="97"/>
      <c r="D22" s="790"/>
      <c r="E22" s="192"/>
      <c r="F22" s="790"/>
      <c r="G22" s="192"/>
      <c r="H22" s="790"/>
      <c r="I22" s="97"/>
      <c r="J22" s="790"/>
      <c r="K22" s="1080"/>
      <c r="L22" s="2354"/>
      <c r="M22" s="2345"/>
      <c r="N22" s="2345"/>
      <c r="O22" s="2353"/>
      <c r="P22" s="3881"/>
      <c r="Q22" s="1322"/>
      <c r="R22" s="1323"/>
      <c r="S22" s="1324"/>
      <c r="T22" s="1323"/>
      <c r="U22" s="1324"/>
      <c r="V22" s="1323"/>
      <c r="W22" s="1324"/>
      <c r="X22" s="1317"/>
      <c r="Y22" s="3881"/>
      <c r="Z22" s="1325"/>
      <c r="AA22" s="1326">
        <v>1</v>
      </c>
      <c r="AB22" s="1326">
        <v>1</v>
      </c>
      <c r="AC22" s="1326">
        <v>1</v>
      </c>
    </row>
    <row r="23" spans="1:29" s="407" customFormat="1" ht="40.5">
      <c r="A23" s="991"/>
      <c r="B23" s="1035" t="s">
        <v>2664</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6"/>
      <c r="M23" s="2347"/>
      <c r="N23" s="2347"/>
      <c r="O23" s="2348"/>
      <c r="P23" s="3881"/>
      <c r="Q23" s="296" t="str">
        <f t="shared" si="8"/>
        <v>公共配套设施</v>
      </c>
      <c r="R23" s="1318" t="s">
        <v>63</v>
      </c>
      <c r="S23" s="1319">
        <f>F23</f>
        <v>100</v>
      </c>
      <c r="T23" s="1318" t="s">
        <v>63</v>
      </c>
      <c r="U23" s="1319">
        <f>H23</f>
        <v>100</v>
      </c>
      <c r="V23" s="1318" t="s">
        <v>63</v>
      </c>
      <c r="W23" s="1319">
        <f>J23</f>
        <v>100</v>
      </c>
      <c r="X23" s="1320"/>
      <c r="Y23" s="3881"/>
      <c r="Z23" s="344" t="str">
        <f>Q23</f>
        <v>公共配套设施</v>
      </c>
      <c r="AA23" s="1326">
        <f>D23/F23</f>
        <v>1</v>
      </c>
      <c r="AB23" s="1326">
        <f>D23/H23</f>
        <v>1</v>
      </c>
      <c r="AC23" s="1326">
        <f>D23/J23</f>
        <v>1</v>
      </c>
    </row>
    <row r="24" spans="1:29" s="407" customFormat="1" ht="15">
      <c r="A24" s="991"/>
      <c r="B24" s="974"/>
      <c r="C24" s="2771"/>
      <c r="D24" s="790"/>
      <c r="E24" s="192"/>
      <c r="F24" s="790"/>
      <c r="G24" s="192"/>
      <c r="H24" s="790"/>
      <c r="I24" s="97"/>
      <c r="J24" s="790"/>
      <c r="K24" s="1080"/>
      <c r="L24" s="2346"/>
      <c r="M24" s="2347"/>
      <c r="N24" s="2347"/>
      <c r="O24" s="2348"/>
      <c r="P24" s="3881"/>
      <c r="Q24" s="296"/>
      <c r="R24" s="1318"/>
      <c r="S24" s="1319"/>
      <c r="T24" s="1318"/>
      <c r="U24" s="1319"/>
      <c r="V24" s="1318"/>
      <c r="W24" s="1319"/>
      <c r="X24" s="1320"/>
      <c r="Y24" s="3881"/>
      <c r="Z24" s="344"/>
      <c r="AA24" s="1321">
        <v>1</v>
      </c>
      <c r="AB24" s="1321">
        <v>1</v>
      </c>
      <c r="AC24" s="1321">
        <v>1</v>
      </c>
    </row>
    <row r="25" spans="1:29" s="407" customFormat="1" ht="40.5">
      <c r="A25" s="991"/>
      <c r="B25" s="1035" t="s">
        <v>2665</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6"/>
      <c r="M25" s="2347"/>
      <c r="N25" s="2347"/>
      <c r="O25" s="2348"/>
      <c r="P25" s="3881"/>
      <c r="Q25" s="2740" t="str">
        <f t="shared" ref="Q25" si="9">B25</f>
        <v>基础设施水平</v>
      </c>
      <c r="R25" s="1318" t="s">
        <v>63</v>
      </c>
      <c r="S25" s="1319">
        <f>F25</f>
        <v>100</v>
      </c>
      <c r="T25" s="1318" t="s">
        <v>63</v>
      </c>
      <c r="U25" s="1319">
        <f>H25</f>
        <v>100</v>
      </c>
      <c r="V25" s="1318" t="s">
        <v>63</v>
      </c>
      <c r="W25" s="1319">
        <f>J25</f>
        <v>100</v>
      </c>
      <c r="X25" s="1320"/>
      <c r="Y25" s="3881"/>
      <c r="Z25" s="344" t="str">
        <f>Q25</f>
        <v>基础设施水平</v>
      </c>
      <c r="AA25" s="1326">
        <f>D25/F25</f>
        <v>1</v>
      </c>
      <c r="AB25" s="1326">
        <f>D25/H25</f>
        <v>1</v>
      </c>
      <c r="AC25" s="1326">
        <f>D25/J25</f>
        <v>1</v>
      </c>
    </row>
    <row r="26" spans="1:29" s="407" customFormat="1" ht="15">
      <c r="A26" s="991"/>
      <c r="B26" s="974"/>
      <c r="C26" s="2771"/>
      <c r="D26" s="790"/>
      <c r="E26" s="1036"/>
      <c r="F26" s="790"/>
      <c r="G26" s="1036"/>
      <c r="H26" s="790"/>
      <c r="I26" s="1036"/>
      <c r="J26" s="790"/>
      <c r="K26" s="1080"/>
      <c r="L26" s="2346"/>
      <c r="M26" s="2347"/>
      <c r="N26" s="2347"/>
      <c r="O26" s="2348"/>
      <c r="P26" s="3881"/>
      <c r="Q26" s="2740"/>
      <c r="R26" s="1318"/>
      <c r="S26" s="1319"/>
      <c r="T26" s="1318"/>
      <c r="U26" s="1319"/>
      <c r="V26" s="1318"/>
      <c r="W26" s="1319"/>
      <c r="X26" s="1320"/>
      <c r="Y26" s="3881"/>
      <c r="Z26" s="344"/>
      <c r="AA26" s="1321">
        <v>1</v>
      </c>
      <c r="AB26" s="1321">
        <v>1</v>
      </c>
      <c r="AC26" s="1321">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4"/>
      <c r="M27" s="2345"/>
      <c r="N27" s="2345"/>
      <c r="O27" s="2353"/>
      <c r="P27" s="3881"/>
      <c r="Q27" s="1322" t="str">
        <f t="shared" si="8"/>
        <v>临街状况</v>
      </c>
      <c r="R27" s="1323" t="s">
        <v>63</v>
      </c>
      <c r="S27" s="1324">
        <f t="shared" ref="S27:S40" si="10">F27</f>
        <v>100</v>
      </c>
      <c r="T27" s="1323" t="s">
        <v>63</v>
      </c>
      <c r="U27" s="1324">
        <f t="shared" ref="U27:U40" si="11">H27</f>
        <v>100</v>
      </c>
      <c r="V27" s="1323" t="s">
        <v>63</v>
      </c>
      <c r="W27" s="1324">
        <f t="shared" ref="W27:W40" si="12">J27</f>
        <v>100</v>
      </c>
      <c r="X27" s="1317"/>
      <c r="Y27" s="3881"/>
      <c r="Z27" s="1325" t="str">
        <f t="shared" ref="Z27:Z40" si="13">Q27</f>
        <v>临街状况</v>
      </c>
      <c r="AA27" s="1326">
        <f t="shared" si="3"/>
        <v>1</v>
      </c>
      <c r="AB27" s="1326">
        <f t="shared" si="4"/>
        <v>1</v>
      </c>
      <c r="AC27" s="1326">
        <f t="shared" si="5"/>
        <v>1</v>
      </c>
    </row>
    <row r="28" spans="1:29" ht="27">
      <c r="A28" s="770"/>
      <c r="B28" s="975" t="s">
        <v>440</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4"/>
      <c r="M28" s="2345"/>
      <c r="N28" s="2345"/>
      <c r="O28" s="2353"/>
      <c r="P28" s="3881"/>
      <c r="Q28" s="1322" t="str">
        <f t="shared" si="8"/>
        <v>毗邻道路的类型与等级</v>
      </c>
      <c r="R28" s="1323" t="s">
        <v>63</v>
      </c>
      <c r="S28" s="1324">
        <f t="shared" si="10"/>
        <v>100</v>
      </c>
      <c r="T28" s="1323" t="s">
        <v>63</v>
      </c>
      <c r="U28" s="1324">
        <f t="shared" si="11"/>
        <v>100</v>
      </c>
      <c r="V28" s="1323" t="s">
        <v>63</v>
      </c>
      <c r="W28" s="1324">
        <f t="shared" si="12"/>
        <v>100</v>
      </c>
      <c r="X28" s="1317"/>
      <c r="Y28" s="3881"/>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4"/>
      <c r="M29" s="2345"/>
      <c r="N29" s="2345"/>
      <c r="O29" s="2353"/>
      <c r="P29" s="3881"/>
      <c r="Q29" s="1322"/>
      <c r="R29" s="1323"/>
      <c r="S29" s="1324"/>
      <c r="T29" s="1323"/>
      <c r="U29" s="1324"/>
      <c r="V29" s="1323"/>
      <c r="W29" s="1324"/>
      <c r="X29" s="1317"/>
      <c r="Y29" s="3881"/>
      <c r="Z29" s="1325"/>
      <c r="AA29" s="1326">
        <v>1</v>
      </c>
      <c r="AB29" s="1326">
        <v>1</v>
      </c>
      <c r="AC29" s="1326">
        <v>1</v>
      </c>
    </row>
    <row r="30" spans="1:29" ht="15">
      <c r="A30" s="770"/>
      <c r="B30" s="996" t="s">
        <v>483</v>
      </c>
      <c r="C30" s="2773">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4"/>
      <c r="M30" s="2345"/>
      <c r="N30" s="2345"/>
      <c r="O30" s="2353"/>
      <c r="P30" s="3881"/>
      <c r="Q30" s="1322" t="str">
        <f t="shared" si="8"/>
        <v>土地级别</v>
      </c>
      <c r="R30" s="1323" t="s">
        <v>63</v>
      </c>
      <c r="S30" s="1324">
        <f t="shared" si="10"/>
        <v>100</v>
      </c>
      <c r="T30" s="1323" t="s">
        <v>63</v>
      </c>
      <c r="U30" s="1324">
        <f t="shared" si="11"/>
        <v>100</v>
      </c>
      <c r="V30" s="1323" t="s">
        <v>63</v>
      </c>
      <c r="W30" s="1324">
        <f t="shared" si="12"/>
        <v>100</v>
      </c>
      <c r="X30" s="1317"/>
      <c r="Y30" s="3881"/>
      <c r="Z30" s="1325" t="str">
        <f t="shared" si="13"/>
        <v>土地级别</v>
      </c>
      <c r="AA30" s="1326">
        <f t="shared" si="3"/>
        <v>1</v>
      </c>
      <c r="AB30" s="1326">
        <f t="shared" si="4"/>
        <v>1</v>
      </c>
      <c r="AC30" s="1326">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4"/>
      <c r="M31" s="2345"/>
      <c r="N31" s="2345"/>
      <c r="O31" s="2353"/>
      <c r="P31" s="3881"/>
      <c r="Q31" s="1322">
        <f t="shared" si="8"/>
        <v>111</v>
      </c>
      <c r="R31" s="1323" t="s">
        <v>63</v>
      </c>
      <c r="S31" s="1324">
        <f t="shared" si="10"/>
        <v>100</v>
      </c>
      <c r="T31" s="1323" t="s">
        <v>63</v>
      </c>
      <c r="U31" s="1324">
        <f t="shared" si="11"/>
        <v>100</v>
      </c>
      <c r="V31" s="1323" t="s">
        <v>63</v>
      </c>
      <c r="W31" s="1324">
        <f t="shared" si="12"/>
        <v>100</v>
      </c>
      <c r="X31" s="1317"/>
      <c r="Y31" s="3881"/>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4"/>
      <c r="M32" s="2345"/>
      <c r="N32" s="2345"/>
      <c r="O32" s="2353"/>
      <c r="P32" s="3882" t="s">
        <v>407</v>
      </c>
      <c r="Q32" s="1322">
        <f t="shared" si="8"/>
        <v>111</v>
      </c>
      <c r="R32" s="1323" t="s">
        <v>63</v>
      </c>
      <c r="S32" s="1324">
        <f t="shared" si="10"/>
        <v>100</v>
      </c>
      <c r="T32" s="1323" t="s">
        <v>63</v>
      </c>
      <c r="U32" s="1324">
        <f t="shared" si="11"/>
        <v>100</v>
      </c>
      <c r="V32" s="1323" t="s">
        <v>63</v>
      </c>
      <c r="W32" s="1324">
        <f t="shared" si="12"/>
        <v>100</v>
      </c>
      <c r="X32" s="1317"/>
      <c r="Y32" s="3883" t="s">
        <v>407</v>
      </c>
      <c r="Z32" s="1325">
        <f t="shared" si="13"/>
        <v>111</v>
      </c>
      <c r="AA32" s="1326">
        <f t="shared" si="3"/>
        <v>1</v>
      </c>
      <c r="AB32" s="1326">
        <f t="shared" si="4"/>
        <v>1</v>
      </c>
      <c r="AC32" s="1326">
        <f t="shared" si="5"/>
        <v>1</v>
      </c>
    </row>
    <row r="33" spans="1:29" s="813" customFormat="1" ht="15.75" thickBot="1">
      <c r="A33" s="1084"/>
      <c r="B33" s="3295">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2"/>
      <c r="M33" s="2355"/>
      <c r="N33" s="2355"/>
      <c r="O33" s="2356"/>
      <c r="P33" s="3883"/>
      <c r="Q33" s="1322">
        <f t="shared" si="8"/>
        <v>111</v>
      </c>
      <c r="R33" s="1328" t="s">
        <v>63</v>
      </c>
      <c r="S33" s="1329">
        <f t="shared" si="10"/>
        <v>100</v>
      </c>
      <c r="T33" s="1328" t="s">
        <v>63</v>
      </c>
      <c r="U33" s="1329">
        <f t="shared" si="11"/>
        <v>100</v>
      </c>
      <c r="V33" s="1328" t="s">
        <v>63</v>
      </c>
      <c r="W33" s="1329">
        <f t="shared" si="12"/>
        <v>100</v>
      </c>
      <c r="X33" s="1330"/>
      <c r="Y33" s="3883"/>
      <c r="Z33" s="1331">
        <f t="shared" si="13"/>
        <v>111</v>
      </c>
      <c r="AA33" s="1326">
        <f t="shared" si="3"/>
        <v>1</v>
      </c>
      <c r="AB33" s="1326">
        <f t="shared" si="4"/>
        <v>1</v>
      </c>
      <c r="AC33" s="1326">
        <f t="shared" si="5"/>
        <v>1</v>
      </c>
    </row>
    <row r="34" spans="1:29" ht="15">
      <c r="A34" s="782" t="s">
        <v>2790</v>
      </c>
      <c r="B34" s="798" t="s">
        <v>484</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4"/>
      <c r="M34" s="2345"/>
      <c r="N34" s="2345"/>
      <c r="O34" s="2353"/>
      <c r="P34" s="3883"/>
      <c r="Q34" s="1322" t="str">
        <f>B34</f>
        <v>宗地面积</v>
      </c>
      <c r="R34" s="1323" t="s">
        <v>63</v>
      </c>
      <c r="S34" s="1324" t="e">
        <f t="shared" si="10"/>
        <v>#N/A</v>
      </c>
      <c r="T34" s="1323" t="s">
        <v>63</v>
      </c>
      <c r="U34" s="1324" t="e">
        <f t="shared" si="11"/>
        <v>#N/A</v>
      </c>
      <c r="V34" s="1323" t="s">
        <v>63</v>
      </c>
      <c r="W34" s="1324" t="e">
        <f t="shared" si="12"/>
        <v>#N/A</v>
      </c>
      <c r="X34" s="1317"/>
      <c r="Y34" s="3883"/>
      <c r="Z34" s="1325" t="str">
        <f t="shared" si="13"/>
        <v>宗地面积</v>
      </c>
      <c r="AA34" s="1326" t="e">
        <f t="shared" si="3"/>
        <v>#N/A</v>
      </c>
      <c r="AB34" s="1326" t="e">
        <f t="shared" si="4"/>
        <v>#N/A</v>
      </c>
      <c r="AC34" s="1326" t="e">
        <f t="shared" si="5"/>
        <v>#N/A</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4"/>
      <c r="M35" s="2345"/>
      <c r="N35" s="2345"/>
      <c r="O35" s="2353"/>
      <c r="P35" s="3883"/>
      <c r="Q35" s="1322" t="str">
        <f t="shared" ref="Q35:Q40" si="14">B35</f>
        <v>宗地形状</v>
      </c>
      <c r="R35" s="1323" t="s">
        <v>63</v>
      </c>
      <c r="S35" s="1324">
        <f t="shared" si="10"/>
        <v>100</v>
      </c>
      <c r="T35" s="1323" t="s">
        <v>63</v>
      </c>
      <c r="U35" s="1324">
        <f t="shared" si="11"/>
        <v>100</v>
      </c>
      <c r="V35" s="1323" t="s">
        <v>63</v>
      </c>
      <c r="W35" s="1324">
        <f t="shared" si="12"/>
        <v>100</v>
      </c>
      <c r="X35" s="1317"/>
      <c r="Y35" s="3883"/>
      <c r="Z35" s="1325" t="str">
        <f t="shared" si="13"/>
        <v>宗地形状</v>
      </c>
      <c r="AA35" s="1326">
        <f t="shared" si="3"/>
        <v>1</v>
      </c>
      <c r="AB35" s="1326">
        <f t="shared" si="4"/>
        <v>1</v>
      </c>
      <c r="AC35" s="1326">
        <f t="shared" si="5"/>
        <v>1</v>
      </c>
    </row>
    <row r="36" spans="1:29" s="407" customFormat="1" ht="15">
      <c r="A36" s="815"/>
      <c r="B36" s="2606" t="s">
        <v>2498</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46"/>
      <c r="M36" s="2347"/>
      <c r="N36" s="2347"/>
      <c r="O36" s="2348"/>
      <c r="P36" s="3883"/>
      <c r="Q36" s="1322" t="str">
        <f t="shared" si="14"/>
        <v>宗地开发程度</v>
      </c>
      <c r="R36" s="1318" t="s">
        <v>63</v>
      </c>
      <c r="S36" s="1319">
        <f t="shared" si="10"/>
        <v>100</v>
      </c>
      <c r="T36" s="1318" t="s">
        <v>63</v>
      </c>
      <c r="U36" s="1319">
        <f t="shared" si="11"/>
        <v>100</v>
      </c>
      <c r="V36" s="1318" t="s">
        <v>63</v>
      </c>
      <c r="W36" s="1319">
        <f t="shared" si="12"/>
        <v>100</v>
      </c>
      <c r="X36" s="1320"/>
      <c r="Y36" s="3883"/>
      <c r="Z36" s="344" t="str">
        <f t="shared" si="13"/>
        <v>宗地开发程度</v>
      </c>
      <c r="AA36" s="1321">
        <f t="shared" si="3"/>
        <v>1</v>
      </c>
      <c r="AB36" s="1321">
        <f t="shared" si="4"/>
        <v>1</v>
      </c>
      <c r="AC36" s="1321">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4"/>
      <c r="M37" s="2345"/>
      <c r="N37" s="2345"/>
      <c r="O37" s="2353"/>
      <c r="P37" s="3883" t="s">
        <v>518</v>
      </c>
      <c r="Q37" s="1322" t="str">
        <f t="shared" si="14"/>
        <v>工程地质条件</v>
      </c>
      <c r="R37" s="1323" t="s">
        <v>63</v>
      </c>
      <c r="S37" s="1324">
        <f t="shared" si="10"/>
        <v>100</v>
      </c>
      <c r="T37" s="1323" t="s">
        <v>63</v>
      </c>
      <c r="U37" s="1324">
        <f t="shared" si="11"/>
        <v>100</v>
      </c>
      <c r="V37" s="1323" t="s">
        <v>63</v>
      </c>
      <c r="W37" s="1324">
        <f t="shared" si="12"/>
        <v>100</v>
      </c>
      <c r="X37" s="1317"/>
      <c r="Y37" s="3883" t="s">
        <v>518</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4"/>
      <c r="M38" s="2345"/>
      <c r="N38" s="2345"/>
      <c r="O38" s="2353"/>
      <c r="P38" s="3883"/>
      <c r="Q38" s="1322">
        <f t="shared" si="14"/>
        <v>111</v>
      </c>
      <c r="R38" s="1323" t="s">
        <v>63</v>
      </c>
      <c r="S38" s="1324">
        <f t="shared" si="10"/>
        <v>100</v>
      </c>
      <c r="T38" s="1323" t="s">
        <v>63</v>
      </c>
      <c r="U38" s="1324">
        <f t="shared" si="11"/>
        <v>100</v>
      </c>
      <c r="V38" s="1323" t="s">
        <v>63</v>
      </c>
      <c r="W38" s="1324">
        <f t="shared" si="12"/>
        <v>100</v>
      </c>
      <c r="X38" s="1317"/>
      <c r="Y38" s="3883"/>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4"/>
      <c r="M39" s="2345"/>
      <c r="N39" s="2345"/>
      <c r="O39" s="2353"/>
      <c r="P39" s="3883"/>
      <c r="Q39" s="1322">
        <f t="shared" si="14"/>
        <v>111</v>
      </c>
      <c r="R39" s="1323" t="s">
        <v>63</v>
      </c>
      <c r="S39" s="1324">
        <f t="shared" si="10"/>
        <v>100</v>
      </c>
      <c r="T39" s="1323" t="s">
        <v>63</v>
      </c>
      <c r="U39" s="1324">
        <f t="shared" si="11"/>
        <v>100</v>
      </c>
      <c r="V39" s="1323" t="s">
        <v>63</v>
      </c>
      <c r="W39" s="1324">
        <f t="shared" si="12"/>
        <v>100</v>
      </c>
      <c r="X39" s="1317"/>
      <c r="Y39" s="3883"/>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2"/>
      <c r="M40" s="2355"/>
      <c r="N40" s="2355"/>
      <c r="O40" s="2356"/>
      <c r="P40" s="3883"/>
      <c r="Q40" s="1322">
        <f t="shared" si="14"/>
        <v>111</v>
      </c>
      <c r="R40" s="1328" t="s">
        <v>63</v>
      </c>
      <c r="S40" s="1329">
        <f t="shared" si="10"/>
        <v>100</v>
      </c>
      <c r="T40" s="1328" t="s">
        <v>63</v>
      </c>
      <c r="U40" s="1329">
        <f t="shared" si="11"/>
        <v>100</v>
      </c>
      <c r="V40" s="1328" t="s">
        <v>63</v>
      </c>
      <c r="W40" s="1329">
        <f t="shared" si="12"/>
        <v>100</v>
      </c>
      <c r="X40" s="1330"/>
      <c r="Y40" s="3883"/>
      <c r="Z40" s="1331">
        <f t="shared" si="13"/>
        <v>111</v>
      </c>
      <c r="AA40" s="1326">
        <f t="shared" si="3"/>
        <v>1</v>
      </c>
      <c r="AB40" s="1326">
        <f t="shared" si="4"/>
        <v>1</v>
      </c>
      <c r="AC40" s="1326">
        <f t="shared" si="5"/>
        <v>1</v>
      </c>
    </row>
    <row r="41" spans="1:29" ht="15">
      <c r="A41" s="821" t="s">
        <v>488</v>
      </c>
      <c r="B41" s="207" t="s">
        <v>3016</v>
      </c>
      <c r="C41" s="1090" t="s">
        <v>23</v>
      </c>
      <c r="D41" s="823"/>
      <c r="E41" s="824"/>
      <c r="F41" s="825"/>
      <c r="G41" s="826"/>
      <c r="H41" s="827"/>
      <c r="I41" s="824"/>
      <c r="J41" s="827"/>
      <c r="K41" s="1399"/>
      <c r="L41" s="2357"/>
      <c r="M41" s="2345"/>
      <c r="N41" s="2345"/>
      <c r="O41" s="2358"/>
      <c r="P41" s="3865" t="str">
        <f>A41</f>
        <v>成交单价</v>
      </c>
      <c r="Q41" s="3865"/>
      <c r="R41" s="3878">
        <f>E41</f>
        <v>0</v>
      </c>
      <c r="S41" s="3878"/>
      <c r="T41" s="3878">
        <f>G41</f>
        <v>0</v>
      </c>
      <c r="U41" s="3878"/>
      <c r="V41" s="3878">
        <f>I41</f>
        <v>0</v>
      </c>
      <c r="W41" s="3878"/>
      <c r="X41" s="1306"/>
      <c r="Y41" s="1332"/>
      <c r="Z41" s="1306"/>
      <c r="AA41" s="1306"/>
      <c r="AB41" s="1306"/>
      <c r="AC41" s="1306"/>
    </row>
    <row r="42" spans="1:29" ht="15.75" thickBot="1">
      <c r="A42" s="828" t="s">
        <v>409</v>
      </c>
      <c r="B42" s="1091"/>
      <c r="C42" s="832" t="e">
        <f>R43</f>
        <v>#DIV/0!</v>
      </c>
      <c r="D42" s="831"/>
      <c r="E42" s="832" t="e">
        <f>R42</f>
        <v>#DIV/0!</v>
      </c>
      <c r="F42" s="833"/>
      <c r="G42" s="830" t="e">
        <f>T42</f>
        <v>#DIV/0!</v>
      </c>
      <c r="H42" s="831"/>
      <c r="I42" s="832" t="e">
        <f>V42</f>
        <v>#DIV/0!</v>
      </c>
      <c r="J42" s="831"/>
      <c r="K42" s="1400"/>
      <c r="L42" s="2357"/>
      <c r="M42" s="2345"/>
      <c r="N42" s="2345"/>
      <c r="O42" s="2358"/>
      <c r="P42" s="3865" t="str">
        <f>A42</f>
        <v>比较价值（元/平方米）</v>
      </c>
      <c r="Q42" s="3865"/>
      <c r="R42" s="3888" t="e">
        <f>ROUND(PRODUCT(R41,AA7:AA40),0)</f>
        <v>#DIV/0!</v>
      </c>
      <c r="S42" s="3888"/>
      <c r="T42" s="3888" t="e">
        <f>ROUND(PRODUCT(T41,AB7:AB40),0)</f>
        <v>#DIV/0!</v>
      </c>
      <c r="U42" s="3888"/>
      <c r="V42" s="3888" t="e">
        <f>ROUND(PRODUCT(V41,AC7:AC40),0)</f>
        <v>#DIV/0!</v>
      </c>
      <c r="W42" s="3888"/>
      <c r="X42" s="1306"/>
      <c r="Y42" s="1306"/>
      <c r="Z42" s="1306"/>
      <c r="AA42" s="1306"/>
      <c r="AB42" s="1306"/>
      <c r="AC42" s="1306"/>
    </row>
    <row r="43" spans="1:29" ht="15.75" thickBot="1">
      <c r="A43" s="115" t="s">
        <v>3012</v>
      </c>
      <c r="B43" s="835"/>
      <c r="C43" s="836" t="e">
        <f>R43</f>
        <v>#DIV/0!</v>
      </c>
      <c r="D43" s="836"/>
      <c r="E43" s="836"/>
      <c r="F43" s="836"/>
      <c r="G43" s="836"/>
      <c r="H43" s="836"/>
      <c r="I43" s="836"/>
      <c r="J43" s="836"/>
      <c r="K43" s="1401"/>
      <c r="L43" s="2357"/>
      <c r="M43" s="2345"/>
      <c r="N43" s="2345"/>
      <c r="O43" s="2358"/>
      <c r="P43" s="3885" t="str">
        <f>A43</f>
        <v>估价对象XX用房的比较价值（楼面单价，元/平方米）</v>
      </c>
      <c r="Q43" s="3886"/>
      <c r="R43" s="3889" t="e">
        <f>ROUND(AVERAGE(R42:V42),0)</f>
        <v>#DIV/0!</v>
      </c>
      <c r="S43" s="3889"/>
      <c r="T43" s="3889"/>
      <c r="U43" s="3889"/>
      <c r="V43" s="3889"/>
      <c r="W43" s="3889"/>
      <c r="X43" s="1306"/>
      <c r="Y43" s="1306"/>
      <c r="Z43" s="1306"/>
      <c r="AA43" s="1306"/>
      <c r="AB43" s="1306"/>
      <c r="AC43" s="1306"/>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9" t="s">
        <v>410</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4"/>
      <c r="L46" s="2185"/>
      <c r="M46" s="2345"/>
      <c r="N46" s="2345"/>
      <c r="O46" s="2358"/>
    </row>
    <row r="47" spans="1:29" ht="13.5" customHeight="1">
      <c r="A47" s="2358"/>
      <c r="B47" s="2358"/>
      <c r="C47" s="839" t="s">
        <v>411</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4"/>
      <c r="L47" s="2185"/>
      <c r="M47" s="2358"/>
      <c r="N47" s="2358"/>
      <c r="O47" s="2358"/>
    </row>
    <row r="48" spans="1:29" s="844" customFormat="1" ht="13.5" customHeight="1">
      <c r="A48" s="2359"/>
      <c r="B48" s="2359"/>
      <c r="C48" s="839" t="s">
        <v>412</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2"/>
      <c r="L48" s="2363"/>
      <c r="M48" s="2359"/>
      <c r="N48" s="2359"/>
      <c r="O48" s="2359"/>
    </row>
    <row r="49" spans="1:17" s="844" customFormat="1" ht="15" thickBot="1">
      <c r="A49" s="2359"/>
      <c r="B49" s="2360"/>
      <c r="C49" s="1309"/>
      <c r="D49" s="1307"/>
      <c r="E49" s="1307"/>
      <c r="F49" s="1307"/>
      <c r="G49" s="1307"/>
      <c r="H49" s="1307"/>
      <c r="I49" s="1307"/>
      <c r="J49" s="1307"/>
      <c r="K49" s="2362"/>
      <c r="L49" s="2363"/>
      <c r="M49" s="2359"/>
      <c r="N49" s="2359"/>
      <c r="O49" s="2359"/>
    </row>
    <row r="50" spans="1:17" ht="27">
      <c r="A50" s="1092" t="s">
        <v>489</v>
      </c>
      <c r="B50" s="1093" t="s">
        <v>490</v>
      </c>
      <c r="C50" s="1773" t="s">
        <v>1888</v>
      </c>
      <c r="D50" s="2389" t="s">
        <v>2321</v>
      </c>
      <c r="E50" s="1094" t="s">
        <v>491</v>
      </c>
      <c r="F50" s="1095" t="s">
        <v>492</v>
      </c>
      <c r="G50" s="3890" t="s">
        <v>2314</v>
      </c>
      <c r="H50" s="3891"/>
      <c r="I50" s="2179" t="s">
        <v>1887</v>
      </c>
      <c r="J50" s="1763" t="str">
        <f>项目基本情况!F35</f>
        <v>广东省中山市</v>
      </c>
      <c r="K50" s="2372" t="s">
        <v>1889</v>
      </c>
      <c r="L50" s="2185"/>
      <c r="M50" s="2358"/>
      <c r="N50" s="2358"/>
      <c r="O50" s="2358"/>
    </row>
    <row r="51" spans="1:17" s="1100" customFormat="1">
      <c r="A51" s="1096" t="s">
        <v>493</v>
      </c>
      <c r="B51" s="1097" t="e">
        <f>C43</f>
        <v>#DIV/0!</v>
      </c>
      <c r="C51" s="1098">
        <v>1</v>
      </c>
      <c r="D51" s="2390">
        <v>1</v>
      </c>
      <c r="E51" s="1098">
        <f>'数据-汇总表'!E8+'数据-汇总表'!E9</f>
        <v>78598.010000000009</v>
      </c>
      <c r="F51" s="1099" t="e">
        <f t="shared" ref="F51:F60" si="15">ROUND(B51*E51/10000,0)</f>
        <v>#DIV/0!</v>
      </c>
      <c r="G51" s="3892"/>
      <c r="H51" s="3893"/>
      <c r="I51" s="1771">
        <v>1</v>
      </c>
      <c r="J51" s="1771">
        <v>1</v>
      </c>
      <c r="K51" s="2359"/>
      <c r="L51" s="1770"/>
      <c r="M51" s="1770"/>
      <c r="N51" s="1770"/>
      <c r="O51" s="1770"/>
    </row>
    <row r="52" spans="1:17" s="1100" customFormat="1">
      <c r="A52" s="1101" t="s">
        <v>494</v>
      </c>
      <c r="B52" s="594" t="e">
        <f>ROUND($C$43*C52*D52,0)</f>
        <v>#DIV/0!</v>
      </c>
      <c r="C52" s="532">
        <f t="shared" ref="C52:C60" si="16">IF($C$50="北京市系数",I52,J52)</f>
        <v>0</v>
      </c>
      <c r="D52" s="2391">
        <v>0.25</v>
      </c>
      <c r="E52" s="1102"/>
      <c r="F52" s="1099" t="e">
        <f t="shared" si="15"/>
        <v>#DIV/0!</v>
      </c>
      <c r="G52" s="3894" t="s">
        <v>2315</v>
      </c>
      <c r="H52" s="2183">
        <f>项目基本情况!B37</f>
        <v>0</v>
      </c>
      <c r="I52" s="1771">
        <f>SUMIF(修正!A45:A56,H52,修正!B45:B56)</f>
        <v>0</v>
      </c>
      <c r="J52" s="1772"/>
      <c r="K52" s="2358"/>
      <c r="L52" s="1770"/>
      <c r="M52" s="1770"/>
      <c r="N52" s="1770"/>
      <c r="O52" s="1770"/>
    </row>
    <row r="53" spans="1:17" s="1100" customFormat="1">
      <c r="A53" s="1101" t="s">
        <v>495</v>
      </c>
      <c r="B53" s="594" t="e">
        <f t="shared" ref="B53:B60" si="17">ROUND($C$43*C53*D53,0)</f>
        <v>#DIV/0!</v>
      </c>
      <c r="C53" s="532">
        <f t="shared" si="16"/>
        <v>0</v>
      </c>
      <c r="D53" s="2391">
        <v>0.25</v>
      </c>
      <c r="E53" s="1102"/>
      <c r="F53" s="1099" t="e">
        <f t="shared" si="15"/>
        <v>#DIV/0!</v>
      </c>
      <c r="G53" s="3894"/>
      <c r="H53" s="2183">
        <f>项目基本情况!B37</f>
        <v>0</v>
      </c>
      <c r="I53" s="1771">
        <f>SUMIF(修正!A45:A56,H53,修正!C45:C56)</f>
        <v>0</v>
      </c>
      <c r="J53" s="1772"/>
      <c r="K53" s="2359"/>
      <c r="L53" s="1770"/>
      <c r="M53" s="1770"/>
      <c r="N53" s="1770"/>
      <c r="O53" s="1770"/>
    </row>
    <row r="54" spans="1:17" s="1100" customFormat="1">
      <c r="A54" s="1101" t="s">
        <v>496</v>
      </c>
      <c r="B54" s="594" t="e">
        <f t="shared" si="17"/>
        <v>#DIV/0!</v>
      </c>
      <c r="C54" s="532">
        <f t="shared" si="16"/>
        <v>0</v>
      </c>
      <c r="D54" s="2391">
        <v>0.25</v>
      </c>
      <c r="E54" s="1102"/>
      <c r="F54" s="1099" t="e">
        <f t="shared" si="15"/>
        <v>#DIV/0!</v>
      </c>
      <c r="G54" s="3894"/>
      <c r="H54" s="2183">
        <f>项目基本情况!B37</f>
        <v>0</v>
      </c>
      <c r="I54" s="1771">
        <f>SUMIF(修正!A45:A56,H54,修正!D45:D56)</f>
        <v>0</v>
      </c>
      <c r="J54" s="1772"/>
      <c r="K54" s="2358"/>
      <c r="L54" s="1770"/>
      <c r="M54" s="1770"/>
      <c r="N54" s="1770"/>
      <c r="O54" s="1770"/>
    </row>
    <row r="55" spans="1:17" s="1100" customFormat="1">
      <c r="A55" s="1101" t="s">
        <v>497</v>
      </c>
      <c r="B55" s="594" t="e">
        <f t="shared" si="17"/>
        <v>#DIV/0!</v>
      </c>
      <c r="C55" s="532">
        <f t="shared" si="16"/>
        <v>0</v>
      </c>
      <c r="D55" s="2391">
        <v>0.25</v>
      </c>
      <c r="E55" s="1102"/>
      <c r="F55" s="1099" t="e">
        <f t="shared" si="15"/>
        <v>#DIV/0!</v>
      </c>
      <c r="G55" s="3894"/>
      <c r="H55" s="2183">
        <f>项目基本情况!B37</f>
        <v>0</v>
      </c>
      <c r="I55" s="1771">
        <f>SUMIF(修正!A45:A56,H55,修正!E45:E56)</f>
        <v>0</v>
      </c>
      <c r="J55" s="1772"/>
      <c r="K55" s="2359"/>
      <c r="L55" s="1770"/>
      <c r="M55" s="1770"/>
      <c r="N55" s="1770"/>
      <c r="O55" s="1770"/>
    </row>
    <row r="56" spans="1:17" s="1100" customFormat="1">
      <c r="A56" s="2511" t="s">
        <v>2397</v>
      </c>
      <c r="B56" s="594" t="e">
        <f t="shared" si="17"/>
        <v>#DIV/0!</v>
      </c>
      <c r="C56" s="532">
        <f t="shared" si="16"/>
        <v>0</v>
      </c>
      <c r="D56" s="2391">
        <v>0.25</v>
      </c>
      <c r="E56" s="593">
        <f>'数据-汇总表'!E11</f>
        <v>0</v>
      </c>
      <c r="F56" s="1099" t="e">
        <f t="shared" si="15"/>
        <v>#DIV/0!</v>
      </c>
      <c r="G56" s="2195" t="s">
        <v>2316</v>
      </c>
      <c r="H56" s="2183">
        <f>项目基本情况!C37</f>
        <v>0</v>
      </c>
      <c r="I56" s="1771">
        <f>SUMIF(修正!A45:A56,H56,修正!F45:F56)</f>
        <v>0</v>
      </c>
      <c r="J56" s="1772"/>
      <c r="K56" s="2358"/>
      <c r="L56" s="1770"/>
      <c r="M56" s="1770"/>
      <c r="N56" s="1770"/>
      <c r="O56" s="1770"/>
    </row>
    <row r="57" spans="1:17" s="1100" customFormat="1">
      <c r="A57" s="1101" t="s">
        <v>498</v>
      </c>
      <c r="B57" s="594" t="e">
        <f t="shared" si="17"/>
        <v>#DIV/0!</v>
      </c>
      <c r="C57" s="532">
        <f t="shared" si="16"/>
        <v>0</v>
      </c>
      <c r="D57" s="2391">
        <v>0.25</v>
      </c>
      <c r="E57" s="593">
        <f>'数据-汇总表'!E12</f>
        <v>0</v>
      </c>
      <c r="F57" s="1099" t="e">
        <f t="shared" si="15"/>
        <v>#DIV/0!</v>
      </c>
      <c r="G57" s="2189" t="s">
        <v>139</v>
      </c>
      <c r="H57" s="2183">
        <f>IF(G57="商业",项目基本情况!B37,IF(G57="办公",项目基本情况!C37,IF(G57="住宅",项目基本情况!D37,项目基本情况!E37)))</f>
        <v>0</v>
      </c>
      <c r="I57" s="1771">
        <f>SUMIF(修正!A45:A56,H57,修正!G45:G56)</f>
        <v>0</v>
      </c>
      <c r="J57" s="1772"/>
      <c r="K57" s="2359"/>
      <c r="L57" s="1770"/>
      <c r="M57" s="1770"/>
      <c r="N57" s="1770"/>
      <c r="O57" s="1770"/>
    </row>
    <row r="58" spans="1:17" s="1100" customFormat="1">
      <c r="A58" s="1101" t="s">
        <v>499</v>
      </c>
      <c r="B58" s="594" t="e">
        <f t="shared" si="17"/>
        <v>#DIV/0!</v>
      </c>
      <c r="C58" s="532">
        <f t="shared" si="16"/>
        <v>0</v>
      </c>
      <c r="D58" s="2391">
        <v>0.25</v>
      </c>
      <c r="E58" s="593">
        <f>'数据-汇总表'!E13</f>
        <v>86900.44</v>
      </c>
      <c r="F58" s="1099" t="e">
        <f t="shared" si="15"/>
        <v>#DIV/0!</v>
      </c>
      <c r="G58" s="2189" t="s">
        <v>40</v>
      </c>
      <c r="H58" s="2183">
        <f>IF(G58="商业",项目基本情况!B37,IF(G58="办公",项目基本情况!C37,IF(G58="住宅",项目基本情况!D37,项目基本情况!E37)))</f>
        <v>0</v>
      </c>
      <c r="I58" s="1771">
        <f>SUMIF(修正!A45:A56,H58,修正!H45:H56)</f>
        <v>0</v>
      </c>
      <c r="J58" s="1772"/>
      <c r="K58" s="2358"/>
      <c r="L58" s="1770"/>
      <c r="M58" s="1770"/>
      <c r="N58" s="1770"/>
      <c r="O58" s="1770"/>
    </row>
    <row r="59" spans="1:17" s="1100" customFormat="1">
      <c r="A59" s="1101" t="s">
        <v>500</v>
      </c>
      <c r="B59" s="594" t="e">
        <f t="shared" si="17"/>
        <v>#DIV/0!</v>
      </c>
      <c r="C59" s="532">
        <f t="shared" si="16"/>
        <v>0</v>
      </c>
      <c r="D59" s="2391">
        <v>0.25</v>
      </c>
      <c r="E59" s="593">
        <f>'数据-汇总表'!E14</f>
        <v>0</v>
      </c>
      <c r="F59" s="1099" t="e">
        <f t="shared" si="15"/>
        <v>#DIV/0!</v>
      </c>
      <c r="G59" s="2195" t="s">
        <v>2317</v>
      </c>
      <c r="H59" s="2183">
        <f>项目基本情况!B37</f>
        <v>0</v>
      </c>
      <c r="I59" s="1771">
        <f>SUMIF(修正!A45:A56,H59,修正!H45:H56)</f>
        <v>0</v>
      </c>
      <c r="J59" s="1772"/>
      <c r="K59" s="2359"/>
      <c r="L59" s="1770"/>
      <c r="M59" s="1770"/>
      <c r="N59" s="1770"/>
      <c r="O59" s="1770"/>
    </row>
    <row r="60" spans="1:17" s="1100" customFormat="1" ht="15" thickBot="1">
      <c r="A60" s="1101" t="s">
        <v>501</v>
      </c>
      <c r="B60" s="594" t="e">
        <f t="shared" si="17"/>
        <v>#DIV/0!</v>
      </c>
      <c r="C60" s="532">
        <f t="shared" si="16"/>
        <v>0</v>
      </c>
      <c r="D60" s="2391">
        <v>0.25</v>
      </c>
      <c r="E60" s="593">
        <f>'数据-汇总表'!E15</f>
        <v>0</v>
      </c>
      <c r="F60" s="1099" t="e">
        <f t="shared" si="15"/>
        <v>#DIV/0!</v>
      </c>
      <c r="G60" s="2196" t="s">
        <v>2316</v>
      </c>
      <c r="H60" s="2197">
        <f>项目基本情况!C37</f>
        <v>0</v>
      </c>
      <c r="I60" s="1771">
        <f>SUMIF(修正!A45:A56,H60,修正!H45:H56)</f>
        <v>0</v>
      </c>
      <c r="J60" s="1772"/>
      <c r="K60" s="2358"/>
      <c r="L60" s="1770"/>
      <c r="M60" s="1770"/>
      <c r="N60" s="1770"/>
      <c r="O60" s="1770"/>
    </row>
    <row r="61" spans="1:17" s="1100" customFormat="1" ht="15" thickBot="1">
      <c r="A61" s="1103" t="s">
        <v>502</v>
      </c>
      <c r="B61" s="1104" t="s">
        <v>154</v>
      </c>
      <c r="C61" s="1104" t="s">
        <v>155</v>
      </c>
      <c r="D61" s="1104" t="s">
        <v>2322</v>
      </c>
      <c r="E61" s="1104">
        <f>IF(B41="楼面地价",SUM(E51:E60),'数据-汇总表'!D3)</f>
        <v>33478.69</v>
      </c>
      <c r="F61" s="1105"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8" t="str">
        <f>YEAR(C7)&amp;"-"&amp;MONTH(C7)&amp;"-1"</f>
        <v>2017-8-1</v>
      </c>
      <c r="D63" s="1308">
        <f>EDATE(C63,-3)</f>
        <v>42856</v>
      </c>
      <c r="E63" s="1308">
        <f>EDATE(D63,-3)</f>
        <v>42767</v>
      </c>
      <c r="F63" s="1308">
        <f t="shared" ref="F63:O63" si="18">EDATE(E63,-3)</f>
        <v>42675</v>
      </c>
      <c r="G63" s="1308">
        <f t="shared" si="18"/>
        <v>42583</v>
      </c>
      <c r="H63" s="1308">
        <f t="shared" si="18"/>
        <v>42491</v>
      </c>
      <c r="I63" s="1308">
        <f t="shared" si="18"/>
        <v>42401</v>
      </c>
      <c r="J63" s="1308">
        <f t="shared" si="18"/>
        <v>42309</v>
      </c>
      <c r="K63" s="1308">
        <f t="shared" si="18"/>
        <v>42217</v>
      </c>
      <c r="L63" s="1308">
        <f t="shared" si="18"/>
        <v>42125</v>
      </c>
      <c r="M63" s="1308">
        <f t="shared" si="18"/>
        <v>42036</v>
      </c>
      <c r="N63" s="1308">
        <f t="shared" si="18"/>
        <v>41944</v>
      </c>
      <c r="O63" s="1308">
        <f t="shared" si="18"/>
        <v>41852</v>
      </c>
    </row>
    <row r="64" spans="1:17" ht="21.75" thickBot="1">
      <c r="A64" s="1310" t="s">
        <v>413</v>
      </c>
      <c r="B64" s="1306"/>
      <c r="C64" s="1311"/>
      <c r="D64" s="1311"/>
      <c r="E64" s="1311"/>
      <c r="F64" s="1312"/>
      <c r="G64" s="1312"/>
      <c r="H64" s="1311"/>
      <c r="I64" s="1311"/>
      <c r="J64" s="1311"/>
      <c r="K64" s="1313"/>
      <c r="L64" s="1314"/>
      <c r="M64" s="1311"/>
      <c r="N64" s="1311"/>
      <c r="O64" s="2374"/>
      <c r="P64" s="845"/>
      <c r="Q64" s="846"/>
    </row>
    <row r="65" spans="1:17" s="850" customFormat="1" ht="15">
      <c r="A65" s="2702" t="s">
        <v>2787</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9"/>
    </row>
    <row r="66" spans="1:17" s="407" customFormat="1" ht="30.75" customHeight="1">
      <c r="A66" s="3029" t="s">
        <v>2786</v>
      </c>
      <c r="B66" s="664" t="str">
        <f>"北京市平均增长率"&amp;TEXT(基准地价修正!P24,"0.00%")</f>
        <v>北京市平均增长率1.37%</v>
      </c>
      <c r="C66" s="945">
        <v>100</v>
      </c>
      <c r="D66" s="937"/>
      <c r="E66" s="937"/>
      <c r="F66" s="937"/>
      <c r="G66" s="937"/>
      <c r="H66" s="937"/>
      <c r="I66" s="937"/>
      <c r="J66" s="937"/>
      <c r="K66" s="937"/>
      <c r="L66" s="937"/>
      <c r="M66" s="3027"/>
      <c r="N66" s="3027"/>
      <c r="O66" s="3030"/>
      <c r="P66" s="846"/>
    </row>
    <row r="67" spans="1:17" s="407" customFormat="1" ht="15.75" thickBot="1">
      <c r="A67" s="857" t="s">
        <v>414</v>
      </c>
      <c r="B67" s="858"/>
      <c r="C67" s="859"/>
      <c r="D67" s="860"/>
      <c r="E67" s="860"/>
      <c r="F67" s="860"/>
      <c r="G67" s="860"/>
      <c r="H67" s="860"/>
      <c r="I67" s="860"/>
      <c r="J67" s="860"/>
      <c r="K67" s="860"/>
      <c r="L67" s="860"/>
      <c r="M67" s="861"/>
      <c r="N67" s="861"/>
      <c r="O67" s="862"/>
      <c r="P67" s="846"/>
      <c r="Q67" s="846"/>
    </row>
    <row r="68" spans="1:17" s="407" customFormat="1" ht="15">
      <c r="A68" s="863" t="s">
        <v>398</v>
      </c>
      <c r="B68" s="852"/>
      <c r="C68" s="864" t="s">
        <v>415</v>
      </c>
      <c r="D68" s="140"/>
      <c r="E68" s="140"/>
      <c r="F68" s="140"/>
      <c r="G68" s="140"/>
      <c r="H68" s="140"/>
      <c r="I68" s="140"/>
      <c r="J68" s="140"/>
      <c r="K68" s="140"/>
      <c r="L68" s="141"/>
      <c r="M68" s="1050"/>
      <c r="N68" s="2365"/>
      <c r="O68" s="2365"/>
      <c r="P68" s="868"/>
      <c r="Q68" s="846"/>
    </row>
    <row r="69" spans="1:17" s="407" customFormat="1" ht="15.75" thickBot="1">
      <c r="A69" s="863"/>
      <c r="B69" s="852"/>
      <c r="C69" s="981">
        <v>100</v>
      </c>
      <c r="D69" s="854"/>
      <c r="E69" s="854"/>
      <c r="F69" s="854"/>
      <c r="G69" s="854"/>
      <c r="H69" s="854"/>
      <c r="I69" s="854"/>
      <c r="J69" s="854"/>
      <c r="K69" s="854"/>
      <c r="L69" s="854"/>
      <c r="M69" s="856"/>
      <c r="N69" s="2365"/>
      <c r="O69" s="2365"/>
      <c r="P69" s="846"/>
      <c r="Q69" s="846"/>
    </row>
    <row r="70" spans="1:17">
      <c r="A70" s="869" t="s">
        <v>416</v>
      </c>
      <c r="B70" s="870" t="s">
        <v>417</v>
      </c>
      <c r="C70" s="122"/>
      <c r="D70" s="122"/>
      <c r="E70" s="122"/>
      <c r="F70" s="122"/>
      <c r="G70" s="122"/>
      <c r="H70" s="122"/>
      <c r="I70" s="122"/>
      <c r="J70" s="122"/>
      <c r="K70" s="123"/>
      <c r="L70" s="124"/>
      <c r="M70" s="125"/>
      <c r="N70" s="2366"/>
      <c r="O70" s="2366"/>
      <c r="P70" s="334"/>
      <c r="Q70" s="846"/>
    </row>
    <row r="71" spans="1:17" ht="15.75" thickBot="1">
      <c r="A71" s="876"/>
      <c r="B71" s="877"/>
      <c r="C71" s="878"/>
      <c r="D71" s="878"/>
      <c r="E71" s="878"/>
      <c r="F71" s="878"/>
      <c r="G71" s="878"/>
      <c r="H71" s="878"/>
      <c r="I71" s="878"/>
      <c r="J71" s="878"/>
      <c r="K71" s="878"/>
      <c r="L71" s="878"/>
      <c r="M71" s="879"/>
      <c r="N71" s="2367"/>
      <c r="O71" s="2367"/>
      <c r="P71" s="334"/>
      <c r="Q71" s="846"/>
    </row>
    <row r="72" spans="1:17" ht="27.75" thickTop="1">
      <c r="A72" s="876"/>
      <c r="B72" s="880" t="s">
        <v>402</v>
      </c>
      <c r="C72" s="881"/>
      <c r="D72" s="881"/>
      <c r="E72" s="881"/>
      <c r="F72" s="881"/>
      <c r="G72" s="881"/>
      <c r="H72" s="881"/>
      <c r="I72" s="881"/>
      <c r="J72" s="881"/>
      <c r="K72" s="882"/>
      <c r="L72" s="883"/>
      <c r="M72" s="884"/>
      <c r="N72" s="2366"/>
      <c r="O72" s="2366"/>
      <c r="P72" s="334"/>
      <c r="Q72" s="846"/>
    </row>
    <row r="73" spans="1:17" ht="15.75" thickBot="1">
      <c r="A73" s="876"/>
      <c r="B73" s="885"/>
      <c r="C73" s="886"/>
      <c r="D73" s="886"/>
      <c r="E73" s="886"/>
      <c r="F73" s="886"/>
      <c r="G73" s="886"/>
      <c r="H73" s="886"/>
      <c r="I73" s="886"/>
      <c r="J73" s="886"/>
      <c r="K73" s="886"/>
      <c r="L73" s="886"/>
      <c r="M73" s="887"/>
      <c r="N73" s="2367"/>
      <c r="O73" s="2367"/>
      <c r="P73" s="334"/>
      <c r="Q73" s="846"/>
    </row>
    <row r="74" spans="1:17" ht="15.75" thickTop="1">
      <c r="A74" s="876"/>
      <c r="B74" s="1055" t="s">
        <v>91</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7"/>
      <c r="O74" s="2367"/>
      <c r="P74" s="334"/>
      <c r="Q74" s="846"/>
    </row>
    <row r="75" spans="1:17" ht="15">
      <c r="A75" s="876"/>
      <c r="B75" s="1056"/>
      <c r="C75" s="891"/>
      <c r="D75" s="891"/>
      <c r="E75" s="891"/>
      <c r="F75" s="891"/>
      <c r="G75" s="891"/>
      <c r="H75" s="891"/>
      <c r="I75" s="891"/>
      <c r="J75" s="891"/>
      <c r="K75" s="892"/>
      <c r="L75" s="893"/>
      <c r="M75" s="894"/>
      <c r="N75" s="2366"/>
      <c r="O75" s="2366"/>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7"/>
      <c r="O76" s="2367"/>
      <c r="P76" s="334"/>
      <c r="Q76" s="846"/>
    </row>
    <row r="77" spans="1:17" s="813" customFormat="1" ht="15.75" thickTop="1">
      <c r="A77" s="895"/>
      <c r="B77" s="1053">
        <f>B12</f>
        <v>111</v>
      </c>
      <c r="C77" s="139"/>
      <c r="D77" s="139"/>
      <c r="E77" s="139"/>
      <c r="F77" s="139"/>
      <c r="G77" s="139"/>
      <c r="H77" s="1058"/>
      <c r="I77" s="1058"/>
      <c r="J77" s="1058"/>
      <c r="K77" s="1058"/>
      <c r="L77" s="1059"/>
      <c r="M77" s="1060"/>
      <c r="N77" s="2368"/>
      <c r="O77" s="2368"/>
      <c r="P77" s="900"/>
      <c r="Q77" s="901"/>
    </row>
    <row r="78" spans="1:17" s="813" customFormat="1" ht="15.75" thickBot="1">
      <c r="A78" s="895"/>
      <c r="B78" s="1054"/>
      <c r="C78" s="902"/>
      <c r="D78" s="878"/>
      <c r="E78" s="878"/>
      <c r="F78" s="878"/>
      <c r="G78" s="878"/>
      <c r="H78" s="878"/>
      <c r="I78" s="878"/>
      <c r="J78" s="878"/>
      <c r="K78" s="878"/>
      <c r="L78" s="878"/>
      <c r="M78" s="879"/>
      <c r="N78" s="2367"/>
      <c r="O78" s="2367"/>
      <c r="P78" s="900"/>
      <c r="Q78" s="901"/>
    </row>
    <row r="79" spans="1:17" s="813" customFormat="1" ht="15.75" thickTop="1">
      <c r="A79" s="895"/>
      <c r="B79" s="1053">
        <f>B13</f>
        <v>111</v>
      </c>
      <c r="C79" s="139"/>
      <c r="D79" s="139"/>
      <c r="E79" s="139"/>
      <c r="F79" s="139"/>
      <c r="G79" s="139"/>
      <c r="H79" s="1058"/>
      <c r="I79" s="1058"/>
      <c r="J79" s="1058"/>
      <c r="K79" s="1058"/>
      <c r="L79" s="1059"/>
      <c r="M79" s="1060"/>
      <c r="N79" s="2368"/>
      <c r="O79" s="2368"/>
      <c r="P79" s="812"/>
      <c r="Q79" s="903"/>
    </row>
    <row r="80" spans="1:17" s="813" customFormat="1" ht="15.75" thickBot="1">
      <c r="A80" s="895"/>
      <c r="B80" s="1054"/>
      <c r="C80" s="902"/>
      <c r="D80" s="902"/>
      <c r="E80" s="902"/>
      <c r="F80" s="902"/>
      <c r="G80" s="902"/>
      <c r="H80" s="904"/>
      <c r="I80" s="904"/>
      <c r="J80" s="904"/>
      <c r="K80" s="904"/>
      <c r="L80" s="904"/>
      <c r="M80" s="905"/>
      <c r="N80" s="2368"/>
      <c r="O80" s="2368"/>
      <c r="P80" s="900"/>
      <c r="Q80" s="901"/>
    </row>
    <row r="81" spans="1:17" s="813" customFormat="1" ht="15.75" thickTop="1">
      <c r="A81" s="895"/>
      <c r="B81" s="1055">
        <f>B14</f>
        <v>111</v>
      </c>
      <c r="C81" s="140"/>
      <c r="D81" s="140"/>
      <c r="E81" s="140"/>
      <c r="F81" s="140"/>
      <c r="G81" s="140"/>
      <c r="H81" s="1065"/>
      <c r="I81" s="1065"/>
      <c r="J81" s="1065"/>
      <c r="K81" s="1065"/>
      <c r="L81" s="1066"/>
      <c r="M81" s="1067"/>
      <c r="N81" s="2368"/>
      <c r="O81" s="2368"/>
      <c r="P81" s="909"/>
      <c r="Q81" s="901"/>
    </row>
    <row r="82" spans="1:17" s="813" customFormat="1" ht="15.75" thickBot="1">
      <c r="A82" s="910"/>
      <c r="B82" s="1070"/>
      <c r="C82" s="912"/>
      <c r="D82" s="912"/>
      <c r="E82" s="912"/>
      <c r="F82" s="912"/>
      <c r="G82" s="912"/>
      <c r="H82" s="913"/>
      <c r="I82" s="913"/>
      <c r="J82" s="913"/>
      <c r="K82" s="913"/>
      <c r="L82" s="913"/>
      <c r="M82" s="914"/>
      <c r="N82" s="2368"/>
      <c r="O82" s="2368"/>
      <c r="P82" s="900"/>
      <c r="Q82" s="901"/>
    </row>
    <row r="83" spans="1:17">
      <c r="A83" s="869" t="s">
        <v>404</v>
      </c>
      <c r="B83" s="286" t="s">
        <v>157</v>
      </c>
      <c r="C83" s="915" t="s">
        <v>423</v>
      </c>
      <c r="D83" s="915" t="s">
        <v>424</v>
      </c>
      <c r="E83" s="915" t="s">
        <v>425</v>
      </c>
      <c r="F83" s="915" t="s">
        <v>426</v>
      </c>
      <c r="G83" s="915" t="s">
        <v>427</v>
      </c>
      <c r="H83" s="871"/>
      <c r="I83" s="871"/>
      <c r="J83" s="871"/>
      <c r="K83" s="916"/>
      <c r="L83" s="917"/>
      <c r="M83" s="918"/>
      <c r="N83" s="2366"/>
      <c r="O83" s="2366"/>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7"/>
      <c r="O84" s="2367"/>
      <c r="P84" s="334"/>
      <c r="Q84" s="846"/>
    </row>
    <row r="85" spans="1:17" ht="15.75" thickTop="1">
      <c r="A85" s="876"/>
      <c r="B85" s="1053" t="s">
        <v>90</v>
      </c>
      <c r="C85" s="920" t="s">
        <v>423</v>
      </c>
      <c r="D85" s="920" t="s">
        <v>424</v>
      </c>
      <c r="E85" s="920" t="s">
        <v>425</v>
      </c>
      <c r="F85" s="920" t="s">
        <v>426</v>
      </c>
      <c r="G85" s="920" t="s">
        <v>427</v>
      </c>
      <c r="H85" s="881"/>
      <c r="I85" s="881"/>
      <c r="J85" s="881"/>
      <c r="K85" s="882"/>
      <c r="L85" s="883"/>
      <c r="M85" s="884"/>
      <c r="N85" s="2366"/>
      <c r="O85" s="2366"/>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7"/>
      <c r="O86" s="2367"/>
      <c r="P86" s="334"/>
      <c r="Q86" s="846"/>
    </row>
    <row r="87" spans="1:17" s="407" customFormat="1" ht="27.75" thickTop="1">
      <c r="A87" s="921"/>
      <c r="B87" s="1053" t="s">
        <v>107</v>
      </c>
      <c r="C87" s="915" t="s">
        <v>423</v>
      </c>
      <c r="D87" s="915" t="s">
        <v>424</v>
      </c>
      <c r="E87" s="915" t="s">
        <v>425</v>
      </c>
      <c r="F87" s="915" t="s">
        <v>426</v>
      </c>
      <c r="G87" s="915" t="s">
        <v>427</v>
      </c>
      <c r="H87" s="920"/>
      <c r="I87" s="920"/>
      <c r="J87" s="920"/>
      <c r="K87" s="920"/>
      <c r="L87" s="1106"/>
      <c r="M87" s="964"/>
      <c r="N87" s="2365"/>
      <c r="O87" s="2365"/>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7"/>
      <c r="O88" s="2367"/>
      <c r="P88" s="334"/>
      <c r="Q88" s="846"/>
    </row>
    <row r="89" spans="1:17" s="407" customFormat="1" ht="27.75" thickTop="1">
      <c r="A89" s="921"/>
      <c r="B89" s="1053" t="s">
        <v>152</v>
      </c>
      <c r="C89" s="915" t="s">
        <v>423</v>
      </c>
      <c r="D89" s="915" t="s">
        <v>424</v>
      </c>
      <c r="E89" s="915" t="s">
        <v>425</v>
      </c>
      <c r="F89" s="915" t="s">
        <v>426</v>
      </c>
      <c r="G89" s="915" t="s">
        <v>427</v>
      </c>
      <c r="H89" s="920"/>
      <c r="I89" s="920"/>
      <c r="J89" s="920"/>
      <c r="K89" s="920"/>
      <c r="L89" s="920"/>
      <c r="M89" s="964"/>
      <c r="N89" s="2365"/>
      <c r="O89" s="2365"/>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7"/>
      <c r="O90" s="2367"/>
      <c r="P90" s="334"/>
      <c r="Q90" s="846"/>
    </row>
    <row r="91" spans="1:17" s="813" customFormat="1" ht="15.75" thickTop="1">
      <c r="A91" s="895"/>
      <c r="B91" s="1053" t="s">
        <v>2664</v>
      </c>
      <c r="C91" s="915" t="s">
        <v>423</v>
      </c>
      <c r="D91" s="915" t="s">
        <v>424</v>
      </c>
      <c r="E91" s="915" t="s">
        <v>425</v>
      </c>
      <c r="F91" s="915" t="s">
        <v>426</v>
      </c>
      <c r="G91" s="915" t="s">
        <v>427</v>
      </c>
      <c r="H91" s="942"/>
      <c r="I91" s="942"/>
      <c r="J91" s="942"/>
      <c r="K91" s="942"/>
      <c r="L91" s="943"/>
      <c r="M91" s="944"/>
      <c r="N91" s="2368"/>
      <c r="O91" s="2368"/>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8"/>
      <c r="O92" s="2368"/>
      <c r="P92" s="900"/>
      <c r="Q92" s="901"/>
    </row>
    <row r="93" spans="1:17" s="813" customFormat="1" ht="15.75" thickTop="1">
      <c r="A93" s="895"/>
      <c r="B93" s="1055" t="s">
        <v>2666</v>
      </c>
      <c r="C93" s="213" t="s">
        <v>2652</v>
      </c>
      <c r="D93" s="213" t="s">
        <v>2653</v>
      </c>
      <c r="E93" s="213" t="s">
        <v>2654</v>
      </c>
      <c r="F93" s="213" t="s">
        <v>2655</v>
      </c>
      <c r="G93" s="213" t="s">
        <v>2656</v>
      </c>
      <c r="H93" s="942"/>
      <c r="I93" s="942"/>
      <c r="J93" s="942"/>
      <c r="K93" s="942"/>
      <c r="L93" s="942"/>
      <c r="M93" s="944"/>
      <c r="N93" s="2368"/>
      <c r="O93" s="2368"/>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6"/>
      <c r="N94" s="2368"/>
      <c r="O94" s="2368"/>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6"/>
      <c r="O95" s="2366"/>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7"/>
      <c r="O96" s="2367"/>
      <c r="P96" s="334"/>
      <c r="Q96" s="846"/>
    </row>
    <row r="97" spans="1:17" ht="27.75" thickTop="1">
      <c r="A97" s="876"/>
      <c r="B97" s="1053" t="s">
        <v>142</v>
      </c>
      <c r="C97" s="139"/>
      <c r="D97" s="139"/>
      <c r="E97" s="139"/>
      <c r="F97" s="139"/>
      <c r="G97" s="139"/>
      <c r="H97" s="131"/>
      <c r="I97" s="131"/>
      <c r="J97" s="131"/>
      <c r="K97" s="132"/>
      <c r="L97" s="133"/>
      <c r="M97" s="134"/>
      <c r="N97" s="2366"/>
      <c r="O97" s="2366"/>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7"/>
      <c r="O98" s="2367"/>
      <c r="P98" s="334"/>
      <c r="Q98" s="846"/>
    </row>
    <row r="99" spans="1:17" ht="15.75" thickTop="1">
      <c r="A99" s="876"/>
      <c r="B99" s="1053" t="s">
        <v>151</v>
      </c>
      <c r="C99" s="925"/>
      <c r="D99" s="925"/>
      <c r="E99" s="925"/>
      <c r="F99" s="925"/>
      <c r="G99" s="925"/>
      <c r="H99" s="925"/>
      <c r="I99" s="925"/>
      <c r="J99" s="925"/>
      <c r="K99" s="926"/>
      <c r="L99" s="927"/>
      <c r="M99" s="928"/>
      <c r="N99" s="2366"/>
      <c r="O99" s="2366"/>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7"/>
      <c r="O100" s="2367"/>
      <c r="P100" s="334"/>
      <c r="Q100" s="846"/>
    </row>
    <row r="101" spans="1:17" ht="15.75" thickTop="1">
      <c r="A101" s="876"/>
      <c r="B101" s="1055">
        <f>B31</f>
        <v>111</v>
      </c>
      <c r="C101" s="139"/>
      <c r="D101" s="139"/>
      <c r="E101" s="139"/>
      <c r="F101" s="139"/>
      <c r="G101" s="135"/>
      <c r="H101" s="135"/>
      <c r="I101" s="135"/>
      <c r="J101" s="135"/>
      <c r="K101" s="136"/>
      <c r="L101" s="137"/>
      <c r="M101" s="138"/>
      <c r="N101" s="2366"/>
      <c r="O101" s="2366"/>
      <c r="P101" s="334"/>
      <c r="Q101" s="846"/>
    </row>
    <row r="102" spans="1:17" ht="15.75" thickBot="1">
      <c r="A102" s="876"/>
      <c r="B102" s="1070"/>
      <c r="C102" s="902"/>
      <c r="D102" s="878"/>
      <c r="E102" s="878"/>
      <c r="F102" s="878"/>
      <c r="G102" s="933"/>
      <c r="H102" s="933"/>
      <c r="I102" s="933"/>
      <c r="J102" s="933"/>
      <c r="K102" s="933"/>
      <c r="L102" s="933"/>
      <c r="M102" s="934"/>
      <c r="N102" s="2367"/>
      <c r="O102" s="2367"/>
      <c r="P102" s="334"/>
      <c r="Q102" s="846"/>
    </row>
    <row r="103" spans="1:17" ht="15" thickTop="1">
      <c r="A103" s="1083"/>
      <c r="B103" s="1053">
        <f>B32</f>
        <v>111</v>
      </c>
      <c r="C103" s="139"/>
      <c r="D103" s="139"/>
      <c r="E103" s="139"/>
      <c r="F103" s="139"/>
      <c r="G103" s="131"/>
      <c r="H103" s="131"/>
      <c r="I103" s="131"/>
      <c r="J103" s="131"/>
      <c r="K103" s="132"/>
      <c r="L103" s="133"/>
      <c r="M103" s="134"/>
      <c r="N103" s="2366"/>
      <c r="O103" s="2366"/>
      <c r="P103" s="334"/>
      <c r="Q103" s="846"/>
    </row>
    <row r="104" spans="1:17" ht="15.75" thickBot="1">
      <c r="A104" s="876"/>
      <c r="B104" s="1054"/>
      <c r="C104" s="902"/>
      <c r="D104" s="902"/>
      <c r="E104" s="902"/>
      <c r="F104" s="902"/>
      <c r="G104" s="878"/>
      <c r="H104" s="878"/>
      <c r="I104" s="878"/>
      <c r="J104" s="878"/>
      <c r="K104" s="878"/>
      <c r="L104" s="878"/>
      <c r="M104" s="879"/>
      <c r="N104" s="2367"/>
      <c r="O104" s="2367"/>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8"/>
      <c r="O105" s="2368"/>
      <c r="P105" s="900"/>
      <c r="Q105" s="901"/>
    </row>
    <row r="106" spans="1:17" s="813" customFormat="1" ht="15.75" thickBot="1">
      <c r="A106" s="895"/>
      <c r="B106" s="1055"/>
      <c r="C106" s="912"/>
      <c r="D106" s="912"/>
      <c r="E106" s="912"/>
      <c r="F106" s="912"/>
      <c r="G106" s="1085"/>
      <c r="H106" s="1085"/>
      <c r="I106" s="1085"/>
      <c r="J106" s="1085"/>
      <c r="K106" s="1085"/>
      <c r="L106" s="1085"/>
      <c r="M106" s="1107"/>
      <c r="N106" s="2367"/>
      <c r="O106" s="2367"/>
      <c r="P106" s="900"/>
      <c r="Q106" s="901"/>
    </row>
    <row r="107" spans="1:17">
      <c r="A107" s="869" t="s">
        <v>406</v>
      </c>
      <c r="B107" s="286" t="s">
        <v>85</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6" t="str">
        <f t="shared" si="25"/>
        <v>(含)-</v>
      </c>
      <c r="L107" s="3296" t="str">
        <f t="shared" si="25"/>
        <v>(含)-</v>
      </c>
      <c r="M107" s="3297" t="str">
        <f>M108&amp;"(含)"&amp;"-"&amp;P108</f>
        <v>(含)-</v>
      </c>
      <c r="N107" s="2366"/>
      <c r="O107" s="2366"/>
      <c r="P107" s="334"/>
      <c r="Q107" s="846"/>
    </row>
    <row r="108" spans="1:17" ht="15">
      <c r="A108" s="876"/>
      <c r="B108" s="1055"/>
      <c r="C108" s="937"/>
      <c r="D108" s="937"/>
      <c r="E108" s="937"/>
      <c r="F108" s="937"/>
      <c r="G108" s="937"/>
      <c r="H108" s="937"/>
      <c r="I108" s="937"/>
      <c r="J108" s="938"/>
      <c r="K108" s="938"/>
      <c r="L108" s="939"/>
      <c r="M108" s="940"/>
      <c r="N108" s="2366"/>
      <c r="O108" s="2366"/>
      <c r="P108" s="334"/>
      <c r="Q108" s="846"/>
    </row>
    <row r="109" spans="1:17" ht="15.75" thickBot="1">
      <c r="A109" s="876"/>
      <c r="B109" s="1054"/>
      <c r="C109" s="912"/>
      <c r="D109" s="933"/>
      <c r="E109" s="933"/>
      <c r="F109" s="933"/>
      <c r="G109" s="933"/>
      <c r="H109" s="933"/>
      <c r="I109" s="933"/>
      <c r="J109" s="933"/>
      <c r="K109" s="933"/>
      <c r="L109" s="933"/>
      <c r="M109" s="934"/>
      <c r="N109" s="2367"/>
      <c r="O109" s="2367"/>
      <c r="P109" s="334"/>
      <c r="Q109" s="846"/>
    </row>
    <row r="110" spans="1:17" ht="15" thickTop="1">
      <c r="A110" s="941"/>
      <c r="B110" s="1053" t="s">
        <v>84</v>
      </c>
      <c r="C110" s="131"/>
      <c r="D110" s="131"/>
      <c r="E110" s="131"/>
      <c r="F110" s="131"/>
      <c r="G110" s="131"/>
      <c r="H110" s="131"/>
      <c r="I110" s="131"/>
      <c r="J110" s="131"/>
      <c r="K110" s="132"/>
      <c r="L110" s="133"/>
      <c r="M110" s="134"/>
      <c r="N110" s="2366"/>
      <c r="O110" s="2366"/>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7"/>
      <c r="O111" s="2367"/>
      <c r="P111" s="334"/>
      <c r="Q111" s="846"/>
    </row>
    <row r="112" spans="1:17" s="813" customFormat="1" ht="15" thickTop="1">
      <c r="A112" s="935"/>
      <c r="B112" s="1053" t="s">
        <v>2499</v>
      </c>
      <c r="C112" s="139"/>
      <c r="D112" s="139"/>
      <c r="E112" s="139"/>
      <c r="F112" s="139"/>
      <c r="G112" s="139"/>
      <c r="H112" s="131"/>
      <c r="I112" s="131"/>
      <c r="J112" s="131"/>
      <c r="K112" s="132"/>
      <c r="L112" s="133"/>
      <c r="M112" s="134"/>
      <c r="N112" s="2368"/>
      <c r="O112" s="2368"/>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8"/>
      <c r="O113" s="2368"/>
      <c r="P113" s="900"/>
      <c r="Q113" s="901"/>
    </row>
    <row r="114" spans="1:17" ht="15" thickTop="1">
      <c r="A114" s="941"/>
      <c r="B114" s="1053" t="s">
        <v>83</v>
      </c>
      <c r="C114" s="139"/>
      <c r="D114" s="139"/>
      <c r="E114" s="131"/>
      <c r="F114" s="131"/>
      <c r="G114" s="131"/>
      <c r="H114" s="131"/>
      <c r="I114" s="131"/>
      <c r="J114" s="131"/>
      <c r="K114" s="132"/>
      <c r="L114" s="133"/>
      <c r="M114" s="134"/>
      <c r="N114" s="2366"/>
      <c r="O114" s="2366"/>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7"/>
      <c r="O115" s="2367"/>
      <c r="P115" s="334"/>
      <c r="Q115" s="846"/>
    </row>
    <row r="116" spans="1:17" ht="15" thickTop="1">
      <c r="A116" s="941"/>
      <c r="B116" s="1053">
        <f>B38</f>
        <v>111</v>
      </c>
      <c r="C116" s="139"/>
      <c r="D116" s="139"/>
      <c r="E116" s="139"/>
      <c r="F116" s="139"/>
      <c r="G116" s="139"/>
      <c r="H116" s="131"/>
      <c r="I116" s="131"/>
      <c r="J116" s="131"/>
      <c r="K116" s="132"/>
      <c r="L116" s="133"/>
      <c r="M116" s="134"/>
      <c r="N116" s="2366"/>
      <c r="O116" s="2366"/>
      <c r="P116" s="334"/>
      <c r="Q116" s="846"/>
    </row>
    <row r="117" spans="1:17" ht="15.75" thickBot="1">
      <c r="A117" s="876"/>
      <c r="B117" s="1054"/>
      <c r="C117" s="902"/>
      <c r="D117" s="878"/>
      <c r="E117" s="878"/>
      <c r="F117" s="878"/>
      <c r="G117" s="878"/>
      <c r="H117" s="878"/>
      <c r="I117" s="878"/>
      <c r="J117" s="878"/>
      <c r="K117" s="878"/>
      <c r="L117" s="878"/>
      <c r="M117" s="879"/>
      <c r="N117" s="2367"/>
      <c r="O117" s="2367"/>
      <c r="P117" s="334"/>
      <c r="Q117" s="846"/>
    </row>
    <row r="118" spans="1:17" ht="15" thickTop="1">
      <c r="A118" s="941"/>
      <c r="B118" s="1053">
        <f>B39</f>
        <v>111</v>
      </c>
      <c r="C118" s="139"/>
      <c r="D118" s="139"/>
      <c r="E118" s="139"/>
      <c r="F118" s="139"/>
      <c r="G118" s="131"/>
      <c r="H118" s="131"/>
      <c r="I118" s="131"/>
      <c r="J118" s="131"/>
      <c r="K118" s="132"/>
      <c r="L118" s="133"/>
      <c r="M118" s="134"/>
      <c r="N118" s="2366"/>
      <c r="O118" s="2366"/>
      <c r="P118" s="334"/>
      <c r="Q118" s="846"/>
    </row>
    <row r="119" spans="1:17" ht="15.75" thickBot="1">
      <c r="A119" s="876"/>
      <c r="B119" s="1054"/>
      <c r="C119" s="902"/>
      <c r="D119" s="902"/>
      <c r="E119" s="902"/>
      <c r="F119" s="902"/>
      <c r="G119" s="878"/>
      <c r="H119" s="878"/>
      <c r="I119" s="878"/>
      <c r="J119" s="878"/>
      <c r="K119" s="878"/>
      <c r="L119" s="878"/>
      <c r="M119" s="879"/>
      <c r="N119" s="2367"/>
      <c r="O119" s="2367"/>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8"/>
      <c r="O120" s="2368"/>
      <c r="P120" s="900"/>
      <c r="Q120" s="901"/>
    </row>
    <row r="121" spans="1:17" s="813" customFormat="1" ht="15.75" thickBot="1">
      <c r="A121" s="910"/>
      <c r="B121" s="1078"/>
      <c r="C121" s="912"/>
      <c r="D121" s="912"/>
      <c r="E121" s="912"/>
      <c r="F121" s="912"/>
      <c r="G121" s="933"/>
      <c r="H121" s="933"/>
      <c r="I121" s="933"/>
      <c r="J121" s="933"/>
      <c r="K121" s="933"/>
      <c r="L121" s="933"/>
      <c r="M121" s="934"/>
      <c r="N121" s="2368"/>
      <c r="O121" s="2368"/>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2027</v>
      </c>
      <c r="B1" s="1959"/>
      <c r="C1" s="1959"/>
      <c r="D1" s="1959"/>
      <c r="E1" s="1959"/>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565"/>
      <c r="C2" s="3565"/>
      <c r="D2" s="3565"/>
      <c r="E2" s="3565"/>
    </row>
    <row r="3" spans="1:5" ht="18.75">
      <c r="A3" s="3566" t="str">
        <f>IF(项目基本情况!B9="房地产市场价值","估价结果一览表（市场价值不需“结果表-1”）","估价结果一览表")</f>
        <v>估价结果一览表（市场价值不需“结果表-1”）</v>
      </c>
      <c r="B3" s="3566"/>
      <c r="C3" s="3566"/>
      <c r="D3" s="3566"/>
      <c r="E3" s="3566"/>
    </row>
    <row r="4" spans="1:5" ht="19.5" thickBot="1">
      <c r="A4" s="1971"/>
      <c r="B4" s="3564" t="s">
        <v>2032</v>
      </c>
      <c r="C4" s="3564"/>
      <c r="D4" s="3564"/>
      <c r="E4" s="1971"/>
    </row>
    <row r="5" spans="1:5" ht="16.5" thickTop="1">
      <c r="A5" s="1959"/>
      <c r="B5" s="3562" t="s">
        <v>2028</v>
      </c>
      <c r="C5" s="1961" t="s">
        <v>2033</v>
      </c>
      <c r="D5" s="1962">
        <f ca="1">结果表!H101</f>
        <v>129758</v>
      </c>
      <c r="E5" s="1959"/>
    </row>
    <row r="6" spans="1:5" ht="15.75">
      <c r="A6" s="1959"/>
      <c r="B6" s="3562"/>
      <c r="C6" s="1961" t="s">
        <v>2870</v>
      </c>
      <c r="D6" s="1962" t="str">
        <f ca="1">NUMBERSTRING(INT(D5*10000),2)&amp;"元整"</f>
        <v>壹拾贰亿玖仟柒佰伍拾捌万元整</v>
      </c>
      <c r="E6" s="1959"/>
    </row>
    <row r="7" spans="1:5" ht="15.75">
      <c r="A7" s="1959"/>
      <c r="B7" s="3567"/>
      <c r="C7" s="1963" t="s">
        <v>2034</v>
      </c>
      <c r="D7" s="1964">
        <f ca="1">结果表!H102</f>
        <v>59766</v>
      </c>
      <c r="E7" s="1959"/>
    </row>
    <row r="8" spans="1:5" ht="15.75">
      <c r="A8" s="1959"/>
      <c r="B8" s="3568" t="str">
        <f>结果表!E103</f>
        <v>2.估价师知悉的法定优先受偿款</v>
      </c>
      <c r="C8" s="1965" t="s">
        <v>2035</v>
      </c>
      <c r="D8" s="1964">
        <f>结果表!H103</f>
        <v>0</v>
      </c>
      <c r="E8" s="1959"/>
    </row>
    <row r="9" spans="1:5" ht="15.75">
      <c r="A9" s="1959"/>
      <c r="B9" s="3570"/>
      <c r="C9" s="1961" t="s">
        <v>2870</v>
      </c>
      <c r="D9" s="1962" t="str">
        <f>NUMBERSTRING(INT(D8*10000),2)&amp;"元整"</f>
        <v>元整</v>
      </c>
      <c r="E9" s="1959"/>
    </row>
    <row r="10" spans="1:5" ht="15">
      <c r="A10" s="1959"/>
      <c r="B10" s="1966" t="s">
        <v>2029</v>
      </c>
      <c r="C10" s="1967" t="s">
        <v>2035</v>
      </c>
      <c r="D10" s="1968">
        <f>结果表!H104</f>
        <v>0</v>
      </c>
      <c r="E10" s="1959"/>
    </row>
    <row r="11" spans="1:5" ht="15">
      <c r="A11" s="1959"/>
      <c r="B11" s="1966" t="s">
        <v>2030</v>
      </c>
      <c r="C11" s="1967" t="s">
        <v>2035</v>
      </c>
      <c r="D11" s="1968">
        <f>结果表!H105</f>
        <v>0</v>
      </c>
      <c r="E11" s="1959"/>
    </row>
    <row r="12" spans="1:5" ht="15">
      <c r="A12" s="1959"/>
      <c r="B12" s="1966" t="s">
        <v>2031</v>
      </c>
      <c r="C12" s="1967" t="s">
        <v>2035</v>
      </c>
      <c r="D12" s="1968">
        <f>结果表!H106</f>
        <v>0</v>
      </c>
      <c r="E12" s="1959"/>
    </row>
    <row r="13" spans="1:5" ht="15.75">
      <c r="A13" s="1959"/>
      <c r="B13" s="3561" t="str">
        <f>结果表!E107</f>
        <v>3.房地产抵押价值</v>
      </c>
      <c r="C13" s="1969" t="s">
        <v>2033</v>
      </c>
      <c r="D13" s="1972">
        <f ca="1">结果表!H107</f>
        <v>129758</v>
      </c>
      <c r="E13" s="1959"/>
    </row>
    <row r="14" spans="1:5" ht="15.75">
      <c r="A14" s="1959"/>
      <c r="B14" s="3562"/>
      <c r="C14" s="1961" t="s">
        <v>2870</v>
      </c>
      <c r="D14" s="1962" t="str">
        <f ca="1">NUMBERSTRING(INT(D13*10000),2)&amp;"元整"</f>
        <v>壹拾贰亿玖仟柒佰伍拾捌万元整</v>
      </c>
      <c r="E14" s="1959"/>
    </row>
    <row r="15" spans="1:5" ht="15">
      <c r="A15" s="1959"/>
      <c r="B15" s="3567"/>
      <c r="C15" s="1963" t="s">
        <v>2034</v>
      </c>
      <c r="D15" s="2074">
        <f ca="1">结果表!H108</f>
        <v>7840</v>
      </c>
      <c r="E15" s="1959"/>
    </row>
    <row r="16" spans="1:5" ht="14.25">
      <c r="A16" s="1959"/>
      <c r="B16" s="3568" t="str">
        <f>结果表!E109</f>
        <v>——</v>
      </c>
      <c r="C16" s="1969" t="s">
        <v>2033</v>
      </c>
      <c r="D16" s="2075" t="str">
        <f>结果表!H109</f>
        <v>——</v>
      </c>
      <c r="E16" s="1959"/>
    </row>
    <row r="17" spans="1:5" ht="15.75">
      <c r="A17" s="1959"/>
      <c r="B17" s="3569"/>
      <c r="C17" s="1961" t="s">
        <v>2870</v>
      </c>
      <c r="D17" s="1962" t="e">
        <f>NUMBERSTRING(INT(D16*10000),2)&amp;"元整"</f>
        <v>#VALUE!</v>
      </c>
      <c r="E17" s="1959"/>
    </row>
    <row r="18" spans="1:5" ht="15">
      <c r="A18" s="1959"/>
      <c r="B18" s="3570"/>
      <c r="C18" s="1963" t="s">
        <v>2034</v>
      </c>
      <c r="D18" s="2074" t="str">
        <f>结果表!H110</f>
        <v>——</v>
      </c>
      <c r="E18" s="1959"/>
    </row>
    <row r="19" spans="1:5" ht="15.75">
      <c r="A19" s="1959"/>
      <c r="B19" s="3561" t="str">
        <f>结果表!E111</f>
        <v>——</v>
      </c>
      <c r="C19" s="1969" t="s">
        <v>2033</v>
      </c>
      <c r="D19" s="1964" t="str">
        <f>结果表!H111</f>
        <v>——</v>
      </c>
      <c r="E19" s="1959"/>
    </row>
    <row r="20" spans="1:5" ht="15.75">
      <c r="A20" s="1959"/>
      <c r="B20" s="3562"/>
      <c r="C20" s="1961" t="s">
        <v>2870</v>
      </c>
      <c r="D20" s="1962" t="e">
        <f>NUMBERSTRING(INT(D19*10000),2)&amp;"元整"</f>
        <v>#VALUE!</v>
      </c>
      <c r="E20" s="1959"/>
    </row>
    <row r="21" spans="1:5" ht="15.75" thickBot="1">
      <c r="A21" s="1959"/>
      <c r="B21" s="3563"/>
      <c r="C21" s="2076" t="s">
        <v>2034</v>
      </c>
      <c r="D21" s="2077" t="str">
        <f>结果表!H112</f>
        <v>——</v>
      </c>
      <c r="E21" s="1959"/>
    </row>
    <row r="22" spans="1:5" ht="14.25" thickTop="1">
      <c r="A22" s="1959"/>
      <c r="B22" s="1970" t="s">
        <v>2059</v>
      </c>
      <c r="C22" s="1959"/>
      <c r="D22" s="1959"/>
      <c r="E22" s="1959"/>
    </row>
    <row r="23" spans="1:5">
      <c r="A23" s="1959"/>
      <c r="B23" s="1959"/>
      <c r="C23" s="1959"/>
      <c r="D23" s="1959"/>
      <c r="E23" s="1959"/>
    </row>
    <row r="24" spans="1:5" ht="18.75">
      <c r="A24" s="1990"/>
      <c r="B24" s="1991" t="s">
        <v>2040</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2" t="s">
        <v>1794</v>
      </c>
      <c r="B1" s="1473"/>
      <c r="C1" s="86" t="s">
        <v>2500</v>
      </c>
      <c r="D1" s="1735">
        <f>SUM(D29:D30,D33:D39)</f>
        <v>0</v>
      </c>
      <c r="E1" s="1620"/>
      <c r="F1" s="1620"/>
      <c r="G1" s="1620"/>
      <c r="H1" s="1620"/>
      <c r="I1" s="1620"/>
      <c r="J1" s="1620"/>
      <c r="K1" s="2378"/>
      <c r="L1" s="1881" t="s">
        <v>1226</v>
      </c>
      <c r="M1" s="2133">
        <f>SUMPRODUCT((区片价!B5:B9=I2)*(区片价!C3:F3=E2)*(区片价!C5:F9))</f>
        <v>0</v>
      </c>
      <c r="N1" s="2136">
        <f>SUMPRODUCT((因素修正幅度!B5:B9=I2)*(因素修正幅度!C3:F3=E2)*(因素修正幅度!C5:F9))</f>
        <v>0</v>
      </c>
      <c r="O1" s="2382"/>
      <c r="P1" s="2382"/>
      <c r="Q1" s="2378"/>
      <c r="R1" s="3068" t="s">
        <v>2886</v>
      </c>
      <c r="S1" s="3068" t="s">
        <v>2887</v>
      </c>
      <c r="T1" s="3068" t="s">
        <v>2888</v>
      </c>
      <c r="U1" s="3068" t="s">
        <v>2889</v>
      </c>
      <c r="V1" s="3068" t="s">
        <v>2890</v>
      </c>
      <c r="W1" s="3069"/>
      <c r="X1" s="3069"/>
      <c r="Y1" s="3069"/>
      <c r="Z1" s="3069"/>
      <c r="AA1" s="3069"/>
      <c r="AB1" s="3069"/>
      <c r="AC1" s="3070"/>
      <c r="AD1" s="3071"/>
      <c r="AE1" s="3071"/>
      <c r="AF1" s="3071"/>
      <c r="AG1" s="3071"/>
      <c r="AH1" s="3071"/>
      <c r="AI1" s="3071"/>
      <c r="AJ1" s="3072"/>
    </row>
    <row r="2" spans="1:36" ht="15.75">
      <c r="A2" s="86" t="s">
        <v>1795</v>
      </c>
      <c r="B2" s="580" t="e">
        <f>C26</f>
        <v>#DIV/0!</v>
      </c>
      <c r="C2" s="1471" t="s">
        <v>1136</v>
      </c>
      <c r="D2" s="1625" t="s">
        <v>1796</v>
      </c>
      <c r="E2" s="1779"/>
      <c r="F2" s="1625" t="s">
        <v>1797</v>
      </c>
      <c r="G2" s="1602">
        <f>IF(E2="商业",项目基本情况!B37,IF(E2="办公",项目基本情况!C37,IF(E2="住宅",项目基本情况!D37,项目基本情况!E37)))</f>
        <v>0</v>
      </c>
      <c r="H2" s="1625" t="s">
        <v>1798</v>
      </c>
      <c r="I2" s="1602">
        <f>IF(E2="商业",项目基本情况!B38,IF(E2="办公",项目基本情况!C38,IF(E2="住宅",项目基本情况!D38,项目基本情况!E38)))</f>
        <v>0</v>
      </c>
      <c r="J2" s="1626"/>
      <c r="K2" s="2378"/>
      <c r="L2" s="1882" t="s">
        <v>1283</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1799</v>
      </c>
      <c r="B3" s="580" t="e">
        <f>ROUND(B2*10000/D1,0)</f>
        <v>#DIV/0!</v>
      </c>
      <c r="C3" s="1471" t="s">
        <v>1800</v>
      </c>
      <c r="D3" s="1625" t="s">
        <v>1139</v>
      </c>
      <c r="E3" s="1780"/>
      <c r="F3" s="1781" t="s">
        <v>3017</v>
      </c>
      <c r="G3" s="1627">
        <f>IF(F3="宗地容积率",'数据-汇总表'!I4,IF(F3="估价对象容积率",'数据-汇总表'!I6,'数据-汇总表'!I7))</f>
        <v>2.35</v>
      </c>
      <c r="H3" s="1628" t="s">
        <v>1140</v>
      </c>
      <c r="I3" s="1782"/>
      <c r="J3" s="1626" t="s">
        <v>1141</v>
      </c>
      <c r="K3" s="2378"/>
      <c r="L3" s="1882" t="s">
        <v>1456</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915"/>
      <c r="B4" s="3916"/>
      <c r="C4" s="3916"/>
      <c r="D4" s="3917"/>
      <c r="E4" s="3917"/>
      <c r="F4" s="3917"/>
      <c r="G4" s="3917"/>
      <c r="H4" s="3917"/>
      <c r="I4" s="3917"/>
      <c r="J4" s="3918"/>
      <c r="K4" s="2378"/>
      <c r="L4" s="1882" t="s">
        <v>1137</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1937</v>
      </c>
      <c r="B5" s="1629" t="s">
        <v>1801</v>
      </c>
      <c r="C5" s="1630" t="e">
        <f>ROUND(IF(E2="商业",IF(F16="增加",C6*C7+C16,C6*C7-C16),IF(E2="住宅",IF(F16="增加",C6*C12+C16,C6*C12-C16),IF(F16="增加",C6+C16,C6-C16))),0)</f>
        <v>#DIV/0!</v>
      </c>
      <c r="D5" s="3343">
        <f>ROUND(IF(E2="商业",IF(F16="增加",C6+C16,C6-C16)),0)</f>
        <v>0</v>
      </c>
      <c r="E5" s="1631"/>
      <c r="F5" s="1631"/>
      <c r="G5" s="1632"/>
      <c r="H5" s="1632"/>
      <c r="I5" s="1632"/>
      <c r="J5" s="1633"/>
      <c r="K5" s="2383"/>
      <c r="L5" s="1882" t="s">
        <v>1537</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1944</v>
      </c>
      <c r="B6" s="1636" t="s">
        <v>1801</v>
      </c>
      <c r="C6" s="1637">
        <f>SUMIF(L1:L12,G2,M1:M12)</f>
        <v>0</v>
      </c>
      <c r="D6" s="1638" t="s">
        <v>1802</v>
      </c>
      <c r="E6" s="1639"/>
      <c r="F6" s="1639"/>
      <c r="G6" s="1640"/>
      <c r="H6" s="1640"/>
      <c r="I6" s="1640"/>
      <c r="J6" s="1641"/>
      <c r="K6" s="2384"/>
      <c r="L6" s="1882" t="s">
        <v>201</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899" t="str">
        <f>IF(E2="商业",IF(C8="不临58条商业街","",2),"")</f>
        <v/>
      </c>
      <c r="B7" s="1642" t="s">
        <v>1803</v>
      </c>
      <c r="C7" s="1643" t="e">
        <f>IF(C8="不临58条商业街",1,ROUND(1+(1.6*E8+1.2*E9+0.8*E10+0.4*E11)*C9,4))</f>
        <v>#DIV/0!</v>
      </c>
      <c r="D7" s="1644" t="s">
        <v>1804</v>
      </c>
      <c r="E7" s="1783"/>
      <c r="F7" s="1645"/>
      <c r="G7" s="1646"/>
      <c r="H7" s="1646"/>
      <c r="I7" s="1646"/>
      <c r="J7" s="1647"/>
      <c r="K7" s="2384"/>
      <c r="L7" s="1882" t="s">
        <v>1540</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2891</v>
      </c>
      <c r="X7" s="3079">
        <f>G2</f>
        <v>0</v>
      </c>
      <c r="Y7" s="3079" t="s">
        <v>2892</v>
      </c>
      <c r="Z7" s="3080">
        <f>G3</f>
        <v>2.35</v>
      </c>
      <c r="AA7" s="3081"/>
      <c r="AB7" s="3081"/>
      <c r="AC7" s="3082"/>
      <c r="AD7" s="3083"/>
      <c r="AE7" s="3083"/>
      <c r="AF7" s="3083"/>
      <c r="AG7" s="3083"/>
      <c r="AH7" s="3083"/>
      <c r="AI7" s="3083"/>
      <c r="AJ7" s="3084"/>
    </row>
    <row r="8" spans="1:36" ht="15">
      <c r="A8" s="3900"/>
      <c r="B8" s="1628" t="s">
        <v>1805</v>
      </c>
      <c r="C8" s="1784"/>
      <c r="D8" s="1648" t="s">
        <v>1142</v>
      </c>
      <c r="E8" s="1649" t="e">
        <f>ROUND(C11/E7,4)</f>
        <v>#DIV/0!</v>
      </c>
      <c r="F8" s="1650" t="s">
        <v>1806</v>
      </c>
      <c r="G8" s="1651"/>
      <c r="H8" s="1651"/>
      <c r="I8" s="1651"/>
      <c r="J8" s="1652"/>
      <c r="K8" s="2378"/>
      <c r="L8" s="1882" t="s">
        <v>1542</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912" t="s">
        <v>2893</v>
      </c>
      <c r="X8" s="3913"/>
      <c r="Y8" s="3085" t="s">
        <v>163</v>
      </c>
      <c r="Z8" s="3085" t="s">
        <v>164</v>
      </c>
      <c r="AA8" s="3085" t="s">
        <v>159</v>
      </c>
      <c r="AB8" s="3085" t="s">
        <v>160</v>
      </c>
      <c r="AC8" s="3085" t="s">
        <v>161</v>
      </c>
      <c r="AD8" s="3085" t="s">
        <v>162</v>
      </c>
      <c r="AE8" s="3085" t="s">
        <v>1177</v>
      </c>
      <c r="AF8" s="3085" t="s">
        <v>1178</v>
      </c>
      <c r="AG8" s="3085" t="s">
        <v>1179</v>
      </c>
      <c r="AH8" s="3085" t="s">
        <v>1180</v>
      </c>
      <c r="AI8" s="3085" t="s">
        <v>1181</v>
      </c>
      <c r="AJ8" s="3085" t="s">
        <v>1182</v>
      </c>
    </row>
    <row r="9" spans="1:36" ht="15">
      <c r="A9" s="3900"/>
      <c r="B9" s="1628" t="s">
        <v>1807</v>
      </c>
      <c r="C9" s="1653">
        <f>SUMIF(修正!C59:C119,C8,修正!E59:E119)</f>
        <v>0</v>
      </c>
      <c r="D9" s="532" t="s">
        <v>1143</v>
      </c>
      <c r="E9" s="532" t="e">
        <f>ROUND(C11/E7,4)</f>
        <v>#DIV/0!</v>
      </c>
      <c r="F9" s="1650" t="s">
        <v>1808</v>
      </c>
      <c r="G9" s="1651"/>
      <c r="H9" s="1651"/>
      <c r="I9" s="1651"/>
      <c r="J9" s="1652"/>
      <c r="K9" s="2378"/>
      <c r="L9" s="1882" t="s">
        <v>1544</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914" t="s">
        <v>2894</v>
      </c>
      <c r="X9" s="3086" t="s">
        <v>1764</v>
      </c>
      <c r="Y9" s="3310"/>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900"/>
      <c r="B10" s="1628" t="s">
        <v>1809</v>
      </c>
      <c r="C10" s="532">
        <f>SUMIF(修正!C59:C119,C8,修正!F59:F119)</f>
        <v>0</v>
      </c>
      <c r="D10" s="532" t="s">
        <v>1144</v>
      </c>
      <c r="E10" s="532" t="e">
        <f>ROUND(C11/E7,4)</f>
        <v>#DIV/0!</v>
      </c>
      <c r="F10" s="1650" t="s">
        <v>1810</v>
      </c>
      <c r="G10" s="1651"/>
      <c r="H10" s="1651"/>
      <c r="I10" s="1651"/>
      <c r="J10" s="1652"/>
      <c r="K10" s="2378"/>
      <c r="L10" s="1882" t="s">
        <v>1548</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914"/>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900"/>
      <c r="B11" s="1654" t="s">
        <v>1811</v>
      </c>
      <c r="C11" s="1655">
        <f>C10/4</f>
        <v>0</v>
      </c>
      <c r="D11" s="1655" t="s">
        <v>1145</v>
      </c>
      <c r="E11" s="1655" t="e">
        <f>ROUND(C11/E7,4)</f>
        <v>#DIV/0!</v>
      </c>
      <c r="F11" s="1656" t="s">
        <v>1812</v>
      </c>
      <c r="G11" s="1657"/>
      <c r="H11" s="1657"/>
      <c r="I11" s="1657"/>
      <c r="J11" s="1658"/>
      <c r="K11" s="2378"/>
      <c r="L11" s="1882" t="s">
        <v>1947</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914" t="s">
        <v>2895</v>
      </c>
      <c r="X11" s="3089" t="s">
        <v>2892</v>
      </c>
      <c r="Y11" s="3090">
        <f>$G$3</f>
        <v>2.35</v>
      </c>
      <c r="Z11" s="3090">
        <f t="shared" ref="Z11:AJ11" si="3">$G$3</f>
        <v>2.35</v>
      </c>
      <c r="AA11" s="3090">
        <f t="shared" si="3"/>
        <v>2.35</v>
      </c>
      <c r="AB11" s="3090">
        <f t="shared" si="3"/>
        <v>2.35</v>
      </c>
      <c r="AC11" s="3090">
        <f t="shared" si="3"/>
        <v>2.35</v>
      </c>
      <c r="AD11" s="3090">
        <f t="shared" si="3"/>
        <v>2.35</v>
      </c>
      <c r="AE11" s="3090">
        <f t="shared" si="3"/>
        <v>2.35</v>
      </c>
      <c r="AF11" s="3090">
        <f t="shared" si="3"/>
        <v>2.35</v>
      </c>
      <c r="AG11" s="3090">
        <f t="shared" si="3"/>
        <v>2.35</v>
      </c>
      <c r="AH11" s="3090">
        <f t="shared" si="3"/>
        <v>2.35</v>
      </c>
      <c r="AI11" s="3090">
        <f t="shared" si="3"/>
        <v>2.35</v>
      </c>
      <c r="AJ11" s="3090">
        <f t="shared" si="3"/>
        <v>2.35</v>
      </c>
    </row>
    <row r="12" spans="1:36" ht="26.25" thickBot="1">
      <c r="A12" s="3899" t="s">
        <v>1945</v>
      </c>
      <c r="B12" s="1659" t="s">
        <v>1813</v>
      </c>
      <c r="C12" s="1643">
        <f>ROUND(C15*D15*E15*F15*G15*H15*I15*J15,4)</f>
        <v>1</v>
      </c>
      <c r="D12" s="1660" t="s">
        <v>1814</v>
      </c>
      <c r="E12" s="1661"/>
      <c r="F12" s="1661"/>
      <c r="G12" s="1662"/>
      <c r="H12" s="1662"/>
      <c r="I12" s="1662"/>
      <c r="J12" s="1663"/>
      <c r="K12" s="2378"/>
      <c r="L12" s="1883" t="s">
        <v>1948</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914"/>
      <c r="X12" s="3091" t="s">
        <v>1767</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919"/>
      <c r="B13" s="1664" t="s">
        <v>1815</v>
      </c>
      <c r="C13" s="1665" t="s">
        <v>1816</v>
      </c>
      <c r="D13" s="1666" t="s">
        <v>1817</v>
      </c>
      <c r="E13" s="1666" t="s">
        <v>1818</v>
      </c>
      <c r="F13" s="81" t="s">
        <v>1146</v>
      </c>
      <c r="G13" s="1785" t="s">
        <v>1869</v>
      </c>
      <c r="H13" s="1785" t="s">
        <v>1869</v>
      </c>
      <c r="I13" s="1785" t="s">
        <v>1869</v>
      </c>
      <c r="J13" s="1786" t="s">
        <v>1869</v>
      </c>
      <c r="K13" s="2378"/>
      <c r="L13" s="2378"/>
      <c r="M13" s="2378"/>
      <c r="N13" s="2378"/>
      <c r="O13" s="2378"/>
      <c r="P13" s="2378"/>
      <c r="Q13" s="2378"/>
      <c r="R13" s="3073">
        <v>12</v>
      </c>
      <c r="S13" s="3074"/>
      <c r="T13" s="3073" t="e">
        <f t="shared" si="0"/>
        <v>#DIV/0!</v>
      </c>
      <c r="U13" s="3074"/>
      <c r="V13" s="3073" t="e">
        <f t="shared" si="1"/>
        <v>#DIV/0!</v>
      </c>
      <c r="W13" s="3914"/>
      <c r="X13" s="3091"/>
      <c r="Y13" s="3088">
        <f>(-0.163*(Y12^2)-0.59*Y12+7617)*(10^(-4))/Y11</f>
        <v>0.3241276595744681</v>
      </c>
      <c r="Z13" s="3088">
        <f t="shared" ref="Z13:AJ13" si="5">(-0.163*(Z12^2)-0.59*Z12+7617)*(10^(-4))/Z11</f>
        <v>0.3241276595744681</v>
      </c>
      <c r="AA13" s="3088">
        <f t="shared" si="5"/>
        <v>0.3241276595744681</v>
      </c>
      <c r="AB13" s="3088">
        <f t="shared" si="5"/>
        <v>0.3241276595744681</v>
      </c>
      <c r="AC13" s="3088">
        <f t="shared" si="5"/>
        <v>0.3241276595744681</v>
      </c>
      <c r="AD13" s="3088">
        <f t="shared" si="5"/>
        <v>0.3241276595744681</v>
      </c>
      <c r="AE13" s="3088">
        <f t="shared" si="5"/>
        <v>0.3241276595744681</v>
      </c>
      <c r="AF13" s="3088">
        <f t="shared" si="5"/>
        <v>0.3241276595744681</v>
      </c>
      <c r="AG13" s="3088">
        <f t="shared" si="5"/>
        <v>0.3241276595744681</v>
      </c>
      <c r="AH13" s="3088">
        <f t="shared" si="5"/>
        <v>0.3241276595744681</v>
      </c>
      <c r="AI13" s="3088">
        <f t="shared" si="5"/>
        <v>0.3241276595744681</v>
      </c>
      <c r="AJ13" s="3088">
        <f t="shared" si="5"/>
        <v>0.3241276595744681</v>
      </c>
    </row>
    <row r="14" spans="1:36" ht="15">
      <c r="A14" s="3919"/>
      <c r="B14" s="1667"/>
      <c r="C14" s="1787"/>
      <c r="D14" s="1484"/>
      <c r="E14" s="1484"/>
      <c r="F14" s="1788"/>
      <c r="G14" s="1668" t="s">
        <v>1846</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920"/>
      <c r="B15" s="1672" t="s">
        <v>1819</v>
      </c>
      <c r="C15" s="561">
        <f>IF(C14="有",1.1,1)</f>
        <v>1</v>
      </c>
      <c r="D15" s="561">
        <f>IF(D14="有",1.1,1)</f>
        <v>1</v>
      </c>
      <c r="E15" s="561">
        <f>IF(E14="有",1.1,1)</f>
        <v>1</v>
      </c>
      <c r="F15" s="561">
        <f>IF(F14="500米范围内",1.2,IF(F14="500-1000米",1.1,1))</f>
        <v>1</v>
      </c>
      <c r="G15" s="1789">
        <v>1</v>
      </c>
      <c r="H15" s="1789">
        <v>1</v>
      </c>
      <c r="I15" s="1789">
        <v>1</v>
      </c>
      <c r="J15" s="1790">
        <v>1</v>
      </c>
      <c r="K15" s="2378"/>
      <c r="L15" s="1703" t="s">
        <v>1835</v>
      </c>
      <c r="M15" s="1704" t="s">
        <v>1836</v>
      </c>
      <c r="N15" s="1704" t="s">
        <v>1837</v>
      </c>
      <c r="O15" s="1704" t="s">
        <v>981</v>
      </c>
      <c r="P15" s="1705" t="s">
        <v>1838</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899" t="s">
        <v>1946</v>
      </c>
      <c r="B16" s="1642" t="s">
        <v>1820</v>
      </c>
      <c r="C16" s="1775" t="e">
        <f>ROUND(SUM(G17:J17)/C17,0)</f>
        <v>#DIV/0!</v>
      </c>
      <c r="D16" s="1673" t="s">
        <v>1821</v>
      </c>
      <c r="E16" s="1791"/>
      <c r="F16" s="1792"/>
      <c r="G16" s="1793"/>
      <c r="H16" s="1793"/>
      <c r="I16" s="1793"/>
      <c r="J16" s="1794"/>
      <c r="K16" s="2378"/>
      <c r="L16" s="1709" t="s">
        <v>1840</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900"/>
      <c r="B17" s="1674" t="s">
        <v>1822</v>
      </c>
      <c r="C17" s="1675">
        <f>SUMPRODUCT((修正!A2:A5=E2)*(修正!B1:M1=G2)*(修正!B2:M5))</f>
        <v>0</v>
      </c>
      <c r="D17" s="1676" t="s">
        <v>1823</v>
      </c>
      <c r="E17" s="1746" t="str">
        <f>IF(OR(G2="八级",G2="九级",G2="十级",G2="十一级",G2="十二级"),"五通一平","七通一平")</f>
        <v>七通一平</v>
      </c>
      <c r="F17" s="1677" t="s">
        <v>1824</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1829</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1938</v>
      </c>
      <c r="B18" s="1679" t="s">
        <v>1825</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1939</v>
      </c>
      <c r="B19" s="1679" t="s">
        <v>1826</v>
      </c>
      <c r="C19" s="1688" t="e">
        <f>ROUND(IF(H19="按公示增长率计算",SUMPRODUCT((地价!A3:A19=YEAR(G19)&amp;"-"&amp;ROUNDUP(MONTH(G19)/3,0))*(地价!X2:AB2=E2)*(地价!X3:AB19)),IF(H19="地价指数",M20/M19,(1+I19)^O19)),4)</f>
        <v>#DIV/0!</v>
      </c>
      <c r="D19" s="1689" t="s">
        <v>1147</v>
      </c>
      <c r="E19" s="1690">
        <v>41640</v>
      </c>
      <c r="F19" s="1689" t="s">
        <v>1148</v>
      </c>
      <c r="G19" s="1691">
        <f>'数据-取费表'!B2</f>
        <v>42970</v>
      </c>
      <c r="H19" s="3015" t="s">
        <v>2954</v>
      </c>
      <c r="I19" s="1692" t="str">
        <f>IF(H19="季度增幅（自定义）",SUMIF(N21:N24,E2,O21:O24),"")</f>
        <v/>
      </c>
      <c r="J19" s="1685"/>
      <c r="K19" s="2385"/>
      <c r="L19" s="3241" t="s">
        <v>2952</v>
      </c>
      <c r="M19" s="3243">
        <f>ROUND(SUMIF(地价!B2:F2,E2,地价!B19:F19),0)</f>
        <v>0</v>
      </c>
      <c r="N19" s="3239" t="s">
        <v>1871</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1940</v>
      </c>
      <c r="B20" s="1748" t="s">
        <v>1827</v>
      </c>
      <c r="C20" s="1695" t="e">
        <f>ROUND(POWER(1+G20,J20-I20)*(POWER(1+G20,I20)-1)/(POWER(1+G20,J20)-1),4)</f>
        <v>#DIV/0!</v>
      </c>
      <c r="D20" s="1749" t="s">
        <v>1828</v>
      </c>
      <c r="E20" s="3298">
        <f ca="1">存贷款利率!D4/100</f>
        <v>4.3499999999999997E-2</v>
      </c>
      <c r="F20" s="1749" t="s">
        <v>1829</v>
      </c>
      <c r="G20" s="1750">
        <f>SUMIF(M15:P15,E2,M17:P17)</f>
        <v>0</v>
      </c>
      <c r="H20" s="1749" t="s">
        <v>1830</v>
      </c>
      <c r="I20" s="1751" t="e">
        <f>SUMIF('数据-取费表'!C6:C15,E2,'数据-取费表'!F6:F15)/COUNTIF('数据-取费表'!C6:C15,E2)</f>
        <v>#DIV/0!</v>
      </c>
      <c r="J20" s="1752">
        <f>IF(E2="住宅",70,IF(E2="商业",40,50))</f>
        <v>50</v>
      </c>
      <c r="K20" s="2385"/>
      <c r="L20" s="3242" t="s">
        <v>2953</v>
      </c>
      <c r="M20" s="3244">
        <f>ROUND(SUMPRODUCT((地价!A4:A19=YEAR(G19)&amp;"-"&amp;ROUNDUP(MONTH(G19)/3,0))*(地价!B2:F2=E2)*(地价!B4:F19)),0)</f>
        <v>0</v>
      </c>
      <c r="N20" s="3240" t="s">
        <v>2781</v>
      </c>
      <c r="O20" s="3016" t="s">
        <v>2782</v>
      </c>
      <c r="P20" s="3017" t="s">
        <v>2791</v>
      </c>
      <c r="R20" s="2735"/>
      <c r="S20" s="2735"/>
      <c r="T20" s="2730"/>
      <c r="U20" s="2730"/>
      <c r="V20" s="2730"/>
      <c r="W20" s="2729"/>
      <c r="X20" s="2729"/>
      <c r="Y20" s="2729"/>
      <c r="Z20" s="2736"/>
      <c r="AA20" s="2737"/>
      <c r="AB20" s="2737"/>
      <c r="AC20" s="2737"/>
      <c r="AD20" s="2737"/>
      <c r="AE20" s="1686"/>
      <c r="AF20" s="1686"/>
    </row>
    <row r="21" spans="1:37" s="1635" customFormat="1" ht="14.25">
      <c r="A21" s="1878" t="s">
        <v>1941</v>
      </c>
      <c r="B21" s="1795" t="s">
        <v>2494</v>
      </c>
      <c r="C21" s="1753">
        <f>IF(B21="容积率修正",IF(G3&lt;=10,D22,J22),C23)</f>
        <v>0</v>
      </c>
      <c r="D21" s="1754"/>
      <c r="E21" s="1754"/>
      <c r="F21" s="1754"/>
      <c r="G21" s="1754"/>
      <c r="H21" s="1754"/>
      <c r="I21" s="1754"/>
      <c r="J21" s="1755"/>
      <c r="K21" s="2385"/>
      <c r="N21" s="3018" t="s">
        <v>2783</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1944</v>
      </c>
      <c r="B22" s="1697" t="s">
        <v>1831</v>
      </c>
      <c r="C22" s="1776" t="s">
        <v>1844</v>
      </c>
      <c r="D22" s="1776">
        <f>IF(E22=G22,F22,IF(G3&lt;=10,ROUND(F22+(H22-F22)*(G3-E22)/(G22-E22),4),"——"))</f>
        <v>0</v>
      </c>
      <c r="E22" s="1627">
        <f>ROUNDDOWN(G3,1)</f>
        <v>2.2999999999999998</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2.4</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1161</v>
      </c>
      <c r="J22" s="1756" t="str">
        <f>IF(G3&gt;10,D113,"——")</f>
        <v>——</v>
      </c>
      <c r="K22" s="2385"/>
      <c r="N22" s="3018" t="s">
        <v>2784</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1945</v>
      </c>
      <c r="B23" s="1868" t="s">
        <v>1832</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1942</v>
      </c>
      <c r="B24" s="1679" t="s">
        <v>1833</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1943</v>
      </c>
      <c r="B25" s="1700" t="s">
        <v>1834</v>
      </c>
      <c r="C25" s="1701"/>
      <c r="D25" s="1646"/>
      <c r="E25" s="1646"/>
      <c r="F25" s="1702"/>
      <c r="G25" s="1646"/>
      <c r="H25" s="1646"/>
      <c r="I25" s="1646"/>
      <c r="J25" s="1647"/>
      <c r="K25" s="2378"/>
      <c r="N25" s="3025" t="s">
        <v>2785</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1865</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1866</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1864</v>
      </c>
      <c r="C28" s="1718" t="s">
        <v>1839</v>
      </c>
      <c r="D28" s="1718" t="s">
        <v>1855</v>
      </c>
      <c r="E28" s="1719" t="s">
        <v>1856</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1859</v>
      </c>
      <c r="C29" s="538" t="e">
        <f>ROUND(C5*C18*C19*C20*C21*C24,0)</f>
        <v>#DIV/0!</v>
      </c>
      <c r="D29" s="1744"/>
      <c r="E29" s="1778" t="e">
        <f>ROUND(C29*D29/10000,0)</f>
        <v>#DIV/0!</v>
      </c>
      <c r="F29" s="1722" t="s">
        <v>1841</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1860</v>
      </c>
      <c r="C30" s="561" t="e">
        <f>ROUND(IF(E2="工业",C29*M39,C29*M38),0)</f>
        <v>#DIV/0!</v>
      </c>
      <c r="D30" s="1745"/>
      <c r="E30" s="1778" t="e">
        <f>ROUND(C30*D30/10000,0)</f>
        <v>#DIV/0!</v>
      </c>
      <c r="F30" s="1727" t="s">
        <v>1857</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1861</v>
      </c>
      <c r="C31" s="1732" t="s">
        <v>1862</v>
      </c>
      <c r="D31" s="1662"/>
      <c r="E31" s="1732"/>
      <c r="F31" s="1732"/>
      <c r="G31" s="1660" t="s">
        <v>1863</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1839</v>
      </c>
      <c r="D32" s="168" t="s">
        <v>1855</v>
      </c>
      <c r="E32" s="168" t="s">
        <v>1856</v>
      </c>
      <c r="F32" s="1735" t="s">
        <v>1843</v>
      </c>
      <c r="G32" s="1696" t="s">
        <v>1839</v>
      </c>
      <c r="H32" s="1696" t="s">
        <v>1855</v>
      </c>
      <c r="I32" s="1696" t="s">
        <v>1856</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909" t="s">
        <v>3057</v>
      </c>
      <c r="B33" s="1738" t="s">
        <v>1163</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910"/>
      <c r="B34" s="1665" t="s">
        <v>1164</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910"/>
      <c r="B35" s="1665" t="s">
        <v>1165</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911"/>
      <c r="B36" s="1665" t="s">
        <v>1166</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1167</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1858</v>
      </c>
      <c r="M37" s="2387"/>
      <c r="N37" s="2378"/>
      <c r="O37" s="2378"/>
      <c r="P37" s="2378"/>
      <c r="Q37" s="2378"/>
      <c r="R37" s="2378"/>
      <c r="S37" s="2378"/>
      <c r="T37" s="2378"/>
      <c r="U37" s="2378"/>
      <c r="V37" s="2378"/>
      <c r="W37" s="2378"/>
      <c r="X37" s="2378"/>
      <c r="Y37" s="2378"/>
      <c r="Z37" s="2379"/>
    </row>
    <row r="38" spans="1:37" ht="12.75">
      <c r="A38" s="1737"/>
      <c r="B38" s="1665" t="s">
        <v>1168</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1842</v>
      </c>
      <c r="M38" s="1760">
        <v>0.25</v>
      </c>
      <c r="N38" s="2378"/>
      <c r="O38" s="2378"/>
      <c r="P38" s="2378"/>
      <c r="Q38" s="2378"/>
      <c r="R38" s="2378"/>
      <c r="S38" s="2378"/>
      <c r="T38" s="2378"/>
      <c r="U38" s="2378"/>
      <c r="V38" s="2378"/>
      <c r="W38" s="2378"/>
      <c r="X38" s="2378"/>
      <c r="Y38" s="2378"/>
      <c r="Z38" s="2379"/>
    </row>
    <row r="39" spans="1:37" ht="13.5" thickBot="1">
      <c r="A39" s="1725"/>
      <c r="B39" s="1740" t="s">
        <v>1169</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1838</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1778</v>
      </c>
      <c r="B45" s="1486"/>
      <c r="C45" s="1161"/>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1779</v>
      </c>
      <c r="B47" s="1495" t="s">
        <v>1780</v>
      </c>
      <c r="C47" s="1496" t="s">
        <v>1781</v>
      </c>
      <c r="D47" s="1497" t="s">
        <v>1852</v>
      </c>
      <c r="E47" s="1498" t="s">
        <v>1854</v>
      </c>
      <c r="F47" s="2600" t="s">
        <v>2492</v>
      </c>
      <c r="G47" s="1497" t="s">
        <v>1850</v>
      </c>
      <c r="H47" s="2601" t="s">
        <v>2493</v>
      </c>
      <c r="I47" s="1497" t="s">
        <v>1853</v>
      </c>
      <c r="J47" s="945" t="s">
        <v>423</v>
      </c>
      <c r="K47" s="945" t="s">
        <v>424</v>
      </c>
      <c r="L47" s="945" t="s">
        <v>425</v>
      </c>
      <c r="M47" s="945" t="s">
        <v>426</v>
      </c>
      <c r="N47" s="945" t="s">
        <v>427</v>
      </c>
      <c r="AA47" s="2379"/>
      <c r="AB47" s="2379"/>
      <c r="AC47" s="2379"/>
      <c r="AD47" s="2379"/>
      <c r="AE47" s="2379"/>
      <c r="AF47" s="2379"/>
      <c r="AG47" s="2379"/>
      <c r="AH47" s="2379"/>
      <c r="AI47" s="2379"/>
      <c r="AJ47" s="2379"/>
      <c r="AK47" s="2379"/>
    </row>
    <row r="48" spans="1:37" s="2378" customFormat="1" ht="36">
      <c r="A48" s="1494" t="s">
        <v>1782</v>
      </c>
      <c r="B48" s="1499" t="str">
        <f>估价对象房地状况!C4</f>
        <v>估价对象位于XX商圈，周边商业氛围成熟，人流量大，商业繁华度好</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4" t="s">
        <v>90</v>
      </c>
      <c r="B49" s="1503" t="str">
        <f>估价对象房地状况!C18</f>
        <v>估价对象周边道路状况、公共交通通达情况、停车便捷程度，综合评价交通便捷度较好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107</v>
      </c>
      <c r="B50" s="1503">
        <f>估价对象房地状况!C19</f>
        <v>0</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1783</v>
      </c>
      <c r="B51" s="3301" t="s">
        <v>3019</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1784</v>
      </c>
      <c r="B52" s="1503">
        <f>估价对象房地状况!C24</f>
        <v>0</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1785</v>
      </c>
      <c r="B53" s="3300" t="s">
        <v>3018</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1786</v>
      </c>
      <c r="B54" s="2595" t="str">
        <f>估价对象房地状况!C21</f>
        <v>估价对象所在区域公共配套设施齐备情况</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1787</v>
      </c>
      <c r="B55" s="1503" t="str">
        <f>估价对象房地状况!C22</f>
        <v>估价对象所在区域基础设施水平</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1788</v>
      </c>
      <c r="B56" s="1508" t="str">
        <f>估价对象房地状况!C20</f>
        <v>区域自然环境：；人文环境；综合评价环境状况一般</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1162</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1779</v>
      </c>
      <c r="B58" s="1495"/>
      <c r="C58" s="1496" t="s">
        <v>1781</v>
      </c>
      <c r="D58" s="1497" t="s">
        <v>1852</v>
      </c>
      <c r="E58" s="1498" t="s">
        <v>1854</v>
      </c>
      <c r="F58" s="2600" t="s">
        <v>2289</v>
      </c>
      <c r="G58" s="1497" t="s">
        <v>1850</v>
      </c>
      <c r="H58" s="2601" t="s">
        <v>2493</v>
      </c>
      <c r="I58" s="1497" t="s">
        <v>1853</v>
      </c>
      <c r="J58" s="945" t="s">
        <v>423</v>
      </c>
      <c r="K58" s="945" t="s">
        <v>424</v>
      </c>
      <c r="L58" s="945" t="s">
        <v>425</v>
      </c>
      <c r="M58" s="945" t="s">
        <v>426</v>
      </c>
      <c r="N58" s="945" t="s">
        <v>427</v>
      </c>
      <c r="AA58" s="2379"/>
      <c r="AB58" s="2379"/>
      <c r="AC58" s="2379"/>
      <c r="AD58" s="2379"/>
      <c r="AE58" s="2379"/>
      <c r="AF58" s="2379"/>
      <c r="AG58" s="2379"/>
      <c r="AH58" s="2379"/>
      <c r="AI58" s="2379"/>
      <c r="AJ58" s="2379"/>
      <c r="AK58" s="2379"/>
    </row>
    <row r="59" spans="1:37" s="2378" customFormat="1" ht="36">
      <c r="A59" s="1494" t="s">
        <v>1093</v>
      </c>
      <c r="B59" s="1499" t="str">
        <f>估价对象房地状况!C17</f>
        <v>估价对象位于XX商圈，周边办公楼项目较多，入驻率高，办公集聚程度较好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90</v>
      </c>
      <c r="B60" s="1503" t="str">
        <f>估价对象房地状况!C18</f>
        <v>估价对象周边道路状况、公共交通通达情况、停车便捷程度，综合评价交通便捷度较好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107</v>
      </c>
      <c r="B61" s="1503">
        <f>估价对象房地状况!C19</f>
        <v>0</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1783</v>
      </c>
      <c r="B62" s="3301" t="s">
        <v>3019</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1784</v>
      </c>
      <c r="B63" s="1503">
        <f>估价对象房地状况!C24</f>
        <v>0</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1785</v>
      </c>
      <c r="B64" s="3300" t="s">
        <v>3018</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1786</v>
      </c>
      <c r="B65" s="2595" t="str">
        <f>估价对象房地状况!C21</f>
        <v>估价对象所在区域公共配套设施齐备情况</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1787</v>
      </c>
      <c r="B66" s="2595" t="str">
        <f>估价对象房地状况!C22</f>
        <v>估价对象所在区域基础设施水平</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1788</v>
      </c>
      <c r="B67" s="1512" t="str">
        <f>估价对象房地状况!C20</f>
        <v>区域自然环境：；人文环境；综合评价环境状况一般</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981</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1779</v>
      </c>
      <c r="B69" s="1495"/>
      <c r="C69" s="1496" t="s">
        <v>1781</v>
      </c>
      <c r="D69" s="1497" t="s">
        <v>1852</v>
      </c>
      <c r="E69" s="1498" t="s">
        <v>1854</v>
      </c>
      <c r="F69" s="2600" t="s">
        <v>2289</v>
      </c>
      <c r="G69" s="1497" t="s">
        <v>1850</v>
      </c>
      <c r="H69" s="2601" t="s">
        <v>2493</v>
      </c>
      <c r="I69" s="1497" t="s">
        <v>1853</v>
      </c>
      <c r="J69" s="945" t="s">
        <v>423</v>
      </c>
      <c r="K69" s="945" t="s">
        <v>424</v>
      </c>
      <c r="L69" s="945" t="s">
        <v>425</v>
      </c>
      <c r="M69" s="945" t="s">
        <v>426</v>
      </c>
      <c r="N69" s="945" t="s">
        <v>427</v>
      </c>
      <c r="AA69" s="2379"/>
      <c r="AB69" s="2379"/>
      <c r="AC69" s="2379"/>
      <c r="AD69" s="2379"/>
      <c r="AE69" s="2379"/>
      <c r="AF69" s="2379"/>
      <c r="AG69" s="2379"/>
      <c r="AH69" s="2379"/>
      <c r="AI69" s="2379"/>
      <c r="AJ69" s="2379"/>
      <c r="AK69" s="2379"/>
    </row>
    <row r="70" spans="1:37" s="2378" customFormat="1" ht="48">
      <c r="A70" s="1494" t="s">
        <v>108</v>
      </c>
      <c r="B70" s="1499" t="str">
        <f>估价对象房地状况!C15</f>
        <v>估价对象周边居住用地比例、居住小区规模和社区发展完善程度，综合评价居住社区成熟度一般</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90</v>
      </c>
      <c r="B71" s="1503" t="str">
        <f>估价对象房地状况!C18</f>
        <v>估价对象周边道路状况、公共交通通达情况、停车便捷程度，综合评价交通便捷度较好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107</v>
      </c>
      <c r="B72" s="1503">
        <f>估价对象房地状况!C19</f>
        <v>0</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1789</v>
      </c>
      <c r="B73" s="1503">
        <f>估价对象房地状况!C24</f>
        <v>0</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1786</v>
      </c>
      <c r="B74" s="2595" t="str">
        <f>估价对象房地状况!C21</f>
        <v>估价对象所在区域公共配套设施齐备情况</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1787</v>
      </c>
      <c r="B75" s="2595" t="str">
        <f>估价对象房地状况!C22</f>
        <v>估价对象所在区域基础设施水平</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1785</v>
      </c>
      <c r="B76" s="3300" t="s">
        <v>3018</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1788</v>
      </c>
      <c r="B77" s="1499" t="str">
        <f>估价对象房地状况!C20</f>
        <v>区域自然环境：；人文环境；综合评价环境状况一般</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1790</v>
      </c>
      <c r="B78" s="3299"/>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1104</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1779</v>
      </c>
      <c r="B80" s="1495"/>
      <c r="C80" s="1496" t="s">
        <v>1781</v>
      </c>
      <c r="D80" s="1497" t="s">
        <v>1852</v>
      </c>
      <c r="E80" s="1498" t="s">
        <v>1854</v>
      </c>
      <c r="F80" s="2600" t="s">
        <v>2289</v>
      </c>
      <c r="G80" s="1497" t="s">
        <v>1850</v>
      </c>
      <c r="H80" s="2601" t="s">
        <v>2493</v>
      </c>
      <c r="I80" s="1497" t="s">
        <v>1853</v>
      </c>
      <c r="J80" s="945" t="s">
        <v>423</v>
      </c>
      <c r="K80" s="945" t="s">
        <v>424</v>
      </c>
      <c r="L80" s="945" t="s">
        <v>425</v>
      </c>
      <c r="M80" s="945" t="s">
        <v>426</v>
      </c>
      <c r="N80" s="945" t="s">
        <v>427</v>
      </c>
      <c r="Z80" s="1624"/>
      <c r="AA80" s="1623"/>
      <c r="AG80" s="1622"/>
      <c r="AK80" s="1623"/>
    </row>
    <row r="81" spans="1:37" ht="36">
      <c r="A81" s="1494" t="s">
        <v>157</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90</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107</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1789</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1786</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1787</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1785</v>
      </c>
      <c r="B87" s="3300" t="s">
        <v>2491</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1791</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901" t="s">
        <v>1760</v>
      </c>
      <c r="B90" s="3901"/>
      <c r="C90" s="3901"/>
      <c r="D90" s="3901"/>
      <c r="E90" s="3901"/>
      <c r="F90" s="3901"/>
      <c r="G90" s="3901"/>
      <c r="H90" s="3901"/>
      <c r="I90" s="3901"/>
      <c r="J90" s="3901"/>
      <c r="K90" s="2604"/>
      <c r="L90" s="2604"/>
      <c r="M90" s="2604"/>
      <c r="N90" s="2604"/>
    </row>
    <row r="91" spans="1:37">
      <c r="A91" s="3903" t="s">
        <v>66</v>
      </c>
      <c r="B91" s="3903" t="s">
        <v>1761</v>
      </c>
      <c r="C91" s="1583" t="s">
        <v>1762</v>
      </c>
      <c r="D91" s="1584"/>
      <c r="E91" s="1584"/>
      <c r="F91" s="1584"/>
      <c r="G91" s="1584"/>
      <c r="H91" s="1584"/>
      <c r="I91" s="1584"/>
      <c r="J91" s="1585"/>
      <c r="K91" s="1573"/>
      <c r="L91" s="1573"/>
      <c r="M91" s="1573"/>
      <c r="N91" s="1573"/>
    </row>
    <row r="92" spans="1:37">
      <c r="A92" s="3903"/>
      <c r="B92" s="3903"/>
      <c r="C92" s="2603" t="s">
        <v>163</v>
      </c>
      <c r="D92" s="2603" t="s">
        <v>164</v>
      </c>
      <c r="E92" s="2603" t="s">
        <v>159</v>
      </c>
      <c r="F92" s="2603" t="s">
        <v>160</v>
      </c>
      <c r="G92" s="2603" t="s">
        <v>161</v>
      </c>
      <c r="H92" s="2603" t="s">
        <v>162</v>
      </c>
      <c r="I92" s="2603" t="s">
        <v>1177</v>
      </c>
      <c r="J92" s="2603" t="s">
        <v>1178</v>
      </c>
      <c r="K92" s="2603" t="s">
        <v>1179</v>
      </c>
      <c r="L92" s="2603" t="s">
        <v>1180</v>
      </c>
      <c r="M92" s="2603" t="s">
        <v>1181</v>
      </c>
      <c r="N92" s="2603" t="s">
        <v>1182</v>
      </c>
    </row>
    <row r="93" spans="1:37">
      <c r="A93" s="3904" t="s">
        <v>1763</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905"/>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905"/>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905"/>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905"/>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905"/>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905"/>
      <c r="B99" s="1586" t="s">
        <v>1764</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906"/>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904" t="s">
        <v>1765</v>
      </c>
      <c r="B101" s="1590" t="s">
        <v>91</v>
      </c>
      <c r="C101" s="1591">
        <f>$G$3</f>
        <v>2.35</v>
      </c>
      <c r="D101" s="1591">
        <f t="shared" ref="D101:N101" si="31">$G$3</f>
        <v>2.35</v>
      </c>
      <c r="E101" s="1591">
        <f t="shared" si="31"/>
        <v>2.35</v>
      </c>
      <c r="F101" s="1591">
        <f t="shared" si="31"/>
        <v>2.35</v>
      </c>
      <c r="G101" s="1591">
        <f t="shared" si="31"/>
        <v>2.35</v>
      </c>
      <c r="H101" s="1591">
        <f t="shared" si="31"/>
        <v>2.35</v>
      </c>
      <c r="I101" s="1591">
        <f t="shared" si="31"/>
        <v>2.35</v>
      </c>
      <c r="J101" s="1591">
        <f t="shared" si="31"/>
        <v>2.35</v>
      </c>
      <c r="K101" s="1591">
        <f t="shared" si="31"/>
        <v>2.35</v>
      </c>
      <c r="L101" s="1591">
        <f t="shared" si="31"/>
        <v>2.35</v>
      </c>
      <c r="M101" s="1591">
        <f t="shared" si="31"/>
        <v>2.35</v>
      </c>
      <c r="N101" s="1591">
        <f t="shared" si="31"/>
        <v>2.35</v>
      </c>
    </row>
    <row r="102" spans="1:14">
      <c r="A102" s="3905"/>
      <c r="B102" s="1586">
        <v>1</v>
      </c>
      <c r="C102" s="1587">
        <f>1.9362/C101</f>
        <v>0.82391489361702119</v>
      </c>
      <c r="D102" s="1587">
        <f>1.9362/D101</f>
        <v>0.82391489361702119</v>
      </c>
      <c r="E102" s="1587">
        <f>1.8629/E101</f>
        <v>0.79272340425531906</v>
      </c>
      <c r="F102" s="1587">
        <f>1.8629/F101</f>
        <v>0.79272340425531906</v>
      </c>
      <c r="G102" s="1587">
        <f>1.8629/G101</f>
        <v>0.79272340425531906</v>
      </c>
      <c r="H102" s="1587">
        <f>1.8629/H101</f>
        <v>0.79272340425531906</v>
      </c>
      <c r="I102" s="1587">
        <f>1.8629/I101</f>
        <v>0.79272340425531906</v>
      </c>
      <c r="J102" s="1587">
        <f>1.942/J101</f>
        <v>0.82638297872340416</v>
      </c>
      <c r="K102" s="1587">
        <f>1.942/K101</f>
        <v>0.82638297872340416</v>
      </c>
      <c r="L102" s="1587">
        <f>1.942/L101</f>
        <v>0.82638297872340416</v>
      </c>
      <c r="M102" s="1587">
        <f>1.942/M101</f>
        <v>0.82638297872340416</v>
      </c>
      <c r="N102" s="1587">
        <f>1.942/N101</f>
        <v>0.82638297872340416</v>
      </c>
    </row>
    <row r="103" spans="1:14">
      <c r="A103" s="3905"/>
      <c r="B103" s="1586">
        <v>2</v>
      </c>
      <c r="C103" s="1587">
        <f>1.4198/C101</f>
        <v>0.60417021276595739</v>
      </c>
      <c r="D103" s="1587">
        <f>1.4198/D101</f>
        <v>0.60417021276595739</v>
      </c>
      <c r="E103" s="1587">
        <f>1.3372/E101</f>
        <v>0.56902127659574464</v>
      </c>
      <c r="F103" s="1587">
        <f>1.3372/F101</f>
        <v>0.56902127659574464</v>
      </c>
      <c r="G103" s="1587">
        <f>1.3372/G101</f>
        <v>0.56902127659574464</v>
      </c>
      <c r="H103" s="1587">
        <f>1.3372/H101</f>
        <v>0.56902127659574464</v>
      </c>
      <c r="I103" s="1587">
        <f>1.3372/I101</f>
        <v>0.56902127659574464</v>
      </c>
      <c r="J103" s="1587">
        <f>1.2799/J101</f>
        <v>0.54463829787234042</v>
      </c>
      <c r="K103" s="1587">
        <f>1.2799/K101</f>
        <v>0.54463829787234042</v>
      </c>
      <c r="L103" s="1587">
        <f>1.2799/L101</f>
        <v>0.54463829787234042</v>
      </c>
      <c r="M103" s="1587">
        <f>1.2799/M101</f>
        <v>0.54463829787234042</v>
      </c>
      <c r="N103" s="1587">
        <f>1.2799/N101</f>
        <v>0.54463829787234042</v>
      </c>
    </row>
    <row r="104" spans="1:14">
      <c r="A104" s="3905"/>
      <c r="B104" s="1586">
        <v>3</v>
      </c>
      <c r="C104" s="1587">
        <f>1.1594/C101</f>
        <v>0.49336170212765956</v>
      </c>
      <c r="D104" s="1587">
        <f>1.1594/D101</f>
        <v>0.49336170212765956</v>
      </c>
      <c r="E104" s="1587">
        <f>1.0788/E101</f>
        <v>0.45906382978723403</v>
      </c>
      <c r="F104" s="1587">
        <f>1.0788/F101</f>
        <v>0.45906382978723403</v>
      </c>
      <c r="G104" s="1587">
        <f>1.0788/G101</f>
        <v>0.45906382978723403</v>
      </c>
      <c r="H104" s="1587">
        <f>1.0788/H101</f>
        <v>0.45906382978723403</v>
      </c>
      <c r="I104" s="1587">
        <f>1.0788/I101</f>
        <v>0.45906382978723403</v>
      </c>
      <c r="J104" s="1587">
        <f>1.0072/J101</f>
        <v>0.4285957446808511</v>
      </c>
      <c r="K104" s="1587">
        <f>1.0072/K101</f>
        <v>0.4285957446808511</v>
      </c>
      <c r="L104" s="1587">
        <f>1.0072/L101</f>
        <v>0.4285957446808511</v>
      </c>
      <c r="M104" s="1587">
        <f>1.0072/M101</f>
        <v>0.4285957446808511</v>
      </c>
      <c r="N104" s="1587">
        <f>1.0072/N101</f>
        <v>0.4285957446808511</v>
      </c>
    </row>
    <row r="105" spans="1:14">
      <c r="A105" s="3905"/>
      <c r="B105" s="1586">
        <v>4</v>
      </c>
      <c r="C105" s="1587">
        <f>0.9622/C101</f>
        <v>0.4094468085106383</v>
      </c>
      <c r="D105" s="1587">
        <f>0.9622/D101</f>
        <v>0.4094468085106383</v>
      </c>
      <c r="E105" s="1587">
        <f>0.8656/E101</f>
        <v>0.36834042553191487</v>
      </c>
      <c r="F105" s="1587">
        <f>0.8656/F101</f>
        <v>0.36834042553191487</v>
      </c>
      <c r="G105" s="1587">
        <f>0.8656/G101</f>
        <v>0.36834042553191487</v>
      </c>
      <c r="H105" s="1587">
        <f>0.8656/H101</f>
        <v>0.36834042553191487</v>
      </c>
      <c r="I105" s="1587">
        <f>0.8656/I101</f>
        <v>0.36834042553191487</v>
      </c>
      <c r="J105" s="1587">
        <f>0.7525/J101</f>
        <v>0.3202127659574468</v>
      </c>
      <c r="K105" s="1587">
        <f>0.7525/K101</f>
        <v>0.3202127659574468</v>
      </c>
      <c r="L105" s="1587">
        <f>0.7525/L101</f>
        <v>0.3202127659574468</v>
      </c>
      <c r="M105" s="1587">
        <f>0.7525/M101</f>
        <v>0.3202127659574468</v>
      </c>
      <c r="N105" s="1587">
        <f>0.7525/N101</f>
        <v>0.3202127659574468</v>
      </c>
    </row>
    <row r="106" spans="1:14">
      <c r="A106" s="3905"/>
      <c r="B106" s="1586">
        <v>5</v>
      </c>
      <c r="C106" s="1587">
        <f>0.8417/C101</f>
        <v>0.35817021276595745</v>
      </c>
      <c r="D106" s="1587">
        <f>0.8417/D101</f>
        <v>0.35817021276595745</v>
      </c>
      <c r="E106" s="1587">
        <f>0.7371/E101</f>
        <v>0.31365957446808507</v>
      </c>
      <c r="F106" s="1587">
        <f>0.7371/F101</f>
        <v>0.31365957446808507</v>
      </c>
      <c r="G106" s="1587">
        <f>0.7371/G101</f>
        <v>0.31365957446808507</v>
      </c>
      <c r="H106" s="1587">
        <f>0.7371/H101</f>
        <v>0.31365957446808507</v>
      </c>
      <c r="I106" s="1587">
        <f>0.7371/I101</f>
        <v>0.31365957446808507</v>
      </c>
      <c r="J106" s="1587">
        <f>0.5659/J101</f>
        <v>0.24080851063829783</v>
      </c>
      <c r="K106" s="1587">
        <f>0.5659/K101</f>
        <v>0.24080851063829783</v>
      </c>
      <c r="L106" s="1587">
        <f>0.5659/L101</f>
        <v>0.24080851063829783</v>
      </c>
      <c r="M106" s="1587">
        <f>0.5659/M101</f>
        <v>0.24080851063829783</v>
      </c>
      <c r="N106" s="1587">
        <f>0.5659/N101</f>
        <v>0.24080851063829783</v>
      </c>
    </row>
    <row r="107" spans="1:14">
      <c r="A107" s="3905"/>
      <c r="B107" s="1586">
        <v>6</v>
      </c>
      <c r="C107" s="1587">
        <f>0.7608/C101</f>
        <v>0.32374468085106384</v>
      </c>
      <c r="D107" s="1587">
        <f>0.7608/D101</f>
        <v>0.32374468085106384</v>
      </c>
      <c r="E107" s="1587">
        <f>0.6482/E101</f>
        <v>0.27582978723404256</v>
      </c>
      <c r="F107" s="1587">
        <f>0.6482/F101</f>
        <v>0.27582978723404256</v>
      </c>
      <c r="G107" s="1587">
        <f>0.6482/G101</f>
        <v>0.27582978723404256</v>
      </c>
      <c r="H107" s="1587">
        <f>0.6482/H101</f>
        <v>0.27582978723404256</v>
      </c>
      <c r="I107" s="1587">
        <f>0.6482/I101</f>
        <v>0.27582978723404256</v>
      </c>
      <c r="J107" s="1587">
        <f>0.4525/J101</f>
        <v>0.1925531914893617</v>
      </c>
      <c r="K107" s="1587">
        <f>0.4525/K101</f>
        <v>0.1925531914893617</v>
      </c>
      <c r="L107" s="1587">
        <f>0.4525/L101</f>
        <v>0.1925531914893617</v>
      </c>
      <c r="M107" s="1587">
        <f>0.4525/M101</f>
        <v>0.1925531914893617</v>
      </c>
      <c r="N107" s="1587">
        <f>0.4525/N101</f>
        <v>0.1925531914893617</v>
      </c>
    </row>
    <row r="108" spans="1:14">
      <c r="A108" s="3905"/>
      <c r="B108" s="3907" t="s">
        <v>1767</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906"/>
      <c r="B109" s="3908"/>
      <c r="C109" s="1589">
        <f>(-0.163*(C108^2)-0.59*C108+7617)*(10^(-4))/C101</f>
        <v>0.3241276595744681</v>
      </c>
      <c r="D109" s="1589">
        <f>(-0.163*(D108^2)-0.59*D108+7617)*(10^(-4))/D101</f>
        <v>0.3241276595744681</v>
      </c>
      <c r="E109" s="1589">
        <f>(-0.161*(E108^2)-7.509*E108+6533)*(10^(-4))/E101</f>
        <v>0.27799999999999997</v>
      </c>
      <c r="F109" s="1589">
        <f>(-0.161*(F108^2)-7.509*F108+6533)*(10^(-4))/F101</f>
        <v>0.27799999999999997</v>
      </c>
      <c r="G109" s="1589">
        <f>(-0.161*(G108^2)-7.509*G108+6533)*(10^(-4))/G101</f>
        <v>0.27799999999999997</v>
      </c>
      <c r="H109" s="1589">
        <f>(-0.161*(H108^2)-7.509*H108+6533)*(10^(-4))/H101</f>
        <v>0.27799999999999997</v>
      </c>
      <c r="I109" s="1589">
        <f>(-0.161*(I108^2)-7.509*I108+6533)*(10^(-4))/I101</f>
        <v>0.27799999999999997</v>
      </c>
      <c r="J109" s="1589">
        <f>(-0.214*(J108^2)-21.991*J108+4665)*(10^(-4))/J101</f>
        <v>0.19851063829787235</v>
      </c>
      <c r="K109" s="1589">
        <f>(-0.214*(K108^2)-21.991*K108+4665)*(10^(-4))/K101</f>
        <v>0.19851063829787235</v>
      </c>
      <c r="L109" s="1589">
        <f>(-0.214*(L108^2)-21.991*L108+4665)*(10^(-4))/L101</f>
        <v>0.19851063829787235</v>
      </c>
      <c r="M109" s="1589">
        <f>(-0.214*(M108^2)-21.991*M108+4665)*(10^(-4))/M101</f>
        <v>0.19851063829787235</v>
      </c>
      <c r="N109" s="1589">
        <f>(-0.214*(N108^2)-21.991*N108+4665)*(10^(-4))/N101</f>
        <v>0.19851063829787235</v>
      </c>
    </row>
    <row r="110" spans="1:14">
      <c r="A110" s="3902" t="s">
        <v>1768</v>
      </c>
      <c r="B110" s="3902"/>
      <c r="C110" s="3902"/>
      <c r="D110" s="3902"/>
      <c r="E110" s="3902"/>
      <c r="F110" s="3902"/>
      <c r="G110" s="3902"/>
      <c r="H110" s="3902"/>
      <c r="I110" s="3902"/>
      <c r="J110" s="3902"/>
      <c r="K110" s="2602"/>
      <c r="L110" s="2602"/>
      <c r="M110" s="2602"/>
      <c r="N110" s="2602"/>
    </row>
    <row r="112" spans="1:14" ht="12.75" thickBot="1"/>
    <row r="113" spans="1:13" ht="25.5" thickBot="1">
      <c r="A113" s="1599" t="s">
        <v>1770</v>
      </c>
      <c r="B113" s="2605">
        <f>G3</f>
        <v>2.35</v>
      </c>
      <c r="C113" s="1600" t="s">
        <v>1771</v>
      </c>
      <c r="D113" s="1601">
        <f>SUMPRODUCT((A115:A118=F113)*(B114:M114=H113)*B115:M118)</f>
        <v>0</v>
      </c>
      <c r="E113" s="1602" t="s">
        <v>66</v>
      </c>
      <c r="F113" s="1603">
        <f>E2</f>
        <v>0</v>
      </c>
      <c r="G113" s="1602" t="s">
        <v>1560</v>
      </c>
      <c r="H113" s="1603">
        <f>G2</f>
        <v>0</v>
      </c>
      <c r="I113" s="1602"/>
      <c r="J113" s="1594"/>
      <c r="K113" s="1594"/>
      <c r="L113" s="1594"/>
      <c r="M113" s="1594"/>
    </row>
    <row r="114" spans="1:13" ht="12.75">
      <c r="A114" s="1606"/>
      <c r="B114" s="1607" t="s">
        <v>163</v>
      </c>
      <c r="C114" s="1607" t="s">
        <v>164</v>
      </c>
      <c r="D114" s="1607" t="s">
        <v>159</v>
      </c>
      <c r="E114" s="1608" t="s">
        <v>160</v>
      </c>
      <c r="F114" s="1608" t="s">
        <v>161</v>
      </c>
      <c r="G114" s="1608" t="s">
        <v>162</v>
      </c>
      <c r="H114" s="1609" t="s">
        <v>1177</v>
      </c>
      <c r="I114" s="1609" t="s">
        <v>1178</v>
      </c>
      <c r="J114" s="1610" t="s">
        <v>1179</v>
      </c>
      <c r="K114" s="1610" t="s">
        <v>1180</v>
      </c>
      <c r="L114" s="1610" t="s">
        <v>1181</v>
      </c>
      <c r="M114" s="1611" t="s">
        <v>1182</v>
      </c>
    </row>
    <row r="115" spans="1:13" ht="12.75">
      <c r="A115" s="1612" t="s">
        <v>1772</v>
      </c>
      <c r="B115" s="1613">
        <f>ROUND(0.9335-0.0094*B113,4)</f>
        <v>0.91139999999999999</v>
      </c>
      <c r="C115" s="1613">
        <f>B115</f>
        <v>0.91139999999999999</v>
      </c>
      <c r="D115" s="1613">
        <f>ROUND(0.8331-0.0109*B113,4)</f>
        <v>0.8075</v>
      </c>
      <c r="E115" s="1613">
        <f>D115</f>
        <v>0.8075</v>
      </c>
      <c r="F115" s="1613">
        <f>E115</f>
        <v>0.8075</v>
      </c>
      <c r="G115" s="1613">
        <f>F115</f>
        <v>0.8075</v>
      </c>
      <c r="H115" s="1613">
        <f>G115</f>
        <v>0.8075</v>
      </c>
      <c r="I115" s="1613">
        <f>ROUND(0.689-0.0155*B113,4)</f>
        <v>0.65259999999999996</v>
      </c>
      <c r="J115" s="1613">
        <f t="shared" ref="J115:M118" si="33">I115</f>
        <v>0.65259999999999996</v>
      </c>
      <c r="K115" s="1613">
        <f t="shared" si="33"/>
        <v>0.65259999999999996</v>
      </c>
      <c r="L115" s="1613">
        <f t="shared" si="33"/>
        <v>0.65259999999999996</v>
      </c>
      <c r="M115" s="1614">
        <f t="shared" si="33"/>
        <v>0.65259999999999996</v>
      </c>
    </row>
    <row r="116" spans="1:13" ht="12.75">
      <c r="A116" s="1612" t="s">
        <v>1773</v>
      </c>
      <c r="B116" s="1613">
        <f>ROUND(0.949-0.012*B113,4)</f>
        <v>0.92079999999999995</v>
      </c>
      <c r="C116" s="1613">
        <f>B116</f>
        <v>0.92079999999999995</v>
      </c>
      <c r="D116" s="1613">
        <f>ROUND(0.8567-0.013*B113,4)</f>
        <v>0.82620000000000005</v>
      </c>
      <c r="E116" s="1613">
        <f t="shared" ref="E116:H117" si="34">D116</f>
        <v>0.82620000000000005</v>
      </c>
      <c r="F116" s="1613">
        <f t="shared" si="34"/>
        <v>0.82620000000000005</v>
      </c>
      <c r="G116" s="1613">
        <f t="shared" si="34"/>
        <v>0.82620000000000005</v>
      </c>
      <c r="H116" s="1613">
        <f t="shared" si="34"/>
        <v>0.82620000000000005</v>
      </c>
      <c r="I116" s="1613">
        <f>ROUND(0.7694-0.014*B113,4)</f>
        <v>0.73650000000000004</v>
      </c>
      <c r="J116" s="1613">
        <f t="shared" si="33"/>
        <v>0.73650000000000004</v>
      </c>
      <c r="K116" s="1613">
        <f t="shared" si="33"/>
        <v>0.73650000000000004</v>
      </c>
      <c r="L116" s="1613">
        <f t="shared" si="33"/>
        <v>0.73650000000000004</v>
      </c>
      <c r="M116" s="1614">
        <f t="shared" si="33"/>
        <v>0.73650000000000004</v>
      </c>
    </row>
    <row r="117" spans="1:13" ht="12.75">
      <c r="A117" s="1615" t="s">
        <v>981</v>
      </c>
      <c r="B117" s="1613">
        <f>ROUND(0.8808-0.006*B113,4)</f>
        <v>0.86670000000000003</v>
      </c>
      <c r="C117" s="1613">
        <f>B117</f>
        <v>0.86670000000000003</v>
      </c>
      <c r="D117" s="1613">
        <f>ROUND(0.8748-0.008*B113,4)</f>
        <v>0.85599999999999998</v>
      </c>
      <c r="E117" s="1613">
        <f t="shared" si="34"/>
        <v>0.85599999999999998</v>
      </c>
      <c r="F117" s="1613">
        <f t="shared" si="34"/>
        <v>0.85599999999999998</v>
      </c>
      <c r="G117" s="1613">
        <f t="shared" si="34"/>
        <v>0.85599999999999998</v>
      </c>
      <c r="H117" s="1613">
        <f t="shared" si="34"/>
        <v>0.85599999999999998</v>
      </c>
      <c r="I117" s="1613">
        <f>ROUND(0.7412-0.0095*B113,4)</f>
        <v>0.71889999999999998</v>
      </c>
      <c r="J117" s="1613">
        <f t="shared" si="33"/>
        <v>0.71889999999999998</v>
      </c>
      <c r="K117" s="1613">
        <f t="shared" si="33"/>
        <v>0.71889999999999998</v>
      </c>
      <c r="L117" s="1613">
        <f t="shared" si="33"/>
        <v>0.71889999999999998</v>
      </c>
      <c r="M117" s="1614">
        <f t="shared" si="33"/>
        <v>0.71889999999999998</v>
      </c>
    </row>
    <row r="118" spans="1:13" ht="13.5" thickBot="1">
      <c r="A118" s="1122" t="s">
        <v>1774</v>
      </c>
      <c r="B118" s="1616">
        <f>ROUND(0.7275-0.01*B113,4)</f>
        <v>0.70399999999999996</v>
      </c>
      <c r="C118" s="1616">
        <f>B118</f>
        <v>0.70399999999999996</v>
      </c>
      <c r="D118" s="1616">
        <f>ROUND(0.7043-0.012*B113,4)</f>
        <v>0.67610000000000003</v>
      </c>
      <c r="E118" s="1616">
        <f>D118</f>
        <v>0.67610000000000003</v>
      </c>
      <c r="F118" s="1616">
        <f>E118</f>
        <v>0.67610000000000003</v>
      </c>
      <c r="G118" s="1616">
        <f>ROUND(0.6299-0.0122*B113,4)</f>
        <v>0.60119999999999996</v>
      </c>
      <c r="H118" s="1616">
        <f>G118</f>
        <v>0.60119999999999996</v>
      </c>
      <c r="I118" s="1616">
        <f>ROUND(0.5667-0.0136*B113,4)</f>
        <v>0.53469999999999995</v>
      </c>
      <c r="J118" s="1616">
        <f t="shared" si="33"/>
        <v>0.53469999999999995</v>
      </c>
      <c r="K118" s="1616">
        <f t="shared" si="33"/>
        <v>0.53469999999999995</v>
      </c>
      <c r="L118" s="1616">
        <f t="shared" si="33"/>
        <v>0.53469999999999995</v>
      </c>
      <c r="M118" s="1617">
        <f t="shared" si="33"/>
        <v>0.53469999999999995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dimension ref="A1:M119"/>
  <sheetViews>
    <sheetView topLeftCell="A62"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1560</v>
      </c>
      <c r="B1" s="1518" t="s">
        <v>1171</v>
      </c>
      <c r="C1" s="1518" t="s">
        <v>1172</v>
      </c>
      <c r="D1" s="1518" t="s">
        <v>1173</v>
      </c>
      <c r="E1" s="1518" t="s">
        <v>1174</v>
      </c>
      <c r="F1" s="1518" t="s">
        <v>1175</v>
      </c>
      <c r="G1" s="1518" t="s">
        <v>1176</v>
      </c>
      <c r="H1" s="1518" t="s">
        <v>1177</v>
      </c>
      <c r="I1" s="1518" t="s">
        <v>1178</v>
      </c>
      <c r="J1" s="1518" t="s">
        <v>1179</v>
      </c>
      <c r="K1" s="1518" t="s">
        <v>1180</v>
      </c>
      <c r="L1" s="1518" t="s">
        <v>1181</v>
      </c>
      <c r="M1" s="1519" t="s">
        <v>1182</v>
      </c>
    </row>
    <row r="2" spans="1:13" ht="19.5" customHeight="1">
      <c r="A2" s="1544" t="s">
        <v>1197</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1198</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1847</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1200</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1561</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1562</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1563</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1564</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1565</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1566</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1567</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1568</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1569</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1570</v>
      </c>
      <c r="B16" s="1563"/>
      <c r="C16" s="1564"/>
      <c r="D16" s="1564"/>
      <c r="E16" s="1563"/>
      <c r="F16" s="1564"/>
      <c r="G16" s="1564"/>
    </row>
    <row r="17" spans="1:9" ht="19.5" customHeight="1">
      <c r="A17" s="1495" t="s">
        <v>1571</v>
      </c>
      <c r="B17" s="1566" t="s">
        <v>1572</v>
      </c>
      <c r="C17" s="1747" t="s">
        <v>1870</v>
      </c>
      <c r="D17" s="1567"/>
      <c r="E17" s="1495" t="s">
        <v>1573</v>
      </c>
      <c r="F17" s="1568"/>
      <c r="G17" s="1568"/>
    </row>
    <row r="18" spans="1:9" s="1574" customFormat="1" ht="19.5" customHeight="1">
      <c r="A18" s="3903" t="s">
        <v>1197</v>
      </c>
      <c r="B18" s="1569" t="s">
        <v>1574</v>
      </c>
      <c r="C18" s="1570" t="s">
        <v>1575</v>
      </c>
      <c r="D18" s="1571"/>
      <c r="E18" s="1569">
        <v>1</v>
      </c>
      <c r="F18" s="1572" t="s">
        <v>1576</v>
      </c>
      <c r="G18" s="1573"/>
      <c r="H18" s="1565"/>
      <c r="I18" s="1565"/>
    </row>
    <row r="19" spans="1:9" s="1574" customFormat="1" ht="19.5" customHeight="1">
      <c r="A19" s="3903"/>
      <c r="B19" s="3903" t="s">
        <v>1577</v>
      </c>
      <c r="C19" s="1570" t="s">
        <v>1578</v>
      </c>
      <c r="D19" s="1571"/>
      <c r="E19" s="1569">
        <v>0.9</v>
      </c>
      <c r="F19" s="1572" t="s">
        <v>1579</v>
      </c>
      <c r="G19" s="1573"/>
      <c r="H19" s="1565"/>
      <c r="I19" s="1565"/>
    </row>
    <row r="20" spans="1:9" s="1574" customFormat="1" ht="19.5" customHeight="1">
      <c r="A20" s="3903"/>
      <c r="B20" s="3903"/>
      <c r="C20" s="1570" t="s">
        <v>1580</v>
      </c>
      <c r="D20" s="1571"/>
      <c r="E20" s="1569">
        <v>1.1000000000000001</v>
      </c>
      <c r="F20" s="1572" t="s">
        <v>1581</v>
      </c>
      <c r="G20" s="1573"/>
      <c r="H20" s="1565"/>
      <c r="I20" s="1565"/>
    </row>
    <row r="21" spans="1:9" s="1574" customFormat="1" ht="19.5" customHeight="1">
      <c r="A21" s="3903"/>
      <c r="B21" s="3903"/>
      <c r="C21" s="1570" t="s">
        <v>1582</v>
      </c>
      <c r="D21" s="1571"/>
      <c r="E21" s="1569">
        <v>0.8</v>
      </c>
      <c r="F21" s="1572" t="s">
        <v>1583</v>
      </c>
      <c r="G21" s="1573"/>
      <c r="H21" s="1565"/>
      <c r="I21" s="1565"/>
    </row>
    <row r="22" spans="1:9" s="1574" customFormat="1" ht="19.5" customHeight="1">
      <c r="A22" s="3903"/>
      <c r="B22" s="3903"/>
      <c r="C22" s="1570" t="s">
        <v>1584</v>
      </c>
      <c r="D22" s="1571"/>
      <c r="E22" s="1569">
        <v>0.5</v>
      </c>
      <c r="F22" s="1572"/>
      <c r="G22" s="1573"/>
      <c r="H22" s="1565"/>
      <c r="I22" s="1565"/>
    </row>
    <row r="23" spans="1:9" s="1574" customFormat="1" ht="19.5" customHeight="1">
      <c r="A23" s="3903" t="s">
        <v>1198</v>
      </c>
      <c r="B23" s="1569" t="s">
        <v>1574</v>
      </c>
      <c r="C23" s="1570" t="s">
        <v>1585</v>
      </c>
      <c r="D23" s="1571"/>
      <c r="E23" s="1569">
        <v>1</v>
      </c>
      <c r="F23" s="1572" t="s">
        <v>1586</v>
      </c>
      <c r="G23" s="1573"/>
      <c r="H23" s="1565"/>
      <c r="I23" s="1565"/>
    </row>
    <row r="24" spans="1:9" s="1574" customFormat="1" ht="19.5" customHeight="1">
      <c r="A24" s="3903"/>
      <c r="B24" s="3903" t="s">
        <v>1577</v>
      </c>
      <c r="C24" s="1570" t="s">
        <v>1587</v>
      </c>
      <c r="D24" s="1571"/>
      <c r="E24" s="1569">
        <v>0.5</v>
      </c>
      <c r="F24" s="1572"/>
      <c r="G24" s="1573"/>
      <c r="H24" s="1565"/>
      <c r="I24" s="1565"/>
    </row>
    <row r="25" spans="1:9" s="1574" customFormat="1" ht="19.5" customHeight="1">
      <c r="A25" s="3903"/>
      <c r="B25" s="3903"/>
      <c r="C25" s="1570" t="s">
        <v>1588</v>
      </c>
      <c r="D25" s="1571"/>
      <c r="E25" s="1569">
        <v>1.1000000000000001</v>
      </c>
      <c r="F25" s="1572"/>
      <c r="G25" s="1573"/>
      <c r="H25" s="1565"/>
      <c r="I25" s="1565"/>
    </row>
    <row r="26" spans="1:9" s="1574" customFormat="1" ht="19.5" customHeight="1">
      <c r="A26" s="3903"/>
      <c r="B26" s="3903"/>
      <c r="C26" s="1570" t="s">
        <v>1589</v>
      </c>
      <c r="D26" s="1571"/>
      <c r="E26" s="1569">
        <v>1.1000000000000001</v>
      </c>
      <c r="F26" s="1572"/>
      <c r="G26" s="1573"/>
      <c r="H26" s="1565"/>
      <c r="I26" s="1565"/>
    </row>
    <row r="27" spans="1:9" s="1574" customFormat="1" ht="19.5" customHeight="1">
      <c r="A27" s="3903"/>
      <c r="B27" s="3903"/>
      <c r="C27" s="1570" t="s">
        <v>1590</v>
      </c>
      <c r="D27" s="1571"/>
      <c r="E27" s="1569">
        <v>0.9</v>
      </c>
      <c r="F27" s="1572" t="s">
        <v>1591</v>
      </c>
      <c r="G27" s="1573"/>
      <c r="H27" s="1565"/>
      <c r="I27" s="1565"/>
    </row>
    <row r="28" spans="1:9" s="1574" customFormat="1" ht="19.5" customHeight="1">
      <c r="A28" s="3903"/>
      <c r="B28" s="3903"/>
      <c r="C28" s="1570" t="s">
        <v>1592</v>
      </c>
      <c r="D28" s="1571"/>
      <c r="E28" s="1569">
        <v>0.9</v>
      </c>
      <c r="F28" s="1572" t="s">
        <v>1593</v>
      </c>
      <c r="G28" s="1573"/>
      <c r="H28" s="1565"/>
      <c r="I28" s="1565"/>
    </row>
    <row r="29" spans="1:9" s="1574" customFormat="1" ht="19.5" customHeight="1">
      <c r="A29" s="3903"/>
      <c r="B29" s="3903"/>
      <c r="C29" s="1570" t="s">
        <v>1594</v>
      </c>
      <c r="D29" s="1571"/>
      <c r="E29" s="1569">
        <v>0.9</v>
      </c>
      <c r="F29" s="1572" t="s">
        <v>1595</v>
      </c>
      <c r="G29" s="1573"/>
      <c r="H29" s="1565"/>
      <c r="I29" s="1565"/>
    </row>
    <row r="30" spans="1:9" s="1574" customFormat="1" ht="19.5" customHeight="1">
      <c r="A30" s="3903"/>
      <c r="B30" s="3903"/>
      <c r="C30" s="1570" t="s">
        <v>1596</v>
      </c>
      <c r="D30" s="1571"/>
      <c r="E30" s="1569">
        <v>0.9</v>
      </c>
      <c r="F30" s="1572" t="s">
        <v>1597</v>
      </c>
      <c r="G30" s="1573"/>
      <c r="H30" s="1565"/>
      <c r="I30" s="1565"/>
    </row>
    <row r="31" spans="1:9" s="1574" customFormat="1" ht="19.5" customHeight="1">
      <c r="A31" s="3903"/>
      <c r="B31" s="3903"/>
      <c r="C31" s="1570" t="s">
        <v>1598</v>
      </c>
      <c r="D31" s="1571"/>
      <c r="E31" s="1569">
        <v>0.8</v>
      </c>
      <c r="F31" s="1572" t="s">
        <v>1599</v>
      </c>
      <c r="G31" s="1573"/>
      <c r="H31" s="1565"/>
      <c r="I31" s="1565"/>
    </row>
    <row r="32" spans="1:9" s="1574" customFormat="1" ht="19.5" customHeight="1">
      <c r="A32" s="3903"/>
      <c r="B32" s="3903"/>
      <c r="C32" s="1570" t="s">
        <v>1600</v>
      </c>
      <c r="D32" s="1571"/>
      <c r="E32" s="1569">
        <v>0.8</v>
      </c>
      <c r="F32" s="1572" t="s">
        <v>1601</v>
      </c>
      <c r="G32" s="1573"/>
      <c r="H32" s="1565"/>
      <c r="I32" s="1565"/>
    </row>
    <row r="33" spans="1:9" s="1574" customFormat="1" ht="19.5" customHeight="1">
      <c r="A33" s="3903" t="s">
        <v>1199</v>
      </c>
      <c r="B33" s="1569" t="s">
        <v>1574</v>
      </c>
      <c r="C33" s="1570" t="s">
        <v>1602</v>
      </c>
      <c r="D33" s="1571"/>
      <c r="E33" s="1569">
        <v>1</v>
      </c>
      <c r="F33" s="1572" t="s">
        <v>1603</v>
      </c>
      <c r="G33" s="1573"/>
      <c r="H33" s="1565"/>
      <c r="I33" s="1565"/>
    </row>
    <row r="34" spans="1:9" s="1574" customFormat="1" ht="19.5" customHeight="1">
      <c r="A34" s="3903"/>
      <c r="B34" s="1569" t="s">
        <v>1577</v>
      </c>
      <c r="C34" s="1570" t="s">
        <v>1604</v>
      </c>
      <c r="D34" s="1571"/>
      <c r="E34" s="1569">
        <v>1.5</v>
      </c>
      <c r="F34" s="1572" t="s">
        <v>1605</v>
      </c>
      <c r="G34" s="1573"/>
      <c r="H34" s="1565"/>
      <c r="I34" s="1565"/>
    </row>
    <row r="35" spans="1:9" s="1574" customFormat="1" ht="19.5" customHeight="1">
      <c r="A35" s="3903" t="s">
        <v>1200</v>
      </c>
      <c r="B35" s="1569" t="s">
        <v>1574</v>
      </c>
      <c r="C35" s="1570" t="s">
        <v>1606</v>
      </c>
      <c r="D35" s="1571"/>
      <c r="E35" s="1569">
        <v>1</v>
      </c>
      <c r="F35" s="1572" t="s">
        <v>1607</v>
      </c>
      <c r="G35" s="1573"/>
      <c r="H35" s="1565"/>
      <c r="I35" s="1565"/>
    </row>
    <row r="36" spans="1:9" s="1574" customFormat="1" ht="19.5" customHeight="1">
      <c r="A36" s="3903"/>
      <c r="B36" s="3903" t="s">
        <v>1577</v>
      </c>
      <c r="C36" s="1570" t="s">
        <v>1608</v>
      </c>
      <c r="D36" s="1571"/>
      <c r="E36" s="1569">
        <v>1</v>
      </c>
      <c r="F36" s="1572" t="s">
        <v>1609</v>
      </c>
      <c r="G36" s="1573"/>
      <c r="H36" s="1565"/>
      <c r="I36" s="1565"/>
    </row>
    <row r="37" spans="1:9" s="1574" customFormat="1" ht="19.5" customHeight="1">
      <c r="A37" s="3903"/>
      <c r="B37" s="3903"/>
      <c r="C37" s="1570" t="s">
        <v>1610</v>
      </c>
      <c r="D37" s="1571"/>
      <c r="E37" s="1569">
        <v>1.5</v>
      </c>
      <c r="F37" s="1572" t="s">
        <v>1611</v>
      </c>
      <c r="G37" s="1573"/>
      <c r="H37" s="1565"/>
      <c r="I37" s="1565"/>
    </row>
    <row r="38" spans="1:9" s="1574" customFormat="1" ht="19.5" customHeight="1">
      <c r="A38" s="3903"/>
      <c r="B38" s="3903"/>
      <c r="C38" s="1570" t="s">
        <v>1612</v>
      </c>
      <c r="D38" s="1571"/>
      <c r="E38" s="1569">
        <v>1</v>
      </c>
      <c r="F38" s="1572" t="s">
        <v>1613</v>
      </c>
      <c r="G38" s="1573"/>
      <c r="H38" s="1565"/>
      <c r="I38" s="1565"/>
    </row>
    <row r="39" spans="1:9" s="1574" customFormat="1" ht="19.5" customHeight="1">
      <c r="A39" s="3903"/>
      <c r="B39" s="3903"/>
      <c r="C39" s="1570" t="s">
        <v>1614</v>
      </c>
      <c r="D39" s="1571"/>
      <c r="E39" s="1569">
        <v>1</v>
      </c>
      <c r="F39" s="1572" t="s">
        <v>1615</v>
      </c>
      <c r="G39" s="1573"/>
      <c r="H39" s="1565"/>
      <c r="I39" s="1565"/>
    </row>
    <row r="40" spans="1:9" s="1574" customFormat="1" ht="19.5" customHeight="1">
      <c r="A40" s="1575" t="s">
        <v>1616</v>
      </c>
      <c r="B40" s="1575"/>
      <c r="C40" s="1575"/>
      <c r="D40" s="1575"/>
      <c r="E40" s="1575"/>
      <c r="F40" s="1576"/>
      <c r="G40" s="1576"/>
      <c r="H40" s="1565"/>
      <c r="I40" s="1565"/>
    </row>
    <row r="42" spans="1:9" ht="19.5" customHeight="1">
      <c r="A42" s="1577"/>
      <c r="B42" s="1495" t="s">
        <v>1617</v>
      </c>
      <c r="C42" s="1495" t="s">
        <v>1617</v>
      </c>
      <c r="D42" s="1495" t="s">
        <v>1617</v>
      </c>
      <c r="E42" s="1506" t="s">
        <v>1617</v>
      </c>
      <c r="F42" s="1506" t="s">
        <v>1617</v>
      </c>
      <c r="G42" s="1506" t="s">
        <v>1618</v>
      </c>
      <c r="H42" s="1506" t="s">
        <v>1617</v>
      </c>
    </row>
    <row r="43" spans="1:9" ht="19.5" customHeight="1">
      <c r="A43" s="1578"/>
      <c r="B43" s="1506" t="s">
        <v>1197</v>
      </c>
      <c r="C43" s="1506" t="s">
        <v>1197</v>
      </c>
      <c r="D43" s="1506" t="s">
        <v>1197</v>
      </c>
      <c r="E43" s="1506" t="s">
        <v>1197</v>
      </c>
      <c r="F43" s="1495" t="s">
        <v>1198</v>
      </c>
      <c r="G43" s="1495" t="s">
        <v>1200</v>
      </c>
      <c r="H43" s="1495" t="s">
        <v>1619</v>
      </c>
    </row>
    <row r="44" spans="1:9" ht="19.5" customHeight="1">
      <c r="A44" s="1579"/>
      <c r="B44" s="1495">
        <v>1</v>
      </c>
      <c r="C44" s="1495">
        <v>2</v>
      </c>
      <c r="D44" s="1495">
        <v>3</v>
      </c>
      <c r="E44" s="1506">
        <v>4</v>
      </c>
      <c r="F44" s="1567" t="s">
        <v>1620</v>
      </c>
      <c r="G44" s="1567" t="s">
        <v>1620</v>
      </c>
      <c r="H44" s="1567" t="s">
        <v>1620</v>
      </c>
    </row>
    <row r="45" spans="1:9" ht="19.5" customHeight="1">
      <c r="A45" s="1580" t="s">
        <v>1171</v>
      </c>
      <c r="B45" s="1495">
        <v>0.8</v>
      </c>
      <c r="C45" s="1495">
        <v>0.5</v>
      </c>
      <c r="D45" s="1495">
        <v>0.36</v>
      </c>
      <c r="E45" s="1495">
        <v>0.3</v>
      </c>
      <c r="F45" s="1567">
        <v>0.3</v>
      </c>
      <c r="G45" s="1495">
        <v>0.3</v>
      </c>
      <c r="H45" s="1495">
        <v>0.25</v>
      </c>
    </row>
    <row r="46" spans="1:9" ht="19.5" customHeight="1">
      <c r="A46" s="1580" t="s">
        <v>1172</v>
      </c>
      <c r="B46" s="1495">
        <v>0.8</v>
      </c>
      <c r="C46" s="1495">
        <v>0.5</v>
      </c>
      <c r="D46" s="1495">
        <v>0.36</v>
      </c>
      <c r="E46" s="1495">
        <v>0.3</v>
      </c>
      <c r="F46" s="1495">
        <v>0.3</v>
      </c>
      <c r="G46" s="1495">
        <v>0.3</v>
      </c>
      <c r="H46" s="1495">
        <v>0.25</v>
      </c>
    </row>
    <row r="47" spans="1:9" ht="19.5" customHeight="1">
      <c r="A47" s="1580" t="s">
        <v>1173</v>
      </c>
      <c r="B47" s="1495">
        <v>0.7</v>
      </c>
      <c r="C47" s="1495">
        <v>0.4</v>
      </c>
      <c r="D47" s="1495">
        <v>0.28000000000000003</v>
      </c>
      <c r="E47" s="1495">
        <v>0.25</v>
      </c>
      <c r="F47" s="1495">
        <v>0.25</v>
      </c>
      <c r="G47" s="1495">
        <v>0.25</v>
      </c>
      <c r="H47" s="1495">
        <v>0.2</v>
      </c>
    </row>
    <row r="48" spans="1:9" ht="19.5" customHeight="1">
      <c r="A48" s="1580" t="s">
        <v>1174</v>
      </c>
      <c r="B48" s="1495">
        <v>0.7</v>
      </c>
      <c r="C48" s="1495">
        <v>0.4</v>
      </c>
      <c r="D48" s="1495">
        <v>0.28000000000000003</v>
      </c>
      <c r="E48" s="1495">
        <v>0.25</v>
      </c>
      <c r="F48" s="1495">
        <v>0.25</v>
      </c>
      <c r="G48" s="1495">
        <v>0.25</v>
      </c>
      <c r="H48" s="1495">
        <v>0.2</v>
      </c>
    </row>
    <row r="49" spans="1:8" s="1565" customFormat="1" ht="19.5" customHeight="1">
      <c r="A49" s="1580" t="s">
        <v>1175</v>
      </c>
      <c r="B49" s="1495">
        <v>0.7</v>
      </c>
      <c r="C49" s="1495">
        <v>0.4</v>
      </c>
      <c r="D49" s="1495">
        <v>0.28000000000000003</v>
      </c>
      <c r="E49" s="1495">
        <v>0.25</v>
      </c>
      <c r="F49" s="1495">
        <v>0.25</v>
      </c>
      <c r="G49" s="1495">
        <v>0.25</v>
      </c>
      <c r="H49" s="1495">
        <v>0.2</v>
      </c>
    </row>
    <row r="50" spans="1:8" s="1565" customFormat="1" ht="19.5" customHeight="1">
      <c r="A50" s="1580" t="s">
        <v>1176</v>
      </c>
      <c r="B50" s="1495">
        <v>0.7</v>
      </c>
      <c r="C50" s="1495">
        <v>0.4</v>
      </c>
      <c r="D50" s="1495">
        <v>0.28000000000000003</v>
      </c>
      <c r="E50" s="1495">
        <v>0.25</v>
      </c>
      <c r="F50" s="1495">
        <v>0.25</v>
      </c>
      <c r="G50" s="1495">
        <v>0.25</v>
      </c>
      <c r="H50" s="1495">
        <v>0.2</v>
      </c>
    </row>
    <row r="51" spans="1:8" s="1565" customFormat="1" ht="19.5" customHeight="1">
      <c r="A51" s="1580" t="s">
        <v>1177</v>
      </c>
      <c r="B51" s="1495">
        <v>0.7</v>
      </c>
      <c r="C51" s="1495">
        <v>0.4</v>
      </c>
      <c r="D51" s="1495">
        <v>0.28000000000000003</v>
      </c>
      <c r="E51" s="1495">
        <v>0.25</v>
      </c>
      <c r="F51" s="1495">
        <v>0.25</v>
      </c>
      <c r="G51" s="1495">
        <v>0.25</v>
      </c>
      <c r="H51" s="1495">
        <v>0.2</v>
      </c>
    </row>
    <row r="52" spans="1:8" s="1565" customFormat="1" ht="19.5" customHeight="1">
      <c r="A52" s="1580" t="s">
        <v>1178</v>
      </c>
      <c r="B52" s="1495">
        <v>0.6</v>
      </c>
      <c r="C52" s="1495">
        <v>0.3</v>
      </c>
      <c r="D52" s="1495">
        <v>0.2</v>
      </c>
      <c r="E52" s="1495">
        <v>0.2</v>
      </c>
      <c r="F52" s="1495">
        <v>0.2</v>
      </c>
      <c r="G52" s="1495">
        <v>0.2</v>
      </c>
      <c r="H52" s="1495">
        <v>0.15</v>
      </c>
    </row>
    <row r="53" spans="1:8" s="1565" customFormat="1" ht="19.5" customHeight="1">
      <c r="A53" s="1580" t="s">
        <v>1179</v>
      </c>
      <c r="B53" s="1495">
        <v>0.6</v>
      </c>
      <c r="C53" s="1495">
        <v>0.3</v>
      </c>
      <c r="D53" s="1495">
        <v>0.2</v>
      </c>
      <c r="E53" s="1495">
        <v>0.2</v>
      </c>
      <c r="F53" s="1495">
        <v>0.2</v>
      </c>
      <c r="G53" s="1495">
        <v>0.2</v>
      </c>
      <c r="H53" s="1495">
        <v>0.15</v>
      </c>
    </row>
    <row r="54" spans="1:8" s="1565" customFormat="1" ht="19.5" customHeight="1">
      <c r="A54" s="1580" t="s">
        <v>1180</v>
      </c>
      <c r="B54" s="1495">
        <v>0.6</v>
      </c>
      <c r="C54" s="1495">
        <v>0.3</v>
      </c>
      <c r="D54" s="1495">
        <v>0.2</v>
      </c>
      <c r="E54" s="1495">
        <v>0.2</v>
      </c>
      <c r="F54" s="1495">
        <v>0.2</v>
      </c>
      <c r="G54" s="1495">
        <v>0.2</v>
      </c>
      <c r="H54" s="1495">
        <v>0.15</v>
      </c>
    </row>
    <row r="55" spans="1:8" s="1565" customFormat="1" ht="19.5" customHeight="1">
      <c r="A55" s="1580" t="s">
        <v>1181</v>
      </c>
      <c r="B55" s="1495">
        <v>0.6</v>
      </c>
      <c r="C55" s="1495">
        <v>0.3</v>
      </c>
      <c r="D55" s="1495">
        <v>0.2</v>
      </c>
      <c r="E55" s="1495">
        <v>0.2</v>
      </c>
      <c r="F55" s="1495">
        <v>0.2</v>
      </c>
      <c r="G55" s="1495">
        <v>0.2</v>
      </c>
      <c r="H55" s="1495">
        <v>0.15</v>
      </c>
    </row>
    <row r="56" spans="1:8" s="1565" customFormat="1" ht="19.5" customHeight="1">
      <c r="A56" s="1580" t="s">
        <v>1182</v>
      </c>
      <c r="B56" s="1495">
        <v>0.6</v>
      </c>
      <c r="C56" s="1495">
        <v>0.3</v>
      </c>
      <c r="D56" s="1495">
        <v>0.2</v>
      </c>
      <c r="E56" s="1495">
        <v>0.2</v>
      </c>
      <c r="F56" s="1495">
        <v>0.2</v>
      </c>
      <c r="G56" s="1495">
        <v>0.2</v>
      </c>
      <c r="H56" s="1495">
        <v>0.15</v>
      </c>
    </row>
    <row r="58" spans="1:8" s="1565" customFormat="1" ht="19.5" customHeight="1">
      <c r="A58" s="1581"/>
      <c r="B58" s="1563"/>
      <c r="C58" s="1563"/>
      <c r="D58" s="1563" t="s">
        <v>1621</v>
      </c>
      <c r="E58" s="1563"/>
      <c r="F58" s="1563"/>
    </row>
    <row r="59" spans="1:8" s="1565" customFormat="1" ht="19.5" customHeight="1">
      <c r="A59" s="1569" t="s">
        <v>1622</v>
      </c>
      <c r="B59" s="1569" t="s">
        <v>1623</v>
      </c>
      <c r="C59" s="1569" t="s">
        <v>1624</v>
      </c>
      <c r="D59" s="1569" t="s">
        <v>1625</v>
      </c>
      <c r="E59" s="1569" t="s">
        <v>1626</v>
      </c>
      <c r="F59" s="1569" t="s">
        <v>1627</v>
      </c>
    </row>
    <row r="60" spans="1:8" ht="13.5">
      <c r="A60" s="1764"/>
      <c r="B60" s="1764"/>
      <c r="C60" s="1764" t="s">
        <v>1759</v>
      </c>
      <c r="D60" s="1764"/>
      <c r="E60" s="1582" t="s">
        <v>23</v>
      </c>
      <c r="F60" s="1764" t="s">
        <v>23</v>
      </c>
    </row>
    <row r="61" spans="1:8" s="1565" customFormat="1" ht="24">
      <c r="A61" s="1569">
        <v>1</v>
      </c>
      <c r="B61" s="3903" t="s">
        <v>1628</v>
      </c>
      <c r="C61" s="1495" t="s">
        <v>1629</v>
      </c>
      <c r="D61" s="1495" t="s">
        <v>1630</v>
      </c>
      <c r="E61" s="1582">
        <v>0.5</v>
      </c>
      <c r="F61" s="1569">
        <v>80</v>
      </c>
    </row>
    <row r="62" spans="1:8" s="1565" customFormat="1" ht="24">
      <c r="A62" s="1569">
        <v>2</v>
      </c>
      <c r="B62" s="3903"/>
      <c r="C62" s="1495" t="s">
        <v>1631</v>
      </c>
      <c r="D62" s="1495" t="s">
        <v>1632</v>
      </c>
      <c r="E62" s="1582">
        <v>0.5</v>
      </c>
      <c r="F62" s="1569">
        <v>80</v>
      </c>
    </row>
    <row r="63" spans="1:8" s="1565" customFormat="1" ht="36">
      <c r="A63" s="1569">
        <v>3</v>
      </c>
      <c r="B63" s="3903"/>
      <c r="C63" s="1495" t="s">
        <v>1633</v>
      </c>
      <c r="D63" s="1495" t="s">
        <v>1634</v>
      </c>
      <c r="E63" s="1582">
        <v>0.5</v>
      </c>
      <c r="F63" s="1569">
        <v>80</v>
      </c>
    </row>
    <row r="64" spans="1:8" s="1565" customFormat="1" ht="36">
      <c r="A64" s="1569">
        <v>4</v>
      </c>
      <c r="B64" s="3903"/>
      <c r="C64" s="1495" t="s">
        <v>1635</v>
      </c>
      <c r="D64" s="1495" t="s">
        <v>1636</v>
      </c>
      <c r="E64" s="1582">
        <v>0.4</v>
      </c>
      <c r="F64" s="1569">
        <v>60</v>
      </c>
    </row>
    <row r="65" spans="1:6" s="1565" customFormat="1" ht="36">
      <c r="A65" s="1569">
        <v>5</v>
      </c>
      <c r="B65" s="3903"/>
      <c r="C65" s="1495" t="s">
        <v>1637</v>
      </c>
      <c r="D65" s="1495" t="s">
        <v>1638</v>
      </c>
      <c r="E65" s="1582">
        <v>0.2</v>
      </c>
      <c r="F65" s="1569">
        <v>30</v>
      </c>
    </row>
    <row r="66" spans="1:6" s="1565" customFormat="1" ht="36">
      <c r="A66" s="1569">
        <v>6</v>
      </c>
      <c r="B66" s="3903"/>
      <c r="C66" s="1495" t="s">
        <v>1639</v>
      </c>
      <c r="D66" s="1495" t="s">
        <v>1640</v>
      </c>
      <c r="E66" s="1582">
        <v>0.3</v>
      </c>
      <c r="F66" s="1569">
        <v>50</v>
      </c>
    </row>
    <row r="67" spans="1:6" s="1565" customFormat="1" ht="36">
      <c r="A67" s="1569">
        <v>7</v>
      </c>
      <c r="B67" s="3903"/>
      <c r="C67" s="1495" t="s">
        <v>1641</v>
      </c>
      <c r="D67" s="1495" t="s">
        <v>1642</v>
      </c>
      <c r="E67" s="1582">
        <v>0.2</v>
      </c>
      <c r="F67" s="1569">
        <v>30</v>
      </c>
    </row>
    <row r="68" spans="1:6" s="1565" customFormat="1" ht="36">
      <c r="A68" s="1569">
        <v>8</v>
      </c>
      <c r="B68" s="3903"/>
      <c r="C68" s="1495" t="s">
        <v>1643</v>
      </c>
      <c r="D68" s="1495" t="s">
        <v>1644</v>
      </c>
      <c r="E68" s="1582">
        <v>0.2</v>
      </c>
      <c r="F68" s="1569">
        <v>30</v>
      </c>
    </row>
    <row r="69" spans="1:6" s="1565" customFormat="1" ht="36">
      <c r="A69" s="1569">
        <v>9</v>
      </c>
      <c r="B69" s="3903"/>
      <c r="C69" s="1495" t="s">
        <v>1645</v>
      </c>
      <c r="D69" s="1495" t="s">
        <v>1646</v>
      </c>
      <c r="E69" s="1582">
        <v>0.2</v>
      </c>
      <c r="F69" s="1569">
        <v>30</v>
      </c>
    </row>
    <row r="70" spans="1:6" s="1565" customFormat="1" ht="48">
      <c r="A70" s="1569">
        <v>10</v>
      </c>
      <c r="B70" s="3903"/>
      <c r="C70" s="1495" t="s">
        <v>1647</v>
      </c>
      <c r="D70" s="1495" t="s">
        <v>1648</v>
      </c>
      <c r="E70" s="1582">
        <v>0.2</v>
      </c>
      <c r="F70" s="1569">
        <v>30</v>
      </c>
    </row>
    <row r="71" spans="1:6" s="1565" customFormat="1" ht="48">
      <c r="A71" s="1569">
        <v>11</v>
      </c>
      <c r="B71" s="3903"/>
      <c r="C71" s="1495" t="s">
        <v>1649</v>
      </c>
      <c r="D71" s="1495" t="s">
        <v>1650</v>
      </c>
      <c r="E71" s="1582">
        <v>0.2</v>
      </c>
      <c r="F71" s="1569">
        <v>30</v>
      </c>
    </row>
    <row r="72" spans="1:6" s="1565" customFormat="1" ht="36">
      <c r="A72" s="1569">
        <v>12</v>
      </c>
      <c r="B72" s="3903"/>
      <c r="C72" s="1495" t="s">
        <v>1651</v>
      </c>
      <c r="D72" s="1495" t="s">
        <v>1652</v>
      </c>
      <c r="E72" s="1582">
        <v>0.5</v>
      </c>
      <c r="F72" s="1569">
        <v>80</v>
      </c>
    </row>
    <row r="73" spans="1:6" s="1565" customFormat="1" ht="24">
      <c r="A73" s="1569">
        <v>13</v>
      </c>
      <c r="B73" s="3903"/>
      <c r="C73" s="1495" t="s">
        <v>1653</v>
      </c>
      <c r="D73" s="1495" t="s">
        <v>1654</v>
      </c>
      <c r="E73" s="1582">
        <v>0.4</v>
      </c>
      <c r="F73" s="1569">
        <v>60</v>
      </c>
    </row>
    <row r="74" spans="1:6" s="1565" customFormat="1" ht="24">
      <c r="A74" s="1569">
        <v>14</v>
      </c>
      <c r="B74" s="3903"/>
      <c r="C74" s="1495" t="s">
        <v>1655</v>
      </c>
      <c r="D74" s="1495" t="s">
        <v>1656</v>
      </c>
      <c r="E74" s="1582">
        <v>0.2</v>
      </c>
      <c r="F74" s="1569">
        <v>30</v>
      </c>
    </row>
    <row r="75" spans="1:6" s="1565" customFormat="1" ht="24">
      <c r="A75" s="1569">
        <v>15</v>
      </c>
      <c r="B75" s="3903"/>
      <c r="C75" s="1495" t="s">
        <v>1657</v>
      </c>
      <c r="D75" s="1495" t="s">
        <v>1658</v>
      </c>
      <c r="E75" s="1582">
        <v>0.2</v>
      </c>
      <c r="F75" s="1569">
        <v>30</v>
      </c>
    </row>
    <row r="76" spans="1:6" s="1565" customFormat="1" ht="24">
      <c r="A76" s="1569">
        <v>16</v>
      </c>
      <c r="B76" s="3903" t="s">
        <v>1659</v>
      </c>
      <c r="C76" s="1495" t="s">
        <v>1660</v>
      </c>
      <c r="D76" s="1495" t="s">
        <v>1661</v>
      </c>
      <c r="E76" s="1582">
        <v>0.5</v>
      </c>
      <c r="F76" s="1569">
        <v>80</v>
      </c>
    </row>
    <row r="77" spans="1:6" s="1565" customFormat="1" ht="24">
      <c r="A77" s="1569">
        <v>17</v>
      </c>
      <c r="B77" s="3903"/>
      <c r="C77" s="1495" t="s">
        <v>1662</v>
      </c>
      <c r="D77" s="1495" t="s">
        <v>1663</v>
      </c>
      <c r="E77" s="1582">
        <v>0.5</v>
      </c>
      <c r="F77" s="1569">
        <v>80</v>
      </c>
    </row>
    <row r="78" spans="1:6" s="1565" customFormat="1" ht="24">
      <c r="A78" s="1569">
        <v>18</v>
      </c>
      <c r="B78" s="3903"/>
      <c r="C78" s="1495" t="s">
        <v>1664</v>
      </c>
      <c r="D78" s="1495" t="s">
        <v>1665</v>
      </c>
      <c r="E78" s="1582">
        <v>0.2</v>
      </c>
      <c r="F78" s="1569">
        <v>30</v>
      </c>
    </row>
    <row r="79" spans="1:6" s="1565" customFormat="1" ht="24">
      <c r="A79" s="1569">
        <v>19</v>
      </c>
      <c r="B79" s="3903"/>
      <c r="C79" s="1495" t="s">
        <v>1666</v>
      </c>
      <c r="D79" s="1495" t="s">
        <v>1667</v>
      </c>
      <c r="E79" s="1582">
        <v>0.5</v>
      </c>
      <c r="F79" s="1569">
        <v>80</v>
      </c>
    </row>
    <row r="80" spans="1:6" s="1565" customFormat="1" ht="36">
      <c r="A80" s="1569">
        <v>20</v>
      </c>
      <c r="B80" s="3903"/>
      <c r="C80" s="1495" t="s">
        <v>1668</v>
      </c>
      <c r="D80" s="1495" t="s">
        <v>1669</v>
      </c>
      <c r="E80" s="1582">
        <v>0.2</v>
      </c>
      <c r="F80" s="1569">
        <v>30</v>
      </c>
    </row>
    <row r="81" spans="1:6" s="1565" customFormat="1" ht="36">
      <c r="A81" s="1569">
        <v>21</v>
      </c>
      <c r="B81" s="3903"/>
      <c r="C81" s="1495" t="s">
        <v>1670</v>
      </c>
      <c r="D81" s="1495" t="s">
        <v>1671</v>
      </c>
      <c r="E81" s="1582">
        <v>0.2</v>
      </c>
      <c r="F81" s="1569">
        <v>30</v>
      </c>
    </row>
    <row r="82" spans="1:6" s="1565" customFormat="1" ht="48">
      <c r="A82" s="1569">
        <v>22</v>
      </c>
      <c r="B82" s="3903"/>
      <c r="C82" s="1495" t="s">
        <v>1672</v>
      </c>
      <c r="D82" s="1495" t="s">
        <v>1673</v>
      </c>
      <c r="E82" s="1582">
        <v>0.2</v>
      </c>
      <c r="F82" s="1569">
        <v>30</v>
      </c>
    </row>
    <row r="83" spans="1:6" s="1565" customFormat="1" ht="48">
      <c r="A83" s="1569">
        <v>23</v>
      </c>
      <c r="B83" s="3903"/>
      <c r="C83" s="1495" t="s">
        <v>1674</v>
      </c>
      <c r="D83" s="1495" t="s">
        <v>1675</v>
      </c>
      <c r="E83" s="1582">
        <v>0.2</v>
      </c>
      <c r="F83" s="1569">
        <v>30</v>
      </c>
    </row>
    <row r="84" spans="1:6" s="1565" customFormat="1" ht="36">
      <c r="A84" s="1569">
        <v>24</v>
      </c>
      <c r="B84" s="3903"/>
      <c r="C84" s="1495" t="s">
        <v>1676</v>
      </c>
      <c r="D84" s="1495" t="s">
        <v>1677</v>
      </c>
      <c r="E84" s="1582">
        <v>0.2</v>
      </c>
      <c r="F84" s="1569">
        <v>30</v>
      </c>
    </row>
    <row r="85" spans="1:6" s="1565" customFormat="1" ht="36">
      <c r="A85" s="1569">
        <v>25</v>
      </c>
      <c r="B85" s="3903"/>
      <c r="C85" s="1495" t="s">
        <v>1678</v>
      </c>
      <c r="D85" s="1495" t="s">
        <v>1679</v>
      </c>
      <c r="E85" s="1582">
        <v>0.5</v>
      </c>
      <c r="F85" s="1569">
        <v>80</v>
      </c>
    </row>
    <row r="86" spans="1:6" s="1565" customFormat="1" ht="36">
      <c r="A86" s="1569">
        <v>26</v>
      </c>
      <c r="B86" s="3903"/>
      <c r="C86" s="1495" t="s">
        <v>1680</v>
      </c>
      <c r="D86" s="1495" t="s">
        <v>1681</v>
      </c>
      <c r="E86" s="1582">
        <v>0.2</v>
      </c>
      <c r="F86" s="1569">
        <v>30</v>
      </c>
    </row>
    <row r="87" spans="1:6" s="1565" customFormat="1" ht="36">
      <c r="A87" s="1569">
        <v>27</v>
      </c>
      <c r="B87" s="3903"/>
      <c r="C87" s="1495" t="s">
        <v>1682</v>
      </c>
      <c r="D87" s="1495" t="s">
        <v>1683</v>
      </c>
      <c r="E87" s="1582">
        <v>0.2</v>
      </c>
      <c r="F87" s="1569">
        <v>30</v>
      </c>
    </row>
    <row r="88" spans="1:6" s="1565" customFormat="1" ht="36">
      <c r="A88" s="1569">
        <v>28</v>
      </c>
      <c r="B88" s="3903"/>
      <c r="C88" s="1495" t="s">
        <v>1684</v>
      </c>
      <c r="D88" s="1495" t="s">
        <v>1685</v>
      </c>
      <c r="E88" s="1582">
        <v>0.2</v>
      </c>
      <c r="F88" s="1569">
        <v>30</v>
      </c>
    </row>
    <row r="89" spans="1:6" s="1565" customFormat="1" ht="24">
      <c r="A89" s="1569">
        <v>29</v>
      </c>
      <c r="B89" s="3903"/>
      <c r="C89" s="1495" t="s">
        <v>1686</v>
      </c>
      <c r="D89" s="1495" t="s">
        <v>1687</v>
      </c>
      <c r="E89" s="1582">
        <v>0.2</v>
      </c>
      <c r="F89" s="1569">
        <v>30</v>
      </c>
    </row>
    <row r="90" spans="1:6" s="1565" customFormat="1" ht="24">
      <c r="A90" s="1569">
        <v>30</v>
      </c>
      <c r="B90" s="3903"/>
      <c r="C90" s="1495" t="s">
        <v>1688</v>
      </c>
      <c r="D90" s="1495" t="s">
        <v>1689</v>
      </c>
      <c r="E90" s="1582">
        <v>0.2</v>
      </c>
      <c r="F90" s="1569">
        <v>30</v>
      </c>
    </row>
    <row r="91" spans="1:6" s="1565" customFormat="1" ht="36">
      <c r="A91" s="1569">
        <v>31</v>
      </c>
      <c r="B91" s="3903"/>
      <c r="C91" s="1495" t="s">
        <v>1690</v>
      </c>
      <c r="D91" s="1495" t="s">
        <v>1691</v>
      </c>
      <c r="E91" s="1582">
        <v>0.2</v>
      </c>
      <c r="F91" s="1569">
        <v>30</v>
      </c>
    </row>
    <row r="92" spans="1:6" s="1565" customFormat="1" ht="24">
      <c r="A92" s="1569">
        <v>32</v>
      </c>
      <c r="B92" s="3903" t="s">
        <v>1692</v>
      </c>
      <c r="C92" s="1569" t="s">
        <v>1693</v>
      </c>
      <c r="D92" s="1495" t="s">
        <v>1694</v>
      </c>
      <c r="E92" s="1582">
        <v>0.2</v>
      </c>
      <c r="F92" s="1569">
        <v>30</v>
      </c>
    </row>
    <row r="93" spans="1:6" s="1565" customFormat="1" ht="36">
      <c r="A93" s="1569">
        <v>33</v>
      </c>
      <c r="B93" s="3903"/>
      <c r="C93" s="1569" t="s">
        <v>1695</v>
      </c>
      <c r="D93" s="1495" t="s">
        <v>1696</v>
      </c>
      <c r="E93" s="1582">
        <v>0.2</v>
      </c>
      <c r="F93" s="1569">
        <v>30</v>
      </c>
    </row>
    <row r="94" spans="1:6" s="1565" customFormat="1" ht="48">
      <c r="A94" s="1569">
        <v>34</v>
      </c>
      <c r="B94" s="3903"/>
      <c r="C94" s="1569" t="s">
        <v>1697</v>
      </c>
      <c r="D94" s="1495" t="s">
        <v>1698</v>
      </c>
      <c r="E94" s="1582">
        <v>0.2</v>
      </c>
      <c r="F94" s="1569">
        <v>30</v>
      </c>
    </row>
    <row r="95" spans="1:6" s="1565" customFormat="1" ht="36">
      <c r="A95" s="1569">
        <v>35</v>
      </c>
      <c r="B95" s="3903"/>
      <c r="C95" s="1569" t="s">
        <v>1699</v>
      </c>
      <c r="D95" s="1495" t="s">
        <v>1700</v>
      </c>
      <c r="E95" s="1582">
        <v>0.2</v>
      </c>
      <c r="F95" s="1569">
        <v>30</v>
      </c>
    </row>
    <row r="96" spans="1:6" s="1565" customFormat="1" ht="48">
      <c r="A96" s="1569">
        <v>36</v>
      </c>
      <c r="B96" s="3903"/>
      <c r="C96" s="1495" t="s">
        <v>1701</v>
      </c>
      <c r="D96" s="1495" t="s">
        <v>1702</v>
      </c>
      <c r="E96" s="1582">
        <v>0.2</v>
      </c>
      <c r="F96" s="1569">
        <v>30</v>
      </c>
    </row>
    <row r="97" spans="1:6" s="1565" customFormat="1" ht="36">
      <c r="A97" s="1569">
        <v>37</v>
      </c>
      <c r="B97" s="3903"/>
      <c r="C97" s="1569" t="s">
        <v>1703</v>
      </c>
      <c r="D97" s="1495" t="s">
        <v>1704</v>
      </c>
      <c r="E97" s="1582">
        <v>0.2</v>
      </c>
      <c r="F97" s="1569">
        <v>30</v>
      </c>
    </row>
    <row r="98" spans="1:6" s="1565" customFormat="1" ht="36">
      <c r="A98" s="1569">
        <v>38</v>
      </c>
      <c r="B98" s="3903"/>
      <c r="C98" s="1569" t="s">
        <v>1705</v>
      </c>
      <c r="D98" s="1495" t="s">
        <v>1706</v>
      </c>
      <c r="E98" s="1582">
        <v>0.2</v>
      </c>
      <c r="F98" s="1569">
        <v>30</v>
      </c>
    </row>
    <row r="99" spans="1:6" s="1565" customFormat="1" ht="36">
      <c r="A99" s="1569">
        <v>39</v>
      </c>
      <c r="B99" s="3903" t="s">
        <v>1707</v>
      </c>
      <c r="C99" s="1569" t="s">
        <v>1708</v>
      </c>
      <c r="D99" s="1495" t="s">
        <v>1709</v>
      </c>
      <c r="E99" s="1582">
        <v>0.3</v>
      </c>
      <c r="F99" s="1569">
        <v>50</v>
      </c>
    </row>
    <row r="100" spans="1:6" s="1565" customFormat="1" ht="24">
      <c r="A100" s="1569">
        <v>40</v>
      </c>
      <c r="B100" s="3903"/>
      <c r="C100" s="1569" t="s">
        <v>1710</v>
      </c>
      <c r="D100" s="1495" t="s">
        <v>1711</v>
      </c>
      <c r="E100" s="1582">
        <v>0.2</v>
      </c>
      <c r="F100" s="1569">
        <v>30</v>
      </c>
    </row>
    <row r="101" spans="1:6" s="1565" customFormat="1" ht="36">
      <c r="A101" s="1569">
        <v>41</v>
      </c>
      <c r="B101" s="3903"/>
      <c r="C101" s="1569" t="s">
        <v>1712</v>
      </c>
      <c r="D101" s="1495" t="s">
        <v>1709</v>
      </c>
      <c r="E101" s="1582">
        <v>0.2</v>
      </c>
      <c r="F101" s="1569">
        <v>30</v>
      </c>
    </row>
    <row r="102" spans="1:6" s="1565" customFormat="1" ht="48">
      <c r="A102" s="1569">
        <v>42</v>
      </c>
      <c r="B102" s="1569" t="s">
        <v>1713</v>
      </c>
      <c r="C102" s="1495" t="s">
        <v>1714</v>
      </c>
      <c r="D102" s="1495" t="s">
        <v>1715</v>
      </c>
      <c r="E102" s="1582">
        <v>0.2</v>
      </c>
      <c r="F102" s="1569">
        <v>30</v>
      </c>
    </row>
    <row r="103" spans="1:6" s="1565" customFormat="1" ht="24">
      <c r="A103" s="1569">
        <v>43</v>
      </c>
      <c r="B103" s="1569" t="s">
        <v>1716</v>
      </c>
      <c r="C103" s="1569" t="s">
        <v>1717</v>
      </c>
      <c r="D103" s="1495" t="s">
        <v>1718</v>
      </c>
      <c r="E103" s="1582">
        <v>0.2</v>
      </c>
      <c r="F103" s="1569">
        <v>30</v>
      </c>
    </row>
    <row r="104" spans="1:6" s="1565" customFormat="1" ht="36">
      <c r="A104" s="1569">
        <v>44</v>
      </c>
      <c r="B104" s="1569" t="s">
        <v>1719</v>
      </c>
      <c r="C104" s="1569" t="s">
        <v>1720</v>
      </c>
      <c r="D104" s="1495" t="s">
        <v>1721</v>
      </c>
      <c r="E104" s="1582">
        <v>0.2</v>
      </c>
      <c r="F104" s="1569">
        <v>30</v>
      </c>
    </row>
    <row r="105" spans="1:6" s="1565" customFormat="1" ht="36">
      <c r="A105" s="1569">
        <v>45</v>
      </c>
      <c r="B105" s="3903" t="s">
        <v>1722</v>
      </c>
      <c r="C105" s="1569" t="s">
        <v>1723</v>
      </c>
      <c r="D105" s="1495" t="s">
        <v>1724</v>
      </c>
      <c r="E105" s="1582">
        <v>0.2</v>
      </c>
      <c r="F105" s="1569">
        <v>30</v>
      </c>
    </row>
    <row r="106" spans="1:6" s="1565" customFormat="1" ht="36">
      <c r="A106" s="1569">
        <v>46</v>
      </c>
      <c r="B106" s="3903"/>
      <c r="C106" s="1569" t="s">
        <v>1725</v>
      </c>
      <c r="D106" s="1495" t="s">
        <v>1726</v>
      </c>
      <c r="E106" s="1582">
        <v>0.2</v>
      </c>
      <c r="F106" s="1569">
        <v>30</v>
      </c>
    </row>
    <row r="107" spans="1:6" s="1565" customFormat="1" ht="36">
      <c r="A107" s="1569">
        <v>47</v>
      </c>
      <c r="B107" s="3903" t="s">
        <v>1727</v>
      </c>
      <c r="C107" s="1569" t="s">
        <v>1728</v>
      </c>
      <c r="D107" s="1495" t="s">
        <v>1729</v>
      </c>
      <c r="E107" s="1582">
        <v>0.3</v>
      </c>
      <c r="F107" s="1569">
        <v>50</v>
      </c>
    </row>
    <row r="108" spans="1:6" s="1565" customFormat="1" ht="36">
      <c r="A108" s="1569">
        <v>48</v>
      </c>
      <c r="B108" s="3903"/>
      <c r="C108" s="1569" t="s">
        <v>1730</v>
      </c>
      <c r="D108" s="1495" t="s">
        <v>1731</v>
      </c>
      <c r="E108" s="1582">
        <v>0.2</v>
      </c>
      <c r="F108" s="1569">
        <v>30</v>
      </c>
    </row>
    <row r="109" spans="1:6" s="1565" customFormat="1" ht="36">
      <c r="A109" s="1569">
        <v>49</v>
      </c>
      <c r="B109" s="1569" t="s">
        <v>1732</v>
      </c>
      <c r="C109" s="1569" t="s">
        <v>1733</v>
      </c>
      <c r="D109" s="1495" t="s">
        <v>1734</v>
      </c>
      <c r="E109" s="1582">
        <v>0.2</v>
      </c>
      <c r="F109" s="1569">
        <v>30</v>
      </c>
    </row>
    <row r="110" spans="1:6" s="1565" customFormat="1" ht="36">
      <c r="A110" s="1569">
        <v>50</v>
      </c>
      <c r="B110" s="1569" t="s">
        <v>1735</v>
      </c>
      <c r="C110" s="1569" t="s">
        <v>1736</v>
      </c>
      <c r="D110" s="1495" t="s">
        <v>1737</v>
      </c>
      <c r="E110" s="1582">
        <v>0.2</v>
      </c>
      <c r="F110" s="1569">
        <v>30</v>
      </c>
    </row>
    <row r="111" spans="1:6" s="1565" customFormat="1" ht="36">
      <c r="A111" s="1569">
        <v>51</v>
      </c>
      <c r="B111" s="3903" t="s">
        <v>1738</v>
      </c>
      <c r="C111" s="1569" t="s">
        <v>1739</v>
      </c>
      <c r="D111" s="1495" t="s">
        <v>1740</v>
      </c>
      <c r="E111" s="1582">
        <v>0.2</v>
      </c>
      <c r="F111" s="1569">
        <v>30</v>
      </c>
    </row>
    <row r="112" spans="1:6" s="1565" customFormat="1" ht="24">
      <c r="A112" s="1569">
        <v>52</v>
      </c>
      <c r="B112" s="3903"/>
      <c r="C112" s="1569" t="s">
        <v>1741</v>
      </c>
      <c r="D112" s="1495" t="s">
        <v>1742</v>
      </c>
      <c r="E112" s="1582">
        <v>0.2</v>
      </c>
      <c r="F112" s="1569">
        <v>30</v>
      </c>
    </row>
    <row r="113" spans="1:6" s="1565" customFormat="1" ht="24">
      <c r="A113" s="1569">
        <v>53</v>
      </c>
      <c r="B113" s="3903"/>
      <c r="C113" s="1569" t="s">
        <v>1743</v>
      </c>
      <c r="D113" s="1495" t="s">
        <v>1744</v>
      </c>
      <c r="E113" s="1582">
        <v>0.2</v>
      </c>
      <c r="F113" s="1569">
        <v>30</v>
      </c>
    </row>
    <row r="114" spans="1:6" ht="36">
      <c r="A114" s="1569">
        <v>54</v>
      </c>
      <c r="B114" s="1569" t="s">
        <v>1745</v>
      </c>
      <c r="C114" s="1569" t="s">
        <v>1746</v>
      </c>
      <c r="D114" s="1495" t="s">
        <v>1747</v>
      </c>
      <c r="E114" s="1582">
        <v>0.2</v>
      </c>
      <c r="F114" s="1569">
        <v>30</v>
      </c>
    </row>
    <row r="115" spans="1:6" ht="24">
      <c r="A115" s="1569">
        <v>55</v>
      </c>
      <c r="B115" s="1569" t="s">
        <v>1748</v>
      </c>
      <c r="C115" s="1569" t="s">
        <v>1749</v>
      </c>
      <c r="D115" s="1495" t="s">
        <v>1750</v>
      </c>
      <c r="E115" s="1582">
        <v>0.2</v>
      </c>
      <c r="F115" s="1569">
        <v>30</v>
      </c>
    </row>
    <row r="116" spans="1:6" ht="24">
      <c r="A116" s="1569">
        <v>56</v>
      </c>
      <c r="B116" s="3903" t="s">
        <v>1751</v>
      </c>
      <c r="C116" s="1569" t="s">
        <v>1752</v>
      </c>
      <c r="D116" s="1495" t="s">
        <v>1753</v>
      </c>
      <c r="E116" s="1582">
        <v>0.2</v>
      </c>
      <c r="F116" s="1569">
        <v>30</v>
      </c>
    </row>
    <row r="117" spans="1:6" ht="36">
      <c r="A117" s="1569">
        <v>57</v>
      </c>
      <c r="B117" s="3903"/>
      <c r="C117" s="1569" t="s">
        <v>1754</v>
      </c>
      <c r="D117" s="1495" t="s">
        <v>1755</v>
      </c>
      <c r="E117" s="1582">
        <v>0.2</v>
      </c>
      <c r="F117" s="1569">
        <v>30</v>
      </c>
    </row>
    <row r="118" spans="1:6" ht="36">
      <c r="A118" s="1569">
        <v>58</v>
      </c>
      <c r="B118" s="1569" t="s">
        <v>1756</v>
      </c>
      <c r="C118" s="1569" t="s">
        <v>1757</v>
      </c>
      <c r="D118" s="1495" t="s">
        <v>1758</v>
      </c>
      <c r="E118" s="1582">
        <v>0.2</v>
      </c>
      <c r="F118" s="1569">
        <v>30</v>
      </c>
    </row>
    <row r="119" spans="1:6" ht="13.5">
      <c r="A119" s="1569"/>
      <c r="B119" s="1569"/>
      <c r="C119" s="1569" t="s">
        <v>1759</v>
      </c>
      <c r="D119" s="1569"/>
      <c r="E119" s="1582" t="s">
        <v>1569</v>
      </c>
      <c r="F119" s="1569"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19"/>
    <col min="2" max="16384" width="9" style="1594"/>
  </cols>
  <sheetData>
    <row r="1" spans="1:14" ht="14.25">
      <c r="A1" s="1592" t="s">
        <v>1769</v>
      </c>
      <c r="B1" s="1593"/>
      <c r="C1" s="1593"/>
      <c r="D1" s="1593"/>
      <c r="E1" s="1593"/>
      <c r="F1" s="1593"/>
      <c r="G1" s="1593"/>
      <c r="H1" s="1593"/>
      <c r="I1" s="1593"/>
      <c r="J1" s="1593"/>
      <c r="K1" s="1593"/>
      <c r="L1" s="1593"/>
      <c r="M1" s="1593"/>
      <c r="N1" s="1593"/>
    </row>
    <row r="2" spans="1:14">
      <c r="A2" s="1595" t="s">
        <v>1766</v>
      </c>
      <c r="B2" s="1596" t="s">
        <v>1171</v>
      </c>
      <c r="C2" s="1596" t="s">
        <v>1172</v>
      </c>
      <c r="D2" s="1596" t="s">
        <v>1173</v>
      </c>
      <c r="E2" s="1596" t="s">
        <v>1174</v>
      </c>
      <c r="F2" s="1596" t="s">
        <v>1175</v>
      </c>
      <c r="G2" s="1596" t="s">
        <v>1176</v>
      </c>
      <c r="H2" s="1597" t="s">
        <v>1177</v>
      </c>
      <c r="I2" s="1597" t="s">
        <v>1178</v>
      </c>
      <c r="J2" s="1598" t="s">
        <v>1179</v>
      </c>
      <c r="K2" s="1598" t="s">
        <v>1180</v>
      </c>
      <c r="L2" s="1598" t="s">
        <v>1181</v>
      </c>
      <c r="M2" s="1598" t="s">
        <v>1182</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1775</v>
      </c>
      <c r="B103" s="1593"/>
      <c r="C103" s="1593"/>
      <c r="D103" s="1593"/>
      <c r="E103" s="1593"/>
      <c r="F103" s="1593"/>
      <c r="G103" s="1593"/>
      <c r="H103" s="1593"/>
      <c r="I103" s="1593"/>
      <c r="J103" s="1593"/>
      <c r="K103" s="1593"/>
      <c r="L103" s="1593"/>
      <c r="M103" s="1593"/>
      <c r="N103" s="1593"/>
    </row>
    <row r="104" spans="1:14" ht="14.25">
      <c r="A104" s="1595" t="s">
        <v>1766</v>
      </c>
      <c r="B104" s="1596" t="s">
        <v>1171</v>
      </c>
      <c r="C104" s="1596" t="s">
        <v>1172</v>
      </c>
      <c r="D104" s="1596" t="s">
        <v>1173</v>
      </c>
      <c r="E104" s="1596" t="s">
        <v>1174</v>
      </c>
      <c r="F104" s="1596" t="s">
        <v>1175</v>
      </c>
      <c r="G104" s="1596" t="s">
        <v>1176</v>
      </c>
      <c r="H104" s="1597" t="s">
        <v>1177</v>
      </c>
      <c r="I104" s="1597" t="s">
        <v>1178</v>
      </c>
      <c r="J104" s="1598" t="s">
        <v>1179</v>
      </c>
      <c r="K104" s="1598" t="s">
        <v>1180</v>
      </c>
      <c r="L104" s="1598" t="s">
        <v>1181</v>
      </c>
      <c r="M104" s="1598" t="s">
        <v>1182</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1776</v>
      </c>
      <c r="B205" s="1593"/>
      <c r="C205" s="1593"/>
      <c r="D205" s="1593"/>
      <c r="E205" s="1593"/>
      <c r="F205" s="1593"/>
      <c r="G205" s="1593"/>
      <c r="H205" s="1593"/>
      <c r="I205" s="1593"/>
      <c r="J205" s="1593"/>
      <c r="K205" s="1593"/>
      <c r="L205" s="1593"/>
      <c r="M205" s="1593"/>
    </row>
    <row r="206" spans="1:13">
      <c r="A206" s="1595" t="s">
        <v>1766</v>
      </c>
      <c r="B206" s="1596" t="s">
        <v>1171</v>
      </c>
      <c r="C206" s="1596" t="s">
        <v>1172</v>
      </c>
      <c r="D206" s="1596" t="s">
        <v>1173</v>
      </c>
      <c r="E206" s="1596" t="s">
        <v>1174</v>
      </c>
      <c r="F206" s="1596" t="s">
        <v>1175</v>
      </c>
      <c r="G206" s="1596" t="s">
        <v>1176</v>
      </c>
      <c r="H206" s="1597" t="s">
        <v>1177</v>
      </c>
      <c r="I206" s="1597" t="s">
        <v>1178</v>
      </c>
      <c r="J206" s="1598" t="s">
        <v>1179</v>
      </c>
      <c r="K206" s="1598" t="s">
        <v>1180</v>
      </c>
      <c r="L206" s="1598" t="s">
        <v>1181</v>
      </c>
      <c r="M206" s="1598" t="s">
        <v>1182</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1777</v>
      </c>
      <c r="B307" s="1593"/>
      <c r="C307" s="1593"/>
      <c r="D307" s="1593"/>
      <c r="E307" s="1593"/>
      <c r="F307" s="1593"/>
      <c r="G307" s="1593"/>
      <c r="H307" s="1593"/>
      <c r="I307" s="1593"/>
      <c r="J307" s="1593"/>
      <c r="K307" s="1593"/>
      <c r="L307" s="1593"/>
      <c r="M307" s="1593"/>
    </row>
    <row r="308" spans="1:13">
      <c r="A308" s="1595" t="s">
        <v>1766</v>
      </c>
      <c r="B308" s="1596" t="s">
        <v>1171</v>
      </c>
      <c r="C308" s="1596" t="s">
        <v>1172</v>
      </c>
      <c r="D308" s="1596" t="s">
        <v>1173</v>
      </c>
      <c r="E308" s="1596" t="s">
        <v>1174</v>
      </c>
      <c r="F308" s="1596" t="s">
        <v>1175</v>
      </c>
      <c r="G308" s="1596" t="s">
        <v>1176</v>
      </c>
      <c r="H308" s="1597" t="s">
        <v>1177</v>
      </c>
      <c r="I308" s="1597" t="s">
        <v>1178</v>
      </c>
      <c r="J308" s="1598" t="s">
        <v>1179</v>
      </c>
      <c r="K308" s="1598" t="s">
        <v>1180</v>
      </c>
      <c r="L308" s="1598" t="s">
        <v>1181</v>
      </c>
      <c r="M308" s="1598" t="s">
        <v>1182</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3054</v>
      </c>
    </row>
    <row r="2" spans="1:5" ht="14.25">
      <c r="A2" s="3339" t="s">
        <v>208</v>
      </c>
      <c r="B2" s="3336" t="e">
        <f ca="1">SUMIF(B6:B13,"&lt;&gt;#ref!",B6:B13)</f>
        <v>#DIV/0!</v>
      </c>
      <c r="C2" s="3339" t="s">
        <v>2667</v>
      </c>
      <c r="D2" s="3339" t="s">
        <v>3049</v>
      </c>
      <c r="E2" s="3336" t="e">
        <f ca="1">SUM(E6:E13)</f>
        <v>#REF!</v>
      </c>
    </row>
    <row r="3" spans="1:5" ht="14.25">
      <c r="A3" s="3339" t="s">
        <v>8</v>
      </c>
      <c r="B3" s="3336" t="e">
        <f ca="1">ROUND(B2*10000/E2,0)</f>
        <v>#DIV/0!</v>
      </c>
      <c r="C3" s="3339" t="s">
        <v>2668</v>
      </c>
      <c r="D3" s="3337"/>
      <c r="E3" s="3337"/>
    </row>
    <row r="4" spans="1:5" ht="14.25">
      <c r="A4" s="3340"/>
      <c r="B4" s="3337"/>
      <c r="C4" s="3337"/>
      <c r="D4" s="3337"/>
      <c r="E4" s="3337"/>
    </row>
    <row r="5" spans="1:5" ht="28.5">
      <c r="A5" s="3341" t="s">
        <v>3052</v>
      </c>
      <c r="B5" s="3339" t="s">
        <v>3050</v>
      </c>
      <c r="C5" s="3336"/>
      <c r="D5" s="3337"/>
      <c r="E5" s="3339" t="s">
        <v>3051</v>
      </c>
    </row>
    <row r="6" spans="1:5" ht="14.25">
      <c r="A6" s="3342" t="s">
        <v>3053</v>
      </c>
      <c r="B6" s="3338" t="e">
        <f ca="1">SUMIF(INDIRECT("'"&amp;A6&amp;"'"&amp;"!A:A"),"总价",INDIRECT("'"&amp;A6&amp;"'"&amp;"!B:B"))</f>
        <v>#DIV/0!</v>
      </c>
      <c r="C6" s="3339" t="s">
        <v>2667</v>
      </c>
      <c r="D6" s="3337"/>
      <c r="E6" s="2785">
        <f ca="1">SUMIF(INDIRECT("'"&amp;A6&amp;"'"&amp;"!C:C"),"建筑面积",INDIRECT("'"&amp;A6&amp;"'"&amp;"!D:D"))</f>
        <v>0</v>
      </c>
    </row>
    <row r="7" spans="1:5" ht="14.25">
      <c r="A7" s="3342"/>
      <c r="B7" s="3338" t="e">
        <f ca="1">SUMIF(INDIRECT("'"&amp;A7&amp;"'"&amp;"!A:A"),"总价",INDIRECT("'"&amp;A7&amp;"'"&amp;"!B:B"))</f>
        <v>#REF!</v>
      </c>
      <c r="C7" s="3339" t="s">
        <v>2667</v>
      </c>
      <c r="D7" s="3337"/>
      <c r="E7" s="2785" t="e">
        <f t="shared" ref="E7:E13" ca="1" si="0">SUMIF(INDIRECT("'"&amp;A7&amp;"'"&amp;"!C:C"),"建筑面积",INDIRECT("'"&amp;A7&amp;"'"&amp;"!D:D"))</f>
        <v>#REF!</v>
      </c>
    </row>
    <row r="8" spans="1:5" ht="14.25">
      <c r="A8" s="3342"/>
      <c r="B8" s="3338" t="e">
        <f t="shared" ref="B8:B13" ca="1" si="1">SUMIF(INDIRECT("'"&amp;A8&amp;"'"&amp;"!A:A"),"总价",INDIRECT("'"&amp;A8&amp;"'"&amp;"!B:B"))</f>
        <v>#REF!</v>
      </c>
      <c r="C8" s="3339" t="s">
        <v>2667</v>
      </c>
      <c r="D8" s="3337"/>
      <c r="E8" s="2785" t="e">
        <f t="shared" ca="1" si="0"/>
        <v>#REF!</v>
      </c>
    </row>
    <row r="9" spans="1:5" ht="14.25">
      <c r="A9" s="3342"/>
      <c r="B9" s="3338" t="e">
        <f t="shared" ca="1" si="1"/>
        <v>#REF!</v>
      </c>
      <c r="C9" s="3339" t="s">
        <v>2667</v>
      </c>
      <c r="D9" s="3337"/>
      <c r="E9" s="2785" t="e">
        <f t="shared" ca="1" si="0"/>
        <v>#REF!</v>
      </c>
    </row>
    <row r="10" spans="1:5" ht="14.25">
      <c r="A10" s="3342"/>
      <c r="B10" s="3338" t="e">
        <f t="shared" ca="1" si="1"/>
        <v>#REF!</v>
      </c>
      <c r="C10" s="3339" t="s">
        <v>2667</v>
      </c>
      <c r="D10" s="3337"/>
      <c r="E10" s="2785" t="e">
        <f t="shared" ca="1" si="0"/>
        <v>#REF!</v>
      </c>
    </row>
    <row r="11" spans="1:5" ht="14.25">
      <c r="A11" s="3342"/>
      <c r="B11" s="3338" t="e">
        <f t="shared" ca="1" si="1"/>
        <v>#REF!</v>
      </c>
      <c r="C11" s="3339" t="s">
        <v>2667</v>
      </c>
      <c r="D11" s="3337"/>
      <c r="E11" s="2785" t="e">
        <f t="shared" ca="1" si="0"/>
        <v>#REF!</v>
      </c>
    </row>
    <row r="12" spans="1:5" ht="14.25">
      <c r="A12" s="3342"/>
      <c r="B12" s="3338" t="e">
        <f t="shared" ca="1" si="1"/>
        <v>#REF!</v>
      </c>
      <c r="C12" s="3339" t="s">
        <v>2667</v>
      </c>
      <c r="D12" s="3337"/>
      <c r="E12" s="2785" t="e">
        <f t="shared" ca="1" si="0"/>
        <v>#REF!</v>
      </c>
    </row>
    <row r="13" spans="1:5" ht="14.25">
      <c r="A13" s="3342"/>
      <c r="B13" s="3338" t="e">
        <f t="shared" ca="1" si="1"/>
        <v>#REF!</v>
      </c>
      <c r="C13" s="3339" t="s">
        <v>2667</v>
      </c>
      <c r="D13" s="3337"/>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926" t="s">
        <v>2709</v>
      </c>
      <c r="C1" s="3926"/>
      <c r="D1" s="3926"/>
      <c r="E1" s="3926"/>
      <c r="F1" s="3926"/>
      <c r="G1" s="3922" t="s">
        <v>2710</v>
      </c>
      <c r="H1" s="3922"/>
      <c r="I1" s="3922"/>
      <c r="J1" s="3922"/>
      <c r="K1" s="3922"/>
      <c r="L1" s="3922"/>
      <c r="N1" s="3922" t="s">
        <v>2711</v>
      </c>
      <c r="O1" s="3922"/>
      <c r="P1" s="3922"/>
      <c r="Q1" s="3922"/>
      <c r="R1" s="2896"/>
      <c r="S1" s="3922" t="s">
        <v>2712</v>
      </c>
      <c r="T1" s="3922"/>
      <c r="U1" s="3922"/>
      <c r="V1" s="3922"/>
      <c r="X1" s="3921" t="s">
        <v>2713</v>
      </c>
      <c r="Y1" s="3922"/>
      <c r="Z1" s="3922"/>
      <c r="AA1" s="3922"/>
      <c r="AB1" s="3922"/>
      <c r="AD1" s="3921" t="s">
        <v>2714</v>
      </c>
      <c r="AE1" s="3922"/>
      <c r="AF1" s="3922"/>
      <c r="AG1" s="3922"/>
      <c r="AH1" s="3922"/>
    </row>
    <row r="2" spans="1:34" s="2897" customFormat="1" ht="14.25" thickBot="1">
      <c r="B2" s="2898" t="s">
        <v>2715</v>
      </c>
      <c r="C2" s="2898" t="s">
        <v>2716</v>
      </c>
      <c r="D2" s="2899" t="s">
        <v>2717</v>
      </c>
      <c r="E2" s="2899" t="s">
        <v>2718</v>
      </c>
      <c r="F2" s="2898" t="s">
        <v>2719</v>
      </c>
      <c r="G2" s="2900"/>
      <c r="H2" s="2901"/>
      <c r="I2" s="2898" t="s">
        <v>2715</v>
      </c>
      <c r="J2" s="2899" t="s">
        <v>3055</v>
      </c>
      <c r="K2" s="2899" t="s">
        <v>1845</v>
      </c>
      <c r="L2" s="2898" t="s">
        <v>2719</v>
      </c>
      <c r="N2" s="2898" t="s">
        <v>2715</v>
      </c>
      <c r="O2" s="2899" t="s">
        <v>3055</v>
      </c>
      <c r="P2" s="2899" t="s">
        <v>1845</v>
      </c>
      <c r="Q2" s="2898" t="s">
        <v>2719</v>
      </c>
      <c r="R2" s="2902"/>
      <c r="S2" s="2898" t="s">
        <v>2715</v>
      </c>
      <c r="T2" s="2899" t="s">
        <v>3055</v>
      </c>
      <c r="U2" s="2899" t="s">
        <v>1845</v>
      </c>
      <c r="V2" s="2898" t="s">
        <v>2719</v>
      </c>
      <c r="X2" s="2898" t="s">
        <v>2715</v>
      </c>
      <c r="Y2" s="2898" t="s">
        <v>2716</v>
      </c>
      <c r="Z2" s="2899" t="s">
        <v>2717</v>
      </c>
      <c r="AA2" s="2899" t="s">
        <v>2718</v>
      </c>
      <c r="AB2" s="2898" t="s">
        <v>2719</v>
      </c>
      <c r="AD2" s="2898" t="s">
        <v>2715</v>
      </c>
      <c r="AE2" s="2898" t="s">
        <v>2716</v>
      </c>
      <c r="AF2" s="2899" t="s">
        <v>2717</v>
      </c>
      <c r="AG2" s="2899" t="s">
        <v>2718</v>
      </c>
      <c r="AH2" s="2898" t="s">
        <v>2719</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2720</v>
      </c>
      <c r="B4" s="2912"/>
      <c r="C4" s="2912"/>
      <c r="D4" s="2912"/>
      <c r="E4" s="2912"/>
      <c r="F4" s="2912"/>
      <c r="G4" s="3927">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2721</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924"/>
      <c r="H5" s="3234">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6"/>
      <c r="S5" s="3237"/>
      <c r="T5" s="3236"/>
      <c r="U5" s="3236"/>
      <c r="V5" s="3236"/>
      <c r="W5" s="2921" t="s">
        <v>2723</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3056</v>
      </c>
      <c r="B6" s="2931">
        <f t="shared" si="2"/>
        <v>419.31181600000002</v>
      </c>
      <c r="C6" s="2931">
        <f t="shared" si="3"/>
        <v>313.95436800000004</v>
      </c>
      <c r="D6" s="2931">
        <f t="shared" si="4"/>
        <v>313.95436800000004</v>
      </c>
      <c r="E6" s="2931">
        <f t="shared" si="5"/>
        <v>596.63028431999999</v>
      </c>
      <c r="F6" s="2931">
        <f t="shared" si="6"/>
        <v>274.74220703999998</v>
      </c>
      <c r="G6" s="3924"/>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3"/>
      <c r="AD6" s="3345">
        <f>ROUND(AVERAGE(I6:I$19)/100,4)</f>
        <v>2.46E-2</v>
      </c>
      <c r="AE6" s="3345">
        <f>ROUND(AVERAGE(J6:J$19)/100,4)</f>
        <v>1.6E-2</v>
      </c>
      <c r="AF6" s="3345">
        <f t="shared" si="1"/>
        <v>1.6E-2</v>
      </c>
      <c r="AG6" s="3345">
        <f>ROUND(AVERAGE(K6:K$19)/100,4)</f>
        <v>2.75E-2</v>
      </c>
      <c r="AH6" s="3345">
        <f>ROUND(AVERAGE(L6:L$19)/100,4)</f>
        <v>1.37E-2</v>
      </c>
    </row>
    <row r="7" spans="1:34" s="2919" customFormat="1" ht="13.5" thickBot="1">
      <c r="A7" s="2911" t="s">
        <v>2722</v>
      </c>
      <c r="B7" s="2931">
        <f>B8*(1+N7)</f>
        <v>405.524</v>
      </c>
      <c r="C7" s="2931">
        <f>C8*(1+O7)</f>
        <v>307.79840000000002</v>
      </c>
      <c r="D7" s="2931">
        <f>C7</f>
        <v>307.79840000000002</v>
      </c>
      <c r="E7" s="2931">
        <f>E8*(1+P7)</f>
        <v>574.67759999999998</v>
      </c>
      <c r="F7" s="2931">
        <f>F8*(1+Q7)</f>
        <v>270.20280000000002</v>
      </c>
      <c r="G7" s="3925"/>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1" t="s">
        <v>1160</v>
      </c>
      <c r="B8" s="2923">
        <v>392</v>
      </c>
      <c r="C8" s="2923">
        <v>302</v>
      </c>
      <c r="D8" s="2923">
        <f>C8</f>
        <v>302</v>
      </c>
      <c r="E8" s="2923">
        <v>553</v>
      </c>
      <c r="F8" s="2924">
        <v>266</v>
      </c>
      <c r="G8" s="3927">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1159</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924"/>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1149</v>
      </c>
      <c r="B10" s="2931">
        <f t="shared" si="15"/>
        <v>360.06949782209392</v>
      </c>
      <c r="C10" s="2931">
        <f t="shared" si="15"/>
        <v>289.84672674747821</v>
      </c>
      <c r="D10" s="2931">
        <f t="shared" si="16"/>
        <v>289.84672674747821</v>
      </c>
      <c r="E10" s="2931">
        <f t="shared" si="17"/>
        <v>501.06543001181495</v>
      </c>
      <c r="F10" s="2931">
        <f t="shared" si="17"/>
        <v>256.82882500744967</v>
      </c>
      <c r="G10" s="3924"/>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1158</v>
      </c>
      <c r="B11" s="2931">
        <f t="shared" si="15"/>
        <v>346.720748986128</v>
      </c>
      <c r="C11" s="2931">
        <f t="shared" si="15"/>
        <v>284.30282172386285</v>
      </c>
      <c r="D11" s="2931">
        <f t="shared" si="16"/>
        <v>284.30282172386285</v>
      </c>
      <c r="E11" s="2931">
        <f t="shared" si="17"/>
        <v>479.58023546306947</v>
      </c>
      <c r="F11" s="2931">
        <f t="shared" si="17"/>
        <v>253.25788877571213</v>
      </c>
      <c r="G11" s="3925"/>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1157</v>
      </c>
      <c r="B12" s="2923">
        <v>333</v>
      </c>
      <c r="C12" s="2923">
        <v>277</v>
      </c>
      <c r="D12" s="2923">
        <f t="shared" si="16"/>
        <v>277</v>
      </c>
      <c r="E12" s="2923">
        <v>459</v>
      </c>
      <c r="F12" s="2924">
        <v>249</v>
      </c>
      <c r="G12" s="3923">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1156</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924"/>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1155</v>
      </c>
      <c r="B14" s="2931">
        <f t="shared" si="19"/>
        <v>322.34053690220776</v>
      </c>
      <c r="C14" s="2931">
        <f t="shared" si="19"/>
        <v>271.46160770422546</v>
      </c>
      <c r="D14" s="2931">
        <f t="shared" si="16"/>
        <v>271.46160770422546</v>
      </c>
      <c r="E14" s="2931">
        <f t="shared" si="20"/>
        <v>442.69434542172456</v>
      </c>
      <c r="F14" s="2931">
        <f t="shared" si="20"/>
        <v>241.34030753190925</v>
      </c>
      <c r="G14" s="3924"/>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1154</v>
      </c>
      <c r="B15" s="2931">
        <f t="shared" si="19"/>
        <v>319.87748030386797</v>
      </c>
      <c r="C15" s="2931">
        <f t="shared" si="19"/>
        <v>269.60135833173649</v>
      </c>
      <c r="D15" s="2931">
        <f t="shared" si="16"/>
        <v>269.60135833173649</v>
      </c>
      <c r="E15" s="2931">
        <f t="shared" si="20"/>
        <v>439.18089823583784</v>
      </c>
      <c r="F15" s="2931">
        <f t="shared" si="20"/>
        <v>239.23503918706311</v>
      </c>
      <c r="G15" s="3925"/>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1153</v>
      </c>
      <c r="B16" s="2944">
        <v>318</v>
      </c>
      <c r="C16" s="2944">
        <v>268</v>
      </c>
      <c r="D16" s="2944">
        <f t="shared" si="16"/>
        <v>268</v>
      </c>
      <c r="E16" s="2944">
        <v>437</v>
      </c>
      <c r="F16" s="2945">
        <v>237</v>
      </c>
      <c r="G16" s="3923">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1152</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924"/>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1151</v>
      </c>
      <c r="B18" s="2931">
        <f t="shared" si="21"/>
        <v>314.72141172386546</v>
      </c>
      <c r="C18" s="2931">
        <f t="shared" si="21"/>
        <v>263.03901319069001</v>
      </c>
      <c r="D18" s="2931">
        <f t="shared" si="16"/>
        <v>263.03901319069001</v>
      </c>
      <c r="E18" s="2931">
        <f t="shared" si="22"/>
        <v>433.65745506782821</v>
      </c>
      <c r="F18" s="2931">
        <f t="shared" si="22"/>
        <v>233.23005080045735</v>
      </c>
      <c r="G18" s="3924"/>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1150</v>
      </c>
      <c r="B19" s="2949">
        <f t="shared" si="21"/>
        <v>307.34512863658733</v>
      </c>
      <c r="C19" s="2949">
        <f t="shared" si="21"/>
        <v>257.80556031626975</v>
      </c>
      <c r="D19" s="2949">
        <f t="shared" si="16"/>
        <v>257.80556031626975</v>
      </c>
      <c r="E19" s="2949">
        <f t="shared" si="22"/>
        <v>422.70928459677179</v>
      </c>
      <c r="F19" s="2949">
        <f t="shared" si="22"/>
        <v>229.73803270336617</v>
      </c>
      <c r="G19" s="3925"/>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2724</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2725</v>
      </c>
      <c r="B20" s="2923">
        <v>299</v>
      </c>
      <c r="C20" s="2923">
        <v>252</v>
      </c>
      <c r="D20" s="2923">
        <f t="shared" si="16"/>
        <v>252</v>
      </c>
      <c r="E20" s="2923">
        <v>409</v>
      </c>
      <c r="F20" s="2924">
        <v>227</v>
      </c>
      <c r="G20" s="3928">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2726</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929"/>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2727</v>
      </c>
      <c r="B22" s="2931">
        <f t="shared" si="25"/>
        <v>288.2649053828776</v>
      </c>
      <c r="C22" s="2931">
        <f t="shared" si="25"/>
        <v>243.64564425013293</v>
      </c>
      <c r="D22" s="2931">
        <f t="shared" si="16"/>
        <v>243.64564425013293</v>
      </c>
      <c r="E22" s="2931">
        <f t="shared" si="26"/>
        <v>393.31080825986544</v>
      </c>
      <c r="F22" s="2931">
        <f t="shared" si="26"/>
        <v>223.07903790551154</v>
      </c>
      <c r="G22" s="3929"/>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2728</v>
      </c>
      <c r="B23" s="2931">
        <f t="shared" si="25"/>
        <v>282.50186729015837</v>
      </c>
      <c r="C23" s="2931">
        <f t="shared" si="25"/>
        <v>238.09796174155468</v>
      </c>
      <c r="D23" s="2931">
        <f t="shared" si="16"/>
        <v>238.09796174155468</v>
      </c>
      <c r="E23" s="2931">
        <f t="shared" si="26"/>
        <v>385.33438646014054</v>
      </c>
      <c r="F23" s="2931">
        <f t="shared" si="26"/>
        <v>221.55034055567739</v>
      </c>
      <c r="G23" s="3930"/>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2729</v>
      </c>
      <c r="B24" s="2965">
        <v>278</v>
      </c>
      <c r="C24" s="2965">
        <v>234</v>
      </c>
      <c r="D24" s="2965">
        <f t="shared" si="16"/>
        <v>234</v>
      </c>
      <c r="E24" s="2965">
        <v>379</v>
      </c>
      <c r="F24" s="2966">
        <v>220</v>
      </c>
      <c r="G24" s="3923">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2730</v>
      </c>
      <c r="B25" s="2931">
        <f>B24/(1+N24)</f>
        <v>275.49301357645425</v>
      </c>
      <c r="C25" s="2931">
        <f>C24/(1+O24)</f>
        <v>232.41954707985698</v>
      </c>
      <c r="D25" s="2931">
        <f t="shared" si="16"/>
        <v>232.41954707985698</v>
      </c>
      <c r="E25" s="2931">
        <f t="shared" ref="E25:F27" si="27">E24/(1+P24)</f>
        <v>375.32184591008121</v>
      </c>
      <c r="F25" s="2931">
        <f t="shared" si="27"/>
        <v>218.03766105054513</v>
      </c>
      <c r="G25" s="3924"/>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2731</v>
      </c>
      <c r="B26" s="2931">
        <f>B25/(1+N25)</f>
        <v>275.24529281292263</v>
      </c>
      <c r="C26" s="2931">
        <f>C25/(1+O25)</f>
        <v>231.74747938962707</v>
      </c>
      <c r="D26" s="2931">
        <f t="shared" si="16"/>
        <v>231.74747938962707</v>
      </c>
      <c r="E26" s="2931">
        <f t="shared" si="27"/>
        <v>375.35938184826603</v>
      </c>
      <c r="F26" s="2931">
        <f t="shared" si="27"/>
        <v>216.78033510692495</v>
      </c>
      <c r="G26" s="3924"/>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2732</v>
      </c>
      <c r="B27" s="2931">
        <f>B26/(1+N26)</f>
        <v>275.19025476197027</v>
      </c>
      <c r="C27" s="2967">
        <v>232</v>
      </c>
      <c r="D27" s="2967">
        <f t="shared" si="16"/>
        <v>232</v>
      </c>
      <c r="E27" s="2931">
        <f t="shared" si="27"/>
        <v>375.65990977608692</v>
      </c>
      <c r="F27" s="2931">
        <f t="shared" si="27"/>
        <v>214.12518283971252</v>
      </c>
      <c r="G27" s="3925"/>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2733</v>
      </c>
      <c r="B28" s="2923">
        <v>275</v>
      </c>
      <c r="C28" s="2923">
        <v>232</v>
      </c>
      <c r="D28" s="2923">
        <f t="shared" si="16"/>
        <v>232</v>
      </c>
      <c r="E28" s="2923">
        <v>376</v>
      </c>
      <c r="F28" s="2924">
        <v>213</v>
      </c>
      <c r="G28" s="3923">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2734</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924">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2735</v>
      </c>
      <c r="B30" s="2931">
        <f t="shared" si="28"/>
        <v>275.19335084830601</v>
      </c>
      <c r="C30" s="2931">
        <f t="shared" si="28"/>
        <v>230.18088050139744</v>
      </c>
      <c r="D30" s="2931">
        <f t="shared" si="16"/>
        <v>230.18088050139744</v>
      </c>
      <c r="E30" s="2931">
        <f t="shared" si="29"/>
        <v>377.58482925212331</v>
      </c>
      <c r="F30" s="2931">
        <f t="shared" si="29"/>
        <v>210.90687997847917</v>
      </c>
      <c r="G30" s="3924">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2736</v>
      </c>
      <c r="B31" s="2931">
        <f t="shared" si="28"/>
        <v>276.29854502841971</v>
      </c>
      <c r="C31" s="2931">
        <f t="shared" si="28"/>
        <v>229.79023709833027</v>
      </c>
      <c r="D31" s="2931">
        <f t="shared" si="16"/>
        <v>229.79023709833027</v>
      </c>
      <c r="E31" s="2931">
        <f t="shared" si="29"/>
        <v>379.78759731655936</v>
      </c>
      <c r="F31" s="2931">
        <f t="shared" si="29"/>
        <v>211.32953905659235</v>
      </c>
      <c r="G31" s="3925">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2737</v>
      </c>
      <c r="B32" s="2923">
        <v>269</v>
      </c>
      <c r="C32" s="2923">
        <v>221</v>
      </c>
      <c r="D32" s="2923">
        <f t="shared" si="16"/>
        <v>221</v>
      </c>
      <c r="E32" s="2923">
        <v>373</v>
      </c>
      <c r="F32" s="2924">
        <v>196</v>
      </c>
      <c r="G32" s="3923">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2738</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924">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2739</v>
      </c>
      <c r="B34" s="2931">
        <f t="shared" si="30"/>
        <v>242.95398227588385</v>
      </c>
      <c r="C34" s="2931">
        <f t="shared" si="30"/>
        <v>199.59137053614126</v>
      </c>
      <c r="D34" s="2931">
        <f t="shared" si="16"/>
        <v>199.59137053614126</v>
      </c>
      <c r="E34" s="2931">
        <f t="shared" si="31"/>
        <v>335.92189522342125</v>
      </c>
      <c r="F34" s="2931">
        <f t="shared" si="31"/>
        <v>183.10139991109489</v>
      </c>
      <c r="G34" s="3924">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2740</v>
      </c>
      <c r="B35" s="2931">
        <f t="shared" si="30"/>
        <v>232.06990378821649</v>
      </c>
      <c r="C35" s="2931">
        <f t="shared" si="30"/>
        <v>192.74878854286936</v>
      </c>
      <c r="D35" s="2931">
        <f t="shared" si="16"/>
        <v>192.74878854286936</v>
      </c>
      <c r="E35" s="2931">
        <f t="shared" si="31"/>
        <v>319.71247284992984</v>
      </c>
      <c r="F35" s="2931">
        <f t="shared" si="31"/>
        <v>175.67053622862409</v>
      </c>
      <c r="G35" s="3925">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2741</v>
      </c>
      <c r="B36" s="2923">
        <v>220</v>
      </c>
      <c r="C36" s="2923">
        <v>187</v>
      </c>
      <c r="D36" s="2923">
        <f t="shared" si="16"/>
        <v>187</v>
      </c>
      <c r="E36" s="2923">
        <v>301</v>
      </c>
      <c r="F36" s="2924">
        <v>168</v>
      </c>
      <c r="G36" s="3923">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2742</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924">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2743</v>
      </c>
      <c r="B38" s="2931">
        <f t="shared" si="32"/>
        <v>210.630522469011</v>
      </c>
      <c r="C38" s="2931">
        <f t="shared" si="32"/>
        <v>181.69567812247232</v>
      </c>
      <c r="D38" s="2931">
        <f t="shared" si="16"/>
        <v>181.69567812247232</v>
      </c>
      <c r="E38" s="2931">
        <f t="shared" si="33"/>
        <v>286.13517466736738</v>
      </c>
      <c r="F38" s="2931">
        <f t="shared" si="33"/>
        <v>165.47535084591149</v>
      </c>
      <c r="G38" s="3924">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2744</v>
      </c>
      <c r="B39" s="2931">
        <f t="shared" si="32"/>
        <v>208.83454537875372</v>
      </c>
      <c r="C39" s="2931">
        <f t="shared" si="32"/>
        <v>183.77230517090351</v>
      </c>
      <c r="D39" s="2931">
        <f t="shared" si="16"/>
        <v>183.77230517090351</v>
      </c>
      <c r="E39" s="2931">
        <f t="shared" si="33"/>
        <v>281.10342338870947</v>
      </c>
      <c r="F39" s="2931">
        <f t="shared" si="33"/>
        <v>168.97309388942256</v>
      </c>
      <c r="G39" s="3925">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2745</v>
      </c>
      <c r="B40" s="2965">
        <v>214</v>
      </c>
      <c r="C40" s="2965">
        <v>188</v>
      </c>
      <c r="D40" s="2965">
        <f t="shared" si="16"/>
        <v>188</v>
      </c>
      <c r="E40" s="2965">
        <v>289</v>
      </c>
      <c r="F40" s="2966">
        <v>166</v>
      </c>
      <c r="G40" s="3923">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2746</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924">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2747</v>
      </c>
      <c r="B42" s="2931">
        <f t="shared" si="34"/>
        <v>206.31694671589116</v>
      </c>
      <c r="C42" s="2931">
        <f t="shared" si="34"/>
        <v>183.61041121036101</v>
      </c>
      <c r="D42" s="2931">
        <f t="shared" si="16"/>
        <v>183.61041121036101</v>
      </c>
      <c r="E42" s="2931">
        <f t="shared" si="35"/>
        <v>276.66850301795557</v>
      </c>
      <c r="F42" s="2931">
        <f t="shared" si="35"/>
        <v>165.1360938278614</v>
      </c>
      <c r="G42" s="3924">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2748</v>
      </c>
      <c r="B43" s="2968">
        <f t="shared" si="34"/>
        <v>196.62341248059772</v>
      </c>
      <c r="C43" s="2968">
        <f t="shared" si="34"/>
        <v>170.99125648199012</v>
      </c>
      <c r="D43" s="2968">
        <f t="shared" si="16"/>
        <v>170.99125648199012</v>
      </c>
      <c r="E43" s="2968">
        <f t="shared" si="35"/>
        <v>266.07857570490052</v>
      </c>
      <c r="F43" s="2968">
        <f t="shared" si="35"/>
        <v>154.53499328828505</v>
      </c>
      <c r="G43" s="3925">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2749</v>
      </c>
      <c r="B44" s="2923">
        <v>188</v>
      </c>
      <c r="C44" s="2923">
        <v>165</v>
      </c>
      <c r="D44" s="2923">
        <f t="shared" si="16"/>
        <v>165</v>
      </c>
      <c r="E44" s="2923">
        <v>254</v>
      </c>
      <c r="F44" s="2924">
        <v>148</v>
      </c>
      <c r="G44" s="3923">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2750</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924">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2751</v>
      </c>
      <c r="B46" s="2931">
        <f t="shared" si="38"/>
        <v>168.82017748715555</v>
      </c>
      <c r="C46" s="2931">
        <f t="shared" si="38"/>
        <v>148.06267029972753</v>
      </c>
      <c r="D46" s="2931">
        <f t="shared" si="16"/>
        <v>148.06267029972753</v>
      </c>
      <c r="E46" s="2931">
        <f t="shared" si="39"/>
        <v>216.46288379323747</v>
      </c>
      <c r="F46" s="2931">
        <f t="shared" si="39"/>
        <v>134.23529411764704</v>
      </c>
      <c r="G46" s="3924">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2752</v>
      </c>
      <c r="B47" s="2931">
        <f t="shared" si="38"/>
        <v>163.84913591779542</v>
      </c>
      <c r="C47" s="2931">
        <f t="shared" si="38"/>
        <v>145.0283378746594</v>
      </c>
      <c r="D47" s="2931">
        <f t="shared" si="16"/>
        <v>145.0283378746594</v>
      </c>
      <c r="E47" s="2931">
        <f t="shared" si="39"/>
        <v>204.95180722891567</v>
      </c>
      <c r="F47" s="2931">
        <f t="shared" si="39"/>
        <v>125.95920303605313</v>
      </c>
      <c r="G47" s="3925">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2753</v>
      </c>
      <c r="B48" s="2944">
        <v>159</v>
      </c>
      <c r="C48" s="2944">
        <v>141</v>
      </c>
      <c r="D48" s="2944">
        <f t="shared" si="16"/>
        <v>141</v>
      </c>
      <c r="E48" s="2944">
        <v>195</v>
      </c>
      <c r="F48" s="2945">
        <v>122</v>
      </c>
      <c r="G48" s="3923">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2754</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924">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2755</v>
      </c>
      <c r="B50" s="2931">
        <f t="shared" si="42"/>
        <v>146.57412060301507</v>
      </c>
      <c r="C50" s="2931">
        <f t="shared" si="42"/>
        <v>136.46831955922866</v>
      </c>
      <c r="D50" s="2931">
        <f t="shared" si="16"/>
        <v>136.46831955922866</v>
      </c>
      <c r="E50" s="2931">
        <f t="shared" si="43"/>
        <v>166.73864894795128</v>
      </c>
      <c r="F50" s="2931">
        <f t="shared" si="43"/>
        <v>115.05882352941177</v>
      </c>
      <c r="G50" s="3924">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2756</v>
      </c>
      <c r="B51" s="2931">
        <f t="shared" si="42"/>
        <v>144.04145728643215</v>
      </c>
      <c r="C51" s="2931">
        <f t="shared" si="42"/>
        <v>136.12396694214877</v>
      </c>
      <c r="D51" s="2931">
        <f t="shared" si="16"/>
        <v>136.12396694214877</v>
      </c>
      <c r="E51" s="2931">
        <f t="shared" si="43"/>
        <v>158.32225913621264</v>
      </c>
      <c r="F51" s="2931">
        <f t="shared" si="43"/>
        <v>114.04278074866311</v>
      </c>
      <c r="G51" s="3925">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2757</v>
      </c>
      <c r="B52" s="2944">
        <v>138</v>
      </c>
      <c r="C52" s="2944">
        <v>131</v>
      </c>
      <c r="D52" s="2944">
        <f t="shared" si="16"/>
        <v>131</v>
      </c>
      <c r="E52" s="2944">
        <v>155</v>
      </c>
      <c r="F52" s="2945">
        <v>114</v>
      </c>
      <c r="G52" s="3923">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2758</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924">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2759</v>
      </c>
      <c r="B54" s="2931">
        <f t="shared" si="46"/>
        <v>124.29032258064517</v>
      </c>
      <c r="C54" s="2931">
        <f t="shared" si="46"/>
        <v>123.8968609865471</v>
      </c>
      <c r="D54" s="2931">
        <f t="shared" si="16"/>
        <v>123.8968609865471</v>
      </c>
      <c r="E54" s="2931">
        <f t="shared" si="47"/>
        <v>138.00507614213197</v>
      </c>
      <c r="F54" s="2931">
        <f t="shared" si="47"/>
        <v>107.96106557377048</v>
      </c>
      <c r="G54" s="3924">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2760</v>
      </c>
      <c r="B55" s="2931">
        <f t="shared" si="46"/>
        <v>122.57204301075269</v>
      </c>
      <c r="C55" s="2931">
        <f t="shared" si="46"/>
        <v>123.4932735426009</v>
      </c>
      <c r="D55" s="2931">
        <f t="shared" si="16"/>
        <v>123.4932735426009</v>
      </c>
      <c r="E55" s="2931">
        <f t="shared" si="47"/>
        <v>129.82233502538071</v>
      </c>
      <c r="F55" s="2931">
        <f t="shared" si="47"/>
        <v>107.39446721311475</v>
      </c>
      <c r="G55" s="3925">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2761</v>
      </c>
      <c r="B56" s="2965">
        <v>121</v>
      </c>
      <c r="C56" s="2965">
        <v>122</v>
      </c>
      <c r="D56" s="2965">
        <f t="shared" si="16"/>
        <v>122</v>
      </c>
      <c r="E56" s="2965">
        <v>124</v>
      </c>
      <c r="F56" s="2966">
        <v>107</v>
      </c>
      <c r="G56" s="3923">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2762</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924">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2763</v>
      </c>
      <c r="B58" s="2931">
        <f t="shared" si="50"/>
        <v>116.99099099099099</v>
      </c>
      <c r="C58" s="2931">
        <f t="shared" si="50"/>
        <v>118.84848484848486</v>
      </c>
      <c r="D58" s="2931">
        <f t="shared" si="16"/>
        <v>118.84848484848486</v>
      </c>
      <c r="E58" s="2931">
        <f t="shared" si="51"/>
        <v>117.60960960960961</v>
      </c>
      <c r="F58" s="2931">
        <f t="shared" si="51"/>
        <v>104</v>
      </c>
      <c r="G58" s="3924">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2764</v>
      </c>
      <c r="B59" s="2968">
        <f t="shared" si="50"/>
        <v>112.48648648648648</v>
      </c>
      <c r="C59" s="2968">
        <f t="shared" si="50"/>
        <v>115.21212121212122</v>
      </c>
      <c r="D59" s="2968">
        <f t="shared" si="16"/>
        <v>115.21212121212122</v>
      </c>
      <c r="E59" s="2968">
        <f t="shared" si="51"/>
        <v>110.4024024024024</v>
      </c>
      <c r="F59" s="2968">
        <f t="shared" si="51"/>
        <v>104</v>
      </c>
      <c r="G59" s="3925">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2765</v>
      </c>
      <c r="B60" s="2986">
        <v>111</v>
      </c>
      <c r="C60" s="2986">
        <v>114</v>
      </c>
      <c r="D60" s="2986">
        <f t="shared" si="16"/>
        <v>114</v>
      </c>
      <c r="E60" s="2986">
        <v>108</v>
      </c>
      <c r="F60" s="2987">
        <v>104</v>
      </c>
      <c r="G60" s="3923">
        <v>2003</v>
      </c>
      <c r="H60" s="2976">
        <v>4</v>
      </c>
      <c r="I60" s="2988"/>
      <c r="J60" s="2988"/>
      <c r="K60" s="2988"/>
      <c r="L60" s="2988"/>
      <c r="N60" s="2989"/>
      <c r="O60" s="2988"/>
      <c r="P60" s="2988"/>
      <c r="Q60" s="2988"/>
      <c r="S60" s="2989"/>
      <c r="T60" s="2988"/>
      <c r="U60" s="2988"/>
      <c r="V60" s="2988"/>
      <c r="X60" s="2980"/>
      <c r="Y60" s="2980"/>
      <c r="Z60" s="2980"/>
    </row>
    <row r="61" spans="1:26">
      <c r="A61" s="2911" t="s">
        <v>2766</v>
      </c>
      <c r="B61" s="2990">
        <f t="shared" ref="B61:C63" si="52">B62+(B$60-B$64)/4</f>
        <v>109.75</v>
      </c>
      <c r="C61" s="2990">
        <f t="shared" si="52"/>
        <v>112.25</v>
      </c>
      <c r="D61" s="2990">
        <f t="shared" si="16"/>
        <v>112.25</v>
      </c>
      <c r="E61" s="2990">
        <f t="shared" ref="E61:F63" si="53">E62+(E$60-E$64)/4</f>
        <v>107.25</v>
      </c>
      <c r="F61" s="2990">
        <f t="shared" si="53"/>
        <v>103.5</v>
      </c>
      <c r="G61" s="3924">
        <v>2003</v>
      </c>
      <c r="H61" s="2941">
        <v>3</v>
      </c>
      <c r="I61" s="2988"/>
      <c r="J61" s="2988"/>
      <c r="K61" s="2988"/>
      <c r="L61" s="2988"/>
      <c r="X61" s="2980"/>
      <c r="Y61" s="2980"/>
      <c r="Z61" s="2980"/>
    </row>
    <row r="62" spans="1:26">
      <c r="A62" s="2911" t="s">
        <v>2767</v>
      </c>
      <c r="B62" s="2990">
        <f t="shared" si="52"/>
        <v>108.5</v>
      </c>
      <c r="C62" s="2990">
        <f t="shared" si="52"/>
        <v>110.5</v>
      </c>
      <c r="D62" s="2990">
        <f t="shared" si="16"/>
        <v>110.5</v>
      </c>
      <c r="E62" s="2990">
        <f t="shared" si="53"/>
        <v>106.5</v>
      </c>
      <c r="F62" s="2990">
        <f t="shared" si="53"/>
        <v>103</v>
      </c>
      <c r="G62" s="3924">
        <v>2003</v>
      </c>
      <c r="H62" s="2917">
        <v>2</v>
      </c>
      <c r="I62" s="2988"/>
      <c r="J62" s="2988"/>
      <c r="K62" s="2988"/>
      <c r="L62" s="2988"/>
      <c r="X62" s="2980"/>
      <c r="Y62" s="2980"/>
      <c r="Z62" s="2980"/>
    </row>
    <row r="63" spans="1:26" ht="13.5" thickBot="1">
      <c r="A63" s="2911" t="s">
        <v>2768</v>
      </c>
      <c r="B63" s="2990">
        <f t="shared" si="52"/>
        <v>107.25</v>
      </c>
      <c r="C63" s="2990">
        <f t="shared" si="52"/>
        <v>108.75</v>
      </c>
      <c r="D63" s="2990">
        <f t="shared" si="16"/>
        <v>108.75</v>
      </c>
      <c r="E63" s="2990">
        <f t="shared" si="53"/>
        <v>105.75</v>
      </c>
      <c r="F63" s="2990">
        <f t="shared" si="53"/>
        <v>102.5</v>
      </c>
      <c r="G63" s="3925">
        <v>2003</v>
      </c>
      <c r="H63" s="2991">
        <v>1</v>
      </c>
      <c r="I63" s="2988"/>
      <c r="J63" s="2988"/>
      <c r="K63" s="2988"/>
      <c r="L63" s="2988"/>
      <c r="S63" s="2926"/>
      <c r="T63" s="2927"/>
      <c r="U63" s="2927"/>
      <c r="X63" s="2980"/>
      <c r="Y63" s="2980"/>
      <c r="Z63" s="2980"/>
    </row>
    <row r="64" spans="1:26" ht="13.5" thickBot="1">
      <c r="A64" s="2911" t="s">
        <v>2769</v>
      </c>
      <c r="B64" s="2992">
        <v>106</v>
      </c>
      <c r="C64" s="2992">
        <v>107</v>
      </c>
      <c r="D64" s="2992">
        <f t="shared" si="16"/>
        <v>107</v>
      </c>
      <c r="E64" s="2992">
        <v>105</v>
      </c>
      <c r="F64" s="2993">
        <v>102</v>
      </c>
      <c r="G64" s="3923">
        <v>2002</v>
      </c>
      <c r="H64" s="2936">
        <v>4</v>
      </c>
      <c r="I64" s="2988"/>
      <c r="J64" s="2988"/>
      <c r="K64" s="2988"/>
      <c r="L64" s="2988"/>
      <c r="N64" s="2989"/>
      <c r="O64" s="2988"/>
      <c r="P64" s="2988"/>
      <c r="Q64" s="2988"/>
      <c r="S64" s="2989"/>
      <c r="T64" s="2988"/>
      <c r="U64" s="2988"/>
      <c r="V64" s="2988"/>
      <c r="X64" s="2980"/>
      <c r="Y64" s="2980"/>
      <c r="Z64" s="2980"/>
    </row>
    <row r="65" spans="1:26">
      <c r="A65" s="2911" t="s">
        <v>2770</v>
      </c>
      <c r="B65" s="2990">
        <f t="shared" ref="B65:C67" si="54">B66+(B$64-B$68)/4</f>
        <v>105</v>
      </c>
      <c r="C65" s="2990">
        <f t="shared" si="54"/>
        <v>106</v>
      </c>
      <c r="D65" s="2990">
        <f t="shared" si="16"/>
        <v>106</v>
      </c>
      <c r="E65" s="2990">
        <f t="shared" ref="E65:F67" si="55">E66+(E$64-E$68)/4</f>
        <v>104.5</v>
      </c>
      <c r="F65" s="2990">
        <f t="shared" si="55"/>
        <v>101.5</v>
      </c>
      <c r="G65" s="3924">
        <v>2002</v>
      </c>
      <c r="H65" s="2941">
        <v>3</v>
      </c>
      <c r="I65" s="2988"/>
      <c r="J65" s="2988"/>
      <c r="K65" s="2988"/>
      <c r="L65" s="2988"/>
      <c r="X65" s="2980"/>
      <c r="Y65" s="2980"/>
      <c r="Z65" s="2980"/>
    </row>
    <row r="66" spans="1:26">
      <c r="A66" s="2911" t="s">
        <v>2771</v>
      </c>
      <c r="B66" s="2990">
        <f t="shared" si="54"/>
        <v>104</v>
      </c>
      <c r="C66" s="2990">
        <f t="shared" si="54"/>
        <v>105</v>
      </c>
      <c r="D66" s="2990">
        <f t="shared" si="16"/>
        <v>105</v>
      </c>
      <c r="E66" s="2990">
        <f t="shared" si="55"/>
        <v>104</v>
      </c>
      <c r="F66" s="2990">
        <f t="shared" si="55"/>
        <v>101</v>
      </c>
      <c r="G66" s="3924">
        <v>2002</v>
      </c>
      <c r="H66" s="2917">
        <v>2</v>
      </c>
      <c r="I66" s="2988"/>
      <c r="J66" s="2988"/>
      <c r="K66" s="2988"/>
      <c r="L66" s="2988"/>
      <c r="X66" s="2980"/>
      <c r="Y66" s="2980"/>
      <c r="Z66" s="2980"/>
    </row>
    <row r="67" spans="1:26" s="2952" customFormat="1" ht="13.5" thickBot="1">
      <c r="A67" s="2948" t="s">
        <v>2772</v>
      </c>
      <c r="B67" s="2994">
        <f t="shared" si="54"/>
        <v>103</v>
      </c>
      <c r="C67" s="2994">
        <f t="shared" si="54"/>
        <v>104</v>
      </c>
      <c r="D67" s="2994">
        <f t="shared" si="16"/>
        <v>104</v>
      </c>
      <c r="E67" s="2994">
        <f t="shared" si="55"/>
        <v>103.5</v>
      </c>
      <c r="F67" s="2994">
        <f t="shared" si="55"/>
        <v>100.5</v>
      </c>
      <c r="G67" s="3925">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2773</v>
      </c>
      <c r="G70" s="3004"/>
      <c r="N70" s="3004"/>
      <c r="S70" s="3004"/>
    </row>
    <row r="71" spans="1:26" s="3003" customFormat="1">
      <c r="A71" s="3003" t="s">
        <v>2774</v>
      </c>
      <c r="G71" s="3004"/>
      <c r="N71" s="3004"/>
      <c r="S71" s="3004"/>
    </row>
    <row r="72" spans="1:26" s="3003" customFormat="1">
      <c r="A72" s="3003" t="s">
        <v>2775</v>
      </c>
      <c r="G72" s="3004"/>
      <c r="I72" s="3005"/>
      <c r="J72" s="3005"/>
      <c r="K72" s="3005"/>
      <c r="L72" s="3005"/>
      <c r="N72" s="3006"/>
      <c r="O72" s="3005"/>
      <c r="P72" s="3005"/>
      <c r="Q72" s="3005"/>
      <c r="S72" s="3006"/>
      <c r="T72" s="3005"/>
      <c r="U72" s="3005"/>
      <c r="V72" s="3005"/>
    </row>
    <row r="73" spans="1:26" s="3003" customFormat="1">
      <c r="A73" s="3003" t="s">
        <v>2776</v>
      </c>
      <c r="G73" s="3004"/>
      <c r="N73" s="3004"/>
      <c r="S73" s="3004"/>
    </row>
    <row r="80" spans="1:26" ht="13.5" thickBot="1"/>
    <row r="81" spans="14:22" s="2925" customFormat="1">
      <c r="N81" s="2940"/>
      <c r="S81" s="3007" t="s">
        <v>2777</v>
      </c>
      <c r="T81" s="3008" t="s">
        <v>2778</v>
      </c>
      <c r="U81" s="3008" t="s">
        <v>2779</v>
      </c>
      <c r="V81" s="3008" t="s">
        <v>2780</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79875</v>
      </c>
      <c r="C2" s="85" t="s">
        <v>869</v>
      </c>
      <c r="D2" s="575"/>
      <c r="E2" s="575"/>
      <c r="F2" s="575"/>
      <c r="G2" s="575"/>
    </row>
    <row r="3" spans="1:7" s="576" customFormat="1" ht="18" customHeight="1" thickBot="1">
      <c r="A3" s="579" t="s">
        <v>821</v>
      </c>
      <c r="B3" s="580">
        <f ca="1">ROUND(B2*10000/'数据-汇总表'!E3,0)</f>
        <v>4826</v>
      </c>
      <c r="C3" s="85" t="s">
        <v>870</v>
      </c>
      <c r="D3" s="575"/>
      <c r="E3" s="575"/>
      <c r="F3" s="575"/>
      <c r="G3" s="575"/>
    </row>
    <row r="4" spans="1:7" s="584" customFormat="1" ht="15.75">
      <c r="A4" s="581" t="s">
        <v>822</v>
      </c>
      <c r="B4" s="582"/>
      <c r="C4" s="582"/>
      <c r="D4" s="582"/>
      <c r="E4" s="582"/>
      <c r="F4" s="582"/>
      <c r="G4" s="583"/>
    </row>
    <row r="5" spans="1:7" s="590" customFormat="1" ht="13.5" customHeight="1">
      <c r="A5" s="631" t="s">
        <v>2503</v>
      </c>
      <c r="B5" s="586" t="s">
        <v>823</v>
      </c>
      <c r="C5" s="587">
        <f>C6+C7+C8</f>
        <v>20610</v>
      </c>
      <c r="D5" s="587" t="s">
        <v>824</v>
      </c>
      <c r="E5" s="588" t="s">
        <v>825</v>
      </c>
      <c r="F5" s="588" t="s">
        <v>826</v>
      </c>
      <c r="G5" s="589"/>
    </row>
    <row r="6" spans="1:7" s="590" customFormat="1" ht="13.5" customHeight="1">
      <c r="A6" s="1800" t="s">
        <v>1921</v>
      </c>
      <c r="B6" s="591" t="s">
        <v>827</v>
      </c>
      <c r="C6" s="592">
        <v>20000</v>
      </c>
      <c r="D6" s="593"/>
      <c r="E6" s="594"/>
      <c r="F6" s="594"/>
      <c r="G6" s="595"/>
    </row>
    <row r="7" spans="1:7" s="590" customFormat="1" ht="13.5" customHeight="1">
      <c r="A7" s="1800" t="s">
        <v>1922</v>
      </c>
      <c r="B7" s="591" t="s">
        <v>345</v>
      </c>
      <c r="C7" s="596">
        <f>ROUND(C6*F7,0)</f>
        <v>610</v>
      </c>
      <c r="D7" s="596"/>
      <c r="E7" s="594"/>
      <c r="F7" s="597">
        <f>'数据-取费表'!B48+'数据-取费表'!B49</f>
        <v>3.0499999999999999E-2</v>
      </c>
      <c r="G7" s="595"/>
    </row>
    <row r="8" spans="1:7" s="599" customFormat="1">
      <c r="A8" s="1800" t="s">
        <v>1923</v>
      </c>
      <c r="B8" s="591" t="s">
        <v>828</v>
      </c>
      <c r="C8" s="596" t="str">
        <f>IF(G8="已包含在土地购买价格中","0",'数据-取费表'!B29)</f>
        <v>0</v>
      </c>
      <c r="D8" s="598"/>
      <c r="E8" s="596"/>
      <c r="F8" s="597"/>
      <c r="G8" s="84" t="s">
        <v>2680</v>
      </c>
    </row>
    <row r="9" spans="1:7" s="590" customFormat="1" ht="13.5" customHeight="1">
      <c r="A9" s="1801" t="s">
        <v>1930</v>
      </c>
      <c r="B9" s="600" t="s">
        <v>829</v>
      </c>
      <c r="C9" s="601">
        <f>ROUND(D9*E9/10000,0)</f>
        <v>0</v>
      </c>
      <c r="D9" s="1905">
        <f>'数据-汇总表'!E5</f>
        <v>0</v>
      </c>
      <c r="E9" s="601">
        <f>'数据-取费表'!B27</f>
        <v>94.92</v>
      </c>
      <c r="F9" s="597"/>
      <c r="G9" s="602"/>
    </row>
    <row r="10" spans="1:7" s="590" customFormat="1" ht="13.5" customHeight="1">
      <c r="A10" s="1801" t="s">
        <v>1931</v>
      </c>
      <c r="B10" s="600" t="s">
        <v>830</v>
      </c>
      <c r="C10" s="601">
        <f>ROUND(D10*E10/10000,0)</f>
        <v>1571</v>
      </c>
      <c r="D10" s="1905">
        <f>'数据-汇总表'!E6</f>
        <v>165498.45000000001</v>
      </c>
      <c r="E10" s="601">
        <f>'数据-取费表'!B28</f>
        <v>94.92</v>
      </c>
      <c r="F10" s="597"/>
      <c r="G10" s="602"/>
    </row>
    <row r="11" spans="1:7" s="590" customFormat="1" ht="13.5" hidden="1" customHeight="1">
      <c r="A11" s="603" t="s">
        <v>42</v>
      </c>
      <c r="B11" s="591" t="s">
        <v>831</v>
      </c>
      <c r="C11" s="587"/>
      <c r="D11" s="1907"/>
      <c r="E11" s="594"/>
      <c r="F11" s="594"/>
      <c r="G11" s="595"/>
    </row>
    <row r="12" spans="1:7" s="590" customFormat="1" ht="13.5" hidden="1" customHeight="1">
      <c r="A12" s="603" t="s">
        <v>43</v>
      </c>
      <c r="B12" s="591" t="s">
        <v>832</v>
      </c>
      <c r="C12" s="587">
        <v>0</v>
      </c>
      <c r="D12" s="1907"/>
      <c r="E12" s="604"/>
      <c r="F12" s="597">
        <v>3.0499999999999999E-2</v>
      </c>
      <c r="G12" s="595"/>
    </row>
    <row r="13" spans="1:7" s="590" customFormat="1" ht="13.5" hidden="1" customHeight="1">
      <c r="A13" s="603" t="s">
        <v>44</v>
      </c>
      <c r="B13" s="591" t="s">
        <v>833</v>
      </c>
      <c r="C13" s="587"/>
      <c r="D13" s="1907"/>
      <c r="E13" s="594"/>
      <c r="F13" s="594"/>
      <c r="G13" s="595"/>
    </row>
    <row r="14" spans="1:7" s="590" customFormat="1" ht="13.5" hidden="1" customHeight="1">
      <c r="A14" s="603" t="s">
        <v>45</v>
      </c>
      <c r="B14" s="591" t="s">
        <v>828</v>
      </c>
      <c r="C14" s="587"/>
      <c r="D14" s="1907"/>
      <c r="E14" s="594"/>
      <c r="F14" s="594"/>
      <c r="G14" s="595" t="s">
        <v>834</v>
      </c>
    </row>
    <row r="15" spans="1:7" s="590" customFormat="1" ht="13.5" hidden="1" customHeight="1">
      <c r="A15" s="603" t="s">
        <v>46</v>
      </c>
      <c r="B15" s="591" t="s">
        <v>835</v>
      </c>
      <c r="C15" s="596"/>
      <c r="D15" s="1907"/>
      <c r="E15" s="594"/>
      <c r="F15" s="594"/>
      <c r="G15" s="595" t="s">
        <v>836</v>
      </c>
    </row>
    <row r="16" spans="1:7" s="590" customFormat="1" ht="13.5" hidden="1" customHeight="1">
      <c r="A16" s="603" t="s">
        <v>47</v>
      </c>
      <c r="B16" s="591" t="s">
        <v>828</v>
      </c>
      <c r="C16" s="596"/>
      <c r="D16" s="1907"/>
      <c r="E16" s="594"/>
      <c r="F16" s="594"/>
      <c r="G16" s="595"/>
    </row>
    <row r="17" spans="1:7" s="590" customFormat="1" ht="13.5" hidden="1" customHeight="1">
      <c r="A17" s="603" t="s">
        <v>48</v>
      </c>
      <c r="B17" s="591" t="s">
        <v>837</v>
      </c>
      <c r="C17" s="605"/>
      <c r="D17" s="1908"/>
      <c r="E17" s="605"/>
      <c r="F17" s="605"/>
      <c r="G17" s="595" t="s">
        <v>836</v>
      </c>
    </row>
    <row r="18" spans="1:7" s="590" customFormat="1" ht="13.5" hidden="1" customHeight="1">
      <c r="A18" s="603" t="s">
        <v>49</v>
      </c>
      <c r="B18" s="591" t="s">
        <v>838</v>
      </c>
      <c r="C18" s="596">
        <v>0</v>
      </c>
      <c r="D18" s="1907"/>
      <c r="E18" s="594"/>
      <c r="F18" s="597">
        <v>3.0499999999999999E-2</v>
      </c>
      <c r="G18" s="595" t="s">
        <v>839</v>
      </c>
    </row>
    <row r="19" spans="1:7" s="599" customFormat="1" ht="13.5" customHeight="1">
      <c r="A19" s="1799" t="s">
        <v>2504</v>
      </c>
      <c r="B19" s="586" t="s">
        <v>847</v>
      </c>
      <c r="C19" s="587">
        <f>IF(G19="已包含在土地取得成本中","0",ROUND(D19*E19/10000,0))</f>
        <v>3310</v>
      </c>
      <c r="D19" s="1909">
        <f>'数据-汇总表'!E3</f>
        <v>165498.45000000001</v>
      </c>
      <c r="E19" s="587">
        <f>'数据-取费表'!B31</f>
        <v>200</v>
      </c>
      <c r="F19" s="607"/>
      <c r="G19" s="84" t="s">
        <v>2526</v>
      </c>
    </row>
    <row r="20" spans="1:7" s="590" customFormat="1" ht="13.5" customHeight="1">
      <c r="A20" s="1799" t="s">
        <v>2506</v>
      </c>
      <c r="B20" s="586" t="s">
        <v>840</v>
      </c>
      <c r="C20" s="608">
        <f>ROUND((C5+C19)*F20,0)</f>
        <v>359</v>
      </c>
      <c r="D20" s="608"/>
      <c r="E20" s="608"/>
      <c r="F20" s="609">
        <f>'数据-取费表'!B37</f>
        <v>1.4999999999999999E-2</v>
      </c>
      <c r="G20" s="2616" t="s">
        <v>2517</v>
      </c>
    </row>
    <row r="21" spans="1:7" s="590" customFormat="1" ht="13.5" customHeight="1">
      <c r="A21" s="1799" t="s">
        <v>2508</v>
      </c>
      <c r="B21" s="586" t="s">
        <v>841</v>
      </c>
      <c r="C21" s="611">
        <f>F21</f>
        <v>1.4999999999999999E-2</v>
      </c>
      <c r="D21" s="612" t="s">
        <v>862</v>
      </c>
      <c r="E21" s="608"/>
      <c r="F21" s="609">
        <f>'数据-取费表'!B38</f>
        <v>1.4999999999999999E-2</v>
      </c>
      <c r="G21" s="610" t="s">
        <v>842</v>
      </c>
    </row>
    <row r="22" spans="1:7" s="590" customFormat="1" ht="13.5" customHeight="1">
      <c r="A22" s="1799" t="s">
        <v>1916</v>
      </c>
      <c r="B22" s="586" t="s">
        <v>843</v>
      </c>
      <c r="C22" s="2695">
        <f ca="1">ROUND(SUM(C23:C25),0)</f>
        <v>3599</v>
      </c>
      <c r="D22" s="611">
        <f ca="1">C26</f>
        <v>1.1000000000000001E-3</v>
      </c>
      <c r="E22" s="612" t="s">
        <v>862</v>
      </c>
      <c r="F22" s="613">
        <f ca="1">'数据-取费表'!B40</f>
        <v>4.7500000000000001E-2</v>
      </c>
      <c r="G22" s="2616" t="str">
        <f>IF('数据-取费表'!B22&lt;=1,"单利计息","复利计息")</f>
        <v>复利计息</v>
      </c>
    </row>
    <row r="23" spans="1:7" s="590" customFormat="1" ht="13.5" customHeight="1">
      <c r="A23" s="1802" t="s">
        <v>1924</v>
      </c>
      <c r="B23" s="591" t="s">
        <v>2510</v>
      </c>
      <c r="C23" s="2696">
        <f ca="1">ROUND(IF('数据-取费表'!B22&lt;=1,C5*F22*'数据-取费表'!B23,C5*(POWER((1+F22),'数据-取费表'!B23)-1)),0)</f>
        <v>3079</v>
      </c>
      <c r="D23" s="614"/>
      <c r="E23" s="614"/>
      <c r="F23" s="615"/>
      <c r="G23" s="616" t="s">
        <v>844</v>
      </c>
    </row>
    <row r="24" spans="1:7" s="590" customFormat="1" ht="13.5" customHeight="1">
      <c r="A24" s="1802" t="s">
        <v>1922</v>
      </c>
      <c r="B24" s="591" t="s">
        <v>2505</v>
      </c>
      <c r="C24" s="2696">
        <f ca="1">ROUND(IF('数据-取费表'!B22&lt;=1,C19*F22*('数据-取费表'!B19/2+'数据-取费表'!B21),C19*(POWER((1+F22),('数据-取费表'!B19/2+'数据-取费表'!B21))-1)),0)</f>
        <v>494</v>
      </c>
      <c r="D24" s="614"/>
      <c r="E24" s="614"/>
      <c r="F24" s="615"/>
      <c r="G24" s="616" t="s">
        <v>845</v>
      </c>
    </row>
    <row r="25" spans="1:7" s="590" customFormat="1" ht="24">
      <c r="A25" s="1802" t="s">
        <v>1923</v>
      </c>
      <c r="B25" s="591" t="s">
        <v>2507</v>
      </c>
      <c r="C25" s="2696">
        <f ca="1">ROUND(IF('数据-取费表'!B22&lt;=1,C20*F22*'数据-取费表'!B23/2,C20*(POWER((1+F22),'数据-取费表'!B23/2)-1)),0)</f>
        <v>26</v>
      </c>
      <c r="D25" s="614"/>
      <c r="E25" s="617"/>
      <c r="F25" s="615"/>
      <c r="G25" s="618" t="s">
        <v>846</v>
      </c>
    </row>
    <row r="26" spans="1:7" s="590" customFormat="1">
      <c r="A26" s="1802" t="s">
        <v>1925</v>
      </c>
      <c r="B26" s="591" t="s">
        <v>2509</v>
      </c>
      <c r="C26" s="614">
        <f ca="1">ROUND(IF('数据-取费表'!B22&lt;=1,F21*F22*'数据-取费表'!B23/2,F21*(POWER((1+F22),'数据-取费表'!B23/2)-1)),4)</f>
        <v>1.1000000000000001E-3</v>
      </c>
      <c r="D26" s="614"/>
      <c r="E26" s="617"/>
      <c r="F26" s="615"/>
      <c r="G26" s="619"/>
    </row>
    <row r="27" spans="1:7" s="590" customFormat="1" ht="24.75">
      <c r="A27" s="1799" t="s">
        <v>1917</v>
      </c>
      <c r="B27" s="620" t="s">
        <v>848</v>
      </c>
      <c r="C27" s="621">
        <f>C28</f>
        <v>4127</v>
      </c>
      <c r="D27" s="611">
        <f>C29</f>
        <v>2.5999999999999999E-3</v>
      </c>
      <c r="E27" s="612" t="s">
        <v>862</v>
      </c>
      <c r="F27" s="622">
        <f>'数据-取费表'!Q16</f>
        <v>0.17</v>
      </c>
      <c r="G27" s="623" t="s">
        <v>2518</v>
      </c>
    </row>
    <row r="28" spans="1:7" s="590" customFormat="1" ht="13.5" customHeight="1">
      <c r="A28" s="1802" t="s">
        <v>1924</v>
      </c>
      <c r="B28" s="624" t="s">
        <v>2511</v>
      </c>
      <c r="C28" s="625">
        <f>ROUND((C5+C19+C20)*F27*'数据-取费表'!B21/'数据-取费表'!B20,0)</f>
        <v>4127</v>
      </c>
      <c r="D28" s="611"/>
      <c r="E28" s="612"/>
      <c r="F28" s="622"/>
      <c r="G28" s="623"/>
    </row>
    <row r="29" spans="1:7" s="590" customFormat="1" ht="13.5" customHeight="1">
      <c r="A29" s="1802" t="s">
        <v>1922</v>
      </c>
      <c r="B29" s="624" t="s">
        <v>2512</v>
      </c>
      <c r="C29" s="614">
        <f>ROUND(C21*F27*'数据-取费表'!B21/'数据-取费表'!B20,4)</f>
        <v>2.5999999999999999E-3</v>
      </c>
      <c r="D29" s="611"/>
      <c r="E29" s="612"/>
      <c r="F29" s="622"/>
      <c r="G29" s="623"/>
    </row>
    <row r="30" spans="1:7" s="590" customFormat="1" ht="13.5" customHeight="1">
      <c r="A30" s="1799" t="s">
        <v>1918</v>
      </c>
      <c r="B30" s="586" t="s">
        <v>346</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34489</v>
      </c>
      <c r="D31" s="606"/>
      <c r="E31" s="587"/>
      <c r="F31" s="626"/>
      <c r="G31" s="610" t="s">
        <v>2519</v>
      </c>
    </row>
    <row r="32" spans="1:7" s="584" customFormat="1" ht="15.75">
      <c r="A32" s="628" t="s">
        <v>850</v>
      </c>
      <c r="B32" s="629"/>
      <c r="C32" s="629"/>
      <c r="D32" s="629"/>
      <c r="E32" s="629"/>
      <c r="F32" s="629"/>
      <c r="G32" s="630"/>
    </row>
    <row r="33" spans="1:7" s="590" customFormat="1" ht="13.5" customHeight="1">
      <c r="A33" s="631" t="s">
        <v>1912</v>
      </c>
      <c r="B33" s="586" t="s">
        <v>851</v>
      </c>
      <c r="C33" s="632">
        <f>SUM(C34:C38)</f>
        <v>34440</v>
      </c>
      <c r="D33" s="608"/>
      <c r="E33" s="588"/>
      <c r="F33" s="617"/>
      <c r="G33" s="610"/>
    </row>
    <row r="34" spans="1:7" s="634" customFormat="1" ht="13.5" customHeight="1">
      <c r="A34" s="1802" t="s">
        <v>1924</v>
      </c>
      <c r="B34" s="591" t="s">
        <v>347</v>
      </c>
      <c r="C34" s="596">
        <f>IF(F34=100%,'数据-取费表'!M16-SUMIF('数据-取费表'!C:C,"公共配套",'数据-取费表'!M:M),'数据-取费表'!O16-SUMIF('数据-取费表'!C:C,"公共配套",'数据-取费表'!O:O))</f>
        <v>29789</v>
      </c>
      <c r="D34" s="593"/>
      <c r="E34" s="596"/>
      <c r="F34" s="633">
        <f>IF('数据-取费表'!B24=0,1,'数据-取费表'!N16)</f>
        <v>1</v>
      </c>
      <c r="G34" s="595" t="s">
        <v>852</v>
      </c>
    </row>
    <row r="35" spans="1:7" ht="13.5" customHeight="1">
      <c r="A35" s="1802" t="s">
        <v>1926</v>
      </c>
      <c r="B35" s="591" t="s">
        <v>348</v>
      </c>
      <c r="C35" s="596">
        <f>ROUND(C34*F35,0)</f>
        <v>894</v>
      </c>
      <c r="D35" s="596"/>
      <c r="E35" s="596"/>
      <c r="F35" s="635">
        <f>'数据-取费表'!B33</f>
        <v>0.03</v>
      </c>
      <c r="G35" s="595" t="s">
        <v>853</v>
      </c>
    </row>
    <row r="36" spans="1:7" ht="24">
      <c r="A36" s="1802" t="s">
        <v>1927</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350</v>
      </c>
    </row>
    <row r="37" spans="1:7" s="634" customFormat="1" ht="13.5" customHeight="1">
      <c r="A37" s="1802" t="s">
        <v>1928</v>
      </c>
      <c r="B37" s="591" t="s">
        <v>854</v>
      </c>
      <c r="C37" s="625">
        <f>ROUND(E37*D37*F34/10000,0)</f>
        <v>3310</v>
      </c>
      <c r="D37" s="593">
        <f>'数据-汇总表'!E3</f>
        <v>165498.45000000001</v>
      </c>
      <c r="E37" s="625">
        <f>'数据-取费表'!B35</f>
        <v>200</v>
      </c>
      <c r="F37" s="635"/>
      <c r="G37" s="637" t="s">
        <v>855</v>
      </c>
    </row>
    <row r="38" spans="1:7" ht="13.5" customHeight="1">
      <c r="A38" s="1802" t="s">
        <v>1929</v>
      </c>
      <c r="B38" s="591" t="s">
        <v>351</v>
      </c>
      <c r="C38" s="596">
        <f>ROUND(C34*F38,0)</f>
        <v>447</v>
      </c>
      <c r="D38" s="596"/>
      <c r="E38" s="596"/>
      <c r="F38" s="635">
        <f>'数据-取费表'!B36</f>
        <v>1.4999999999999999E-2</v>
      </c>
      <c r="G38" s="595" t="s">
        <v>853</v>
      </c>
    </row>
    <row r="39" spans="1:7" s="590" customFormat="1" ht="13.5" customHeight="1">
      <c r="A39" s="1799" t="s">
        <v>1913</v>
      </c>
      <c r="B39" s="586" t="s">
        <v>840</v>
      </c>
      <c r="C39" s="608">
        <f>ROUND(C33*F20,0)</f>
        <v>517</v>
      </c>
      <c r="D39" s="608"/>
      <c r="E39" s="608"/>
      <c r="F39" s="609"/>
      <c r="G39" s="2616" t="s">
        <v>2520</v>
      </c>
    </row>
    <row r="40" spans="1:7" s="590" customFormat="1" ht="13.5" customHeight="1">
      <c r="A40" s="1799" t="s">
        <v>1914</v>
      </c>
      <c r="B40" s="586" t="s">
        <v>841</v>
      </c>
      <c r="C40" s="638">
        <f>F21</f>
        <v>1.4999999999999999E-2</v>
      </c>
      <c r="D40" s="612" t="s">
        <v>865</v>
      </c>
      <c r="E40" s="608"/>
      <c r="F40" s="609"/>
      <c r="G40" s="610" t="s">
        <v>856</v>
      </c>
    </row>
    <row r="41" spans="1:7" s="590" customFormat="1" ht="13.5" customHeight="1">
      <c r="A41" s="1799" t="s">
        <v>1915</v>
      </c>
      <c r="B41" s="586" t="s">
        <v>843</v>
      </c>
      <c r="C41" s="608">
        <f ca="1">ROUND(SUM(C42:C43),0)</f>
        <v>2520</v>
      </c>
      <c r="D41" s="611">
        <f ca="1">C44</f>
        <v>1.1000000000000001E-3</v>
      </c>
      <c r="E41" s="612" t="s">
        <v>865</v>
      </c>
      <c r="F41" s="613"/>
      <c r="G41" s="2616" t="str">
        <f>IF('数据-取费表'!B22&lt;=1,"单利计息","复利计息")</f>
        <v>复利计息</v>
      </c>
    </row>
    <row r="42" spans="1:7" ht="13.5" customHeight="1">
      <c r="A42" s="1802" t="s">
        <v>1924</v>
      </c>
      <c r="B42" s="591" t="s">
        <v>2510</v>
      </c>
      <c r="C42" s="614">
        <f ca="1">ROUND(IF('数据-取费表'!B22&lt;=1,C33*F22*'数据-取费表'!B21/2,C33*(POWER((1+F22),'数据-取费表'!B21/2)-1)),0)</f>
        <v>2483</v>
      </c>
      <c r="D42" s="614"/>
      <c r="E42" s="614"/>
      <c r="F42" s="615"/>
      <c r="G42" s="3753" t="s">
        <v>857</v>
      </c>
    </row>
    <row r="43" spans="1:7" ht="13.5" customHeight="1">
      <c r="A43" s="1802" t="s">
        <v>1922</v>
      </c>
      <c r="B43" s="591" t="s">
        <v>2513</v>
      </c>
      <c r="C43" s="614">
        <f ca="1">ROUND(IF('数据-取费表'!B22&lt;=1,C39*F22*'数据-取费表'!B21/2,C39*(POWER((1+F22),'数据-取费表'!B21/2)-1)),0)</f>
        <v>37</v>
      </c>
      <c r="D43" s="614"/>
      <c r="E43" s="614"/>
      <c r="F43" s="615"/>
      <c r="G43" s="3754"/>
    </row>
    <row r="44" spans="1:7" ht="13.5" customHeight="1">
      <c r="A44" s="1802" t="s">
        <v>1923</v>
      </c>
      <c r="B44" s="591" t="s">
        <v>2515</v>
      </c>
      <c r="C44" s="614">
        <f ca="1">ROUND(IF('数据-取费表'!B22&lt;=1,C40*F22*'数据-取费表'!B21/2,C40*(POWER((1+F22),'数据-取费表'!B21/2)-1)),4)</f>
        <v>1.1000000000000001E-3</v>
      </c>
      <c r="D44" s="614"/>
      <c r="E44" s="614"/>
      <c r="F44" s="615"/>
      <c r="G44" s="3755"/>
    </row>
    <row r="45" spans="1:7" s="590" customFormat="1" ht="13.5" customHeight="1">
      <c r="A45" s="1799" t="s">
        <v>1916</v>
      </c>
      <c r="B45" s="620" t="s">
        <v>848</v>
      </c>
      <c r="C45" s="621">
        <f>C46</f>
        <v>5943</v>
      </c>
      <c r="D45" s="611">
        <f>C47</f>
        <v>2.5999999999999999E-3</v>
      </c>
      <c r="E45" s="612" t="s">
        <v>865</v>
      </c>
      <c r="F45" s="622"/>
      <c r="G45" s="623" t="s">
        <v>2521</v>
      </c>
    </row>
    <row r="46" spans="1:7" s="590" customFormat="1" ht="13.5" customHeight="1">
      <c r="A46" s="1802" t="s">
        <v>1924</v>
      </c>
      <c r="B46" s="624" t="s">
        <v>2514</v>
      </c>
      <c r="C46" s="625">
        <f>ROUND((C33+C39)*F27,0)</f>
        <v>5943</v>
      </c>
      <c r="D46" s="639"/>
      <c r="E46" s="612"/>
      <c r="F46" s="622"/>
      <c r="G46" s="623"/>
    </row>
    <row r="47" spans="1:7" s="590" customFormat="1" ht="13.5" customHeight="1">
      <c r="A47" s="1802" t="s">
        <v>1922</v>
      </c>
      <c r="B47" s="624" t="s">
        <v>2516</v>
      </c>
      <c r="C47" s="614">
        <f>ROUND(C40*F27,4)</f>
        <v>2.5999999999999999E-3</v>
      </c>
      <c r="D47" s="639"/>
      <c r="E47" s="612"/>
      <c r="F47" s="622"/>
      <c r="G47" s="623"/>
    </row>
    <row r="48" spans="1:7" s="590" customFormat="1" ht="13.5" customHeight="1">
      <c r="A48" s="1799" t="s">
        <v>1917</v>
      </c>
      <c r="B48" s="586" t="s">
        <v>858</v>
      </c>
      <c r="C48" s="638">
        <f>F30</f>
        <v>5.6000000000000001E-2</v>
      </c>
      <c r="D48" s="612" t="s">
        <v>866</v>
      </c>
      <c r="E48" s="608"/>
      <c r="F48" s="613"/>
      <c r="G48" s="610" t="s">
        <v>859</v>
      </c>
    </row>
    <row r="49" spans="1:7" ht="16.5" customHeight="1">
      <c r="A49" s="1799" t="s">
        <v>1918</v>
      </c>
      <c r="B49" s="586" t="s">
        <v>867</v>
      </c>
      <c r="C49" s="608">
        <f ca="1">ROUND((C33+C39+C41+C45)/(1-C40-D41-D45-C48/(1+'数据-取费表'!B42)),0)</f>
        <v>46790</v>
      </c>
      <c r="D49" s="608"/>
      <c r="E49" s="608"/>
      <c r="F49" s="640"/>
      <c r="G49" s="610" t="s">
        <v>2522</v>
      </c>
    </row>
    <row r="50" spans="1:7" s="634" customFormat="1" ht="24">
      <c r="A50" s="1799" t="s">
        <v>1919</v>
      </c>
      <c r="B50" s="586" t="s">
        <v>860</v>
      </c>
      <c r="C50" s="608"/>
      <c r="D50" s="608"/>
      <c r="E50" s="608"/>
      <c r="F50" s="640">
        <f>IF('数据-取费表'!B24=0,'数据-取费表'!N16,1)</f>
        <v>0.97</v>
      </c>
      <c r="G50" s="623" t="s">
        <v>861</v>
      </c>
    </row>
    <row r="51" spans="1:7" ht="16.5" customHeight="1">
      <c r="A51" s="1799" t="s">
        <v>1920</v>
      </c>
      <c r="B51" s="586" t="s">
        <v>868</v>
      </c>
      <c r="C51" s="608">
        <f ca="1">ROUND(C49*F50,0)</f>
        <v>45386</v>
      </c>
      <c r="D51" s="608"/>
      <c r="E51" s="608"/>
      <c r="F51" s="640"/>
      <c r="G51" s="610" t="s">
        <v>352</v>
      </c>
    </row>
    <row r="52" spans="1:7" s="584" customFormat="1" ht="16.5" thickBot="1">
      <c r="A52" s="641" t="s">
        <v>353</v>
      </c>
      <c r="B52" s="642"/>
      <c r="C52" s="643">
        <f ca="1">C31+C51</f>
        <v>79875</v>
      </c>
      <c r="D52" s="642"/>
      <c r="E52" s="642"/>
      <c r="F52" s="642"/>
      <c r="G52" s="644"/>
    </row>
    <row r="55" spans="1:7" ht="15">
      <c r="B55" s="646" t="s">
        <v>354</v>
      </c>
      <c r="C55" s="647"/>
    </row>
    <row r="56" spans="1:7">
      <c r="B56" s="649" t="s">
        <v>355</v>
      </c>
      <c r="C56" s="650">
        <f ca="1">ROUND(C51/C52,3)</f>
        <v>0.56799999999999995</v>
      </c>
    </row>
    <row r="57" spans="1:7">
      <c r="B57" s="649" t="s">
        <v>356</v>
      </c>
      <c r="C57" s="651">
        <f ca="1">1-C56</f>
        <v>0.43200000000000005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931" t="s">
        <v>1170</v>
      </c>
      <c r="B1" s="3931"/>
      <c r="C1" s="3931"/>
      <c r="D1" s="3931"/>
      <c r="E1" s="3931"/>
      <c r="F1" s="3931"/>
      <c r="H1" s="1517" t="s">
        <v>1171</v>
      </c>
      <c r="I1" s="1518" t="s">
        <v>1172</v>
      </c>
      <c r="J1" s="1518" t="s">
        <v>1173</v>
      </c>
      <c r="K1" s="1518" t="s">
        <v>1174</v>
      </c>
      <c r="L1" s="1518" t="s">
        <v>1175</v>
      </c>
      <c r="M1" s="1518" t="s">
        <v>1176</v>
      </c>
      <c r="N1" s="1518" t="s">
        <v>1177</v>
      </c>
      <c r="O1" s="1518" t="s">
        <v>1178</v>
      </c>
      <c r="P1" s="1518" t="s">
        <v>1179</v>
      </c>
      <c r="Q1" s="1518" t="s">
        <v>1180</v>
      </c>
      <c r="R1" s="1518" t="s">
        <v>1181</v>
      </c>
      <c r="S1" s="1519" t="s">
        <v>1182</v>
      </c>
    </row>
    <row r="2" spans="1:19" ht="14.25" thickBot="1">
      <c r="A2" s="3932" t="s">
        <v>1183</v>
      </c>
      <c r="B2" s="3932"/>
      <c r="C2" s="3932"/>
      <c r="D2" s="3932"/>
      <c r="E2" s="3932"/>
      <c r="F2" s="3932"/>
      <c r="H2" s="1520" t="s">
        <v>1184</v>
      </c>
      <c r="I2" s="1521" t="s">
        <v>1185</v>
      </c>
      <c r="J2" s="1521" t="s">
        <v>1186</v>
      </c>
      <c r="K2" s="1521" t="s">
        <v>1187</v>
      </c>
      <c r="L2" s="1521" t="s">
        <v>1188</v>
      </c>
      <c r="M2" s="1521" t="s">
        <v>1189</v>
      </c>
      <c r="N2" s="1521" t="s">
        <v>1190</v>
      </c>
      <c r="O2" s="1521" t="s">
        <v>1191</v>
      </c>
      <c r="P2" s="1521" t="s">
        <v>1192</v>
      </c>
      <c r="Q2" s="1521" t="s">
        <v>1193</v>
      </c>
      <c r="R2" s="1521" t="s">
        <v>1194</v>
      </c>
      <c r="S2" s="1521" t="s">
        <v>1195</v>
      </c>
    </row>
    <row r="3" spans="1:19" s="1516" customFormat="1" ht="19.5" customHeight="1">
      <c r="A3" s="3933" t="s">
        <v>1196</v>
      </c>
      <c r="B3" s="1522"/>
      <c r="C3" s="1523" t="s">
        <v>1197</v>
      </c>
      <c r="D3" s="1523" t="s">
        <v>1198</v>
      </c>
      <c r="E3" s="1523" t="s">
        <v>1845</v>
      </c>
      <c r="F3" s="1523" t="s">
        <v>1200</v>
      </c>
      <c r="G3" s="1524"/>
      <c r="H3" s="1520" t="s">
        <v>1201</v>
      </c>
      <c r="I3" s="1521" t="s">
        <v>1202</v>
      </c>
      <c r="J3" s="1521" t="s">
        <v>1203</v>
      </c>
      <c r="K3" s="1521" t="s">
        <v>1204</v>
      </c>
      <c r="L3" s="1521" t="s">
        <v>1205</v>
      </c>
      <c r="M3" s="1521" t="s">
        <v>1206</v>
      </c>
      <c r="N3" s="1521" t="s">
        <v>1207</v>
      </c>
      <c r="O3" s="1521" t="s">
        <v>1208</v>
      </c>
      <c r="P3" s="1521" t="s">
        <v>1209</v>
      </c>
      <c r="Q3" s="1521" t="s">
        <v>1210</v>
      </c>
      <c r="R3" s="1521" t="s">
        <v>1211</v>
      </c>
      <c r="S3" s="1521" t="s">
        <v>1212</v>
      </c>
    </row>
    <row r="4" spans="1:19" s="1516" customFormat="1" ht="19.5" customHeight="1" thickBot="1">
      <c r="A4" s="3934"/>
      <c r="B4" s="1525" t="s">
        <v>1213</v>
      </c>
      <c r="C4" s="1525" t="s">
        <v>1214</v>
      </c>
      <c r="D4" s="1525" t="s">
        <v>1214</v>
      </c>
      <c r="E4" s="1525" t="s">
        <v>1214</v>
      </c>
      <c r="F4" s="1526" t="s">
        <v>1214</v>
      </c>
      <c r="G4" s="1524"/>
      <c r="H4" s="1520" t="s">
        <v>1215</v>
      </c>
      <c r="I4" s="1521" t="s">
        <v>1138</v>
      </c>
      <c r="J4" s="1521" t="s">
        <v>1216</v>
      </c>
      <c r="K4" s="1521" t="s">
        <v>1217</v>
      </c>
      <c r="L4" s="1521" t="s">
        <v>1218</v>
      </c>
      <c r="M4" s="1521" t="s">
        <v>1219</v>
      </c>
      <c r="N4" s="1521" t="s">
        <v>1220</v>
      </c>
      <c r="O4" s="1521" t="s">
        <v>1221</v>
      </c>
      <c r="P4" s="1521" t="s">
        <v>1222</v>
      </c>
      <c r="Q4" s="1521" t="s">
        <v>1223</v>
      </c>
      <c r="R4" s="1521" t="s">
        <v>1224</v>
      </c>
      <c r="S4" s="1521" t="s">
        <v>1225</v>
      </c>
    </row>
    <row r="5" spans="1:19" ht="14.25" customHeight="1" thickBot="1">
      <c r="A5" s="1527" t="s">
        <v>1952</v>
      </c>
      <c r="B5" s="1528" t="s">
        <v>1953</v>
      </c>
      <c r="C5" s="1528">
        <v>29530</v>
      </c>
      <c r="D5" s="1528">
        <v>28130</v>
      </c>
      <c r="E5" s="1528">
        <v>27930</v>
      </c>
      <c r="F5" s="1529">
        <v>11300</v>
      </c>
      <c r="G5" s="1524"/>
      <c r="H5" s="1520" t="s">
        <v>1227</v>
      </c>
      <c r="I5" s="1521" t="s">
        <v>1228</v>
      </c>
      <c r="J5" s="1521" t="s">
        <v>1229</v>
      </c>
      <c r="K5" s="1521" t="s">
        <v>1230</v>
      </c>
      <c r="L5" s="1521" t="s">
        <v>1231</v>
      </c>
      <c r="M5" s="1521" t="s">
        <v>1232</v>
      </c>
      <c r="N5" s="1521" t="s">
        <v>1233</v>
      </c>
      <c r="O5" s="1521" t="s">
        <v>1234</v>
      </c>
      <c r="P5" s="1521" t="s">
        <v>1235</v>
      </c>
      <c r="Q5" s="1521" t="s">
        <v>1236</v>
      </c>
      <c r="R5" s="1521" t="s">
        <v>1237</v>
      </c>
      <c r="S5" s="1521" t="s">
        <v>1238</v>
      </c>
    </row>
    <row r="6" spans="1:19" ht="14.25" customHeight="1" thickBot="1">
      <c r="A6" s="1527" t="s">
        <v>1226</v>
      </c>
      <c r="B6" s="1521" t="s">
        <v>1201</v>
      </c>
      <c r="C6" s="1521">
        <v>30290</v>
      </c>
      <c r="D6" s="1521">
        <v>29210</v>
      </c>
      <c r="E6" s="1521">
        <v>28860</v>
      </c>
      <c r="F6" s="1530">
        <v>12600</v>
      </c>
      <c r="G6" s="1524"/>
      <c r="H6" s="1520" t="s">
        <v>1239</v>
      </c>
      <c r="I6" s="1521" t="s">
        <v>1240</v>
      </c>
      <c r="J6" s="1521" t="s">
        <v>1241</v>
      </c>
      <c r="K6" s="1521" t="s">
        <v>1242</v>
      </c>
      <c r="L6" s="1521" t="s">
        <v>1243</v>
      </c>
      <c r="M6" s="1521" t="s">
        <v>1244</v>
      </c>
      <c r="N6" s="1521" t="s">
        <v>1245</v>
      </c>
      <c r="O6" s="1521" t="s">
        <v>1246</v>
      </c>
      <c r="P6" s="1521" t="s">
        <v>1247</v>
      </c>
      <c r="Q6" s="1521" t="s">
        <v>1248</v>
      </c>
      <c r="R6" s="1521" t="s">
        <v>1249</v>
      </c>
      <c r="S6" s="1521" t="s">
        <v>1250</v>
      </c>
    </row>
    <row r="7" spans="1:19" ht="14.25" customHeight="1" thickBot="1">
      <c r="A7" s="1527" t="s">
        <v>1226</v>
      </c>
      <c r="B7" s="1531" t="s">
        <v>1215</v>
      </c>
      <c r="C7" s="1521">
        <v>29350</v>
      </c>
      <c r="D7" s="1521">
        <v>28410</v>
      </c>
      <c r="E7" s="1521">
        <v>27990</v>
      </c>
      <c r="F7" s="1530">
        <v>12300</v>
      </c>
      <c r="G7" s="1524"/>
      <c r="I7" s="1521" t="s">
        <v>1251</v>
      </c>
      <c r="J7" s="1521" t="s">
        <v>1252</v>
      </c>
      <c r="K7" s="1521" t="s">
        <v>1253</v>
      </c>
      <c r="L7" s="1521" t="s">
        <v>1254</v>
      </c>
      <c r="M7" s="1521" t="s">
        <v>1255</v>
      </c>
      <c r="N7" s="1521" t="s">
        <v>1256</v>
      </c>
      <c r="O7" s="1521" t="s">
        <v>1257</v>
      </c>
      <c r="P7" s="1521" t="s">
        <v>1258</v>
      </c>
      <c r="Q7" s="1521" t="s">
        <v>1259</v>
      </c>
      <c r="R7" s="1521" t="s">
        <v>1260</v>
      </c>
      <c r="S7" s="1531" t="s">
        <v>1261</v>
      </c>
    </row>
    <row r="8" spans="1:19" ht="14.25" customHeight="1" thickBot="1">
      <c r="A8" s="1527" t="s">
        <v>1226</v>
      </c>
      <c r="B8" s="1521" t="s">
        <v>1227</v>
      </c>
      <c r="C8" s="1521">
        <v>30890</v>
      </c>
      <c r="D8" s="1521">
        <v>29780</v>
      </c>
      <c r="E8" s="1521">
        <v>29270</v>
      </c>
      <c r="F8" s="1530">
        <v>11600</v>
      </c>
      <c r="G8" s="1524"/>
      <c r="I8" s="1521" t="s">
        <v>1262</v>
      </c>
      <c r="J8" s="1521" t="s">
        <v>1263</v>
      </c>
      <c r="K8" s="1521" t="s">
        <v>1264</v>
      </c>
      <c r="L8" s="1521" t="s">
        <v>1265</v>
      </c>
      <c r="M8" s="1521" t="s">
        <v>1266</v>
      </c>
      <c r="N8" s="1521" t="s">
        <v>1267</v>
      </c>
      <c r="O8" s="1521" t="s">
        <v>1268</v>
      </c>
      <c r="P8" s="1521" t="s">
        <v>1269</v>
      </c>
      <c r="Q8" s="1521" t="s">
        <v>1270</v>
      </c>
      <c r="R8" s="1521" t="s">
        <v>1271</v>
      </c>
      <c r="S8" s="1521" t="s">
        <v>1272</v>
      </c>
    </row>
    <row r="9" spans="1:19" ht="14.25" customHeight="1" thickBot="1">
      <c r="A9" s="1527" t="s">
        <v>1226</v>
      </c>
      <c r="B9" s="1532" t="s">
        <v>1239</v>
      </c>
      <c r="C9" s="1533">
        <v>28140</v>
      </c>
      <c r="D9" s="1533"/>
      <c r="E9" s="1533"/>
      <c r="F9" s="1534"/>
      <c r="G9" s="1524"/>
      <c r="I9" s="1521" t="s">
        <v>1273</v>
      </c>
      <c r="J9" s="1521" t="s">
        <v>1274</v>
      </c>
      <c r="K9" s="1521" t="s">
        <v>1275</v>
      </c>
      <c r="L9" s="1521" t="s">
        <v>1276</v>
      </c>
      <c r="M9" s="1521" t="s">
        <v>1277</v>
      </c>
      <c r="N9" s="1521" t="s">
        <v>1278</v>
      </c>
      <c r="O9" s="1521" t="s">
        <v>1279</v>
      </c>
      <c r="P9" s="1521" t="s">
        <v>1280</v>
      </c>
      <c r="Q9" s="1521" t="s">
        <v>1281</v>
      </c>
      <c r="R9" s="1521" t="s">
        <v>1282</v>
      </c>
    </row>
    <row r="10" spans="1:19" ht="14.25" customHeight="1" thickBot="1">
      <c r="A10" s="1527" t="s">
        <v>1283</v>
      </c>
      <c r="B10" s="1528" t="s">
        <v>1284</v>
      </c>
      <c r="C10" s="1528">
        <v>27450</v>
      </c>
      <c r="D10" s="1528">
        <v>26180</v>
      </c>
      <c r="E10" s="1528">
        <v>25980</v>
      </c>
      <c r="F10" s="1529">
        <v>8910</v>
      </c>
      <c r="G10" s="1524"/>
      <c r="I10" s="1521" t="s">
        <v>1285</v>
      </c>
      <c r="J10" s="1521" t="s">
        <v>1286</v>
      </c>
      <c r="K10" s="1521" t="s">
        <v>1287</v>
      </c>
      <c r="L10" s="1521" t="s">
        <v>1288</v>
      </c>
      <c r="M10" s="1521" t="s">
        <v>1289</v>
      </c>
      <c r="N10" s="1521" t="s">
        <v>1290</v>
      </c>
      <c r="O10" s="1521" t="s">
        <v>1291</v>
      </c>
      <c r="P10" s="1521" t="s">
        <v>1292</v>
      </c>
      <c r="Q10" s="1521" t="s">
        <v>1293</v>
      </c>
      <c r="R10" s="1521" t="s">
        <v>1294</v>
      </c>
    </row>
    <row r="11" spans="1:19" ht="14.25" customHeight="1" thickBot="1">
      <c r="A11" s="1527" t="s">
        <v>1283</v>
      </c>
      <c r="B11" s="1531" t="s">
        <v>1202</v>
      </c>
      <c r="C11" s="1521">
        <v>22950</v>
      </c>
      <c r="D11" s="1521">
        <v>22630</v>
      </c>
      <c r="E11" s="1521">
        <v>22030</v>
      </c>
      <c r="F11" s="1535">
        <v>8330</v>
      </c>
      <c r="G11" s="1524"/>
      <c r="I11" s="1521" t="s">
        <v>1295</v>
      </c>
      <c r="J11" s="1521" t="s">
        <v>1296</v>
      </c>
      <c r="K11" s="1521" t="s">
        <v>1297</v>
      </c>
      <c r="L11" s="1521" t="s">
        <v>1298</v>
      </c>
      <c r="M11" s="1521" t="s">
        <v>1299</v>
      </c>
      <c r="N11" s="1521" t="s">
        <v>1300</v>
      </c>
      <c r="O11" s="1521" t="s">
        <v>1301</v>
      </c>
      <c r="P11" s="1521" t="s">
        <v>1302</v>
      </c>
      <c r="Q11" s="1521" t="s">
        <v>1303</v>
      </c>
      <c r="R11" s="1521" t="s">
        <v>1304</v>
      </c>
    </row>
    <row r="12" spans="1:19" ht="14.25" customHeight="1" thickBot="1">
      <c r="A12" s="1527" t="s">
        <v>1283</v>
      </c>
      <c r="B12" s="1531" t="s">
        <v>1138</v>
      </c>
      <c r="C12" s="1521">
        <v>24940</v>
      </c>
      <c r="D12" s="1521">
        <v>23180</v>
      </c>
      <c r="E12" s="1521">
        <v>22910</v>
      </c>
      <c r="F12" s="1535">
        <v>7180</v>
      </c>
      <c r="G12" s="1524"/>
      <c r="I12" s="1521" t="s">
        <v>1305</v>
      </c>
      <c r="J12" s="1521" t="s">
        <v>1306</v>
      </c>
      <c r="K12" s="1521" t="s">
        <v>1307</v>
      </c>
      <c r="L12" s="1521" t="s">
        <v>1308</v>
      </c>
      <c r="M12" s="1521" t="s">
        <v>1309</v>
      </c>
      <c r="N12" s="1521" t="s">
        <v>1310</v>
      </c>
      <c r="O12" s="1521" t="s">
        <v>1311</v>
      </c>
      <c r="P12" s="1521" t="s">
        <v>1312</v>
      </c>
      <c r="Q12" s="1521" t="s">
        <v>1313</v>
      </c>
      <c r="R12" s="1521" t="s">
        <v>1314</v>
      </c>
    </row>
    <row r="13" spans="1:19" ht="14.25" customHeight="1" thickBot="1">
      <c r="A13" s="1527" t="s">
        <v>1283</v>
      </c>
      <c r="B13" s="1531" t="s">
        <v>1228</v>
      </c>
      <c r="C13" s="1521">
        <v>24140</v>
      </c>
      <c r="D13" s="1521">
        <v>22270</v>
      </c>
      <c r="E13" s="1521">
        <v>21950</v>
      </c>
      <c r="F13" s="1535">
        <v>7600</v>
      </c>
      <c r="G13" s="1524"/>
      <c r="I13" s="1521" t="s">
        <v>1315</v>
      </c>
      <c r="J13" s="1521" t="s">
        <v>1316</v>
      </c>
      <c r="K13" s="1521" t="s">
        <v>1317</v>
      </c>
      <c r="L13" s="1521" t="s">
        <v>1318</v>
      </c>
      <c r="M13" s="1521" t="s">
        <v>1319</v>
      </c>
      <c r="N13" s="1521" t="s">
        <v>1320</v>
      </c>
      <c r="O13" s="1521" t="s">
        <v>1321</v>
      </c>
      <c r="P13" s="1521" t="s">
        <v>1322</v>
      </c>
      <c r="Q13" s="1521" t="s">
        <v>1323</v>
      </c>
      <c r="R13" s="1521" t="s">
        <v>1324</v>
      </c>
    </row>
    <row r="14" spans="1:19" ht="14.25" customHeight="1" thickBot="1">
      <c r="A14" s="1527" t="s">
        <v>1283</v>
      </c>
      <c r="B14" s="1531" t="s">
        <v>1240</v>
      </c>
      <c r="C14" s="1521">
        <v>25600</v>
      </c>
      <c r="D14" s="1521">
        <v>22260</v>
      </c>
      <c r="E14" s="1521">
        <v>22110</v>
      </c>
      <c r="F14" s="1535">
        <v>7630</v>
      </c>
      <c r="G14" s="1524"/>
      <c r="I14" s="1521" t="s">
        <v>1325</v>
      </c>
      <c r="J14" s="1521" t="s">
        <v>1326</v>
      </c>
      <c r="K14" s="1521" t="s">
        <v>1327</v>
      </c>
      <c r="L14" s="1521" t="s">
        <v>1328</v>
      </c>
      <c r="M14" s="1521" t="s">
        <v>1329</v>
      </c>
      <c r="N14" s="1521" t="s">
        <v>1330</v>
      </c>
      <c r="O14" s="1521" t="s">
        <v>1331</v>
      </c>
      <c r="P14" s="1521" t="s">
        <v>1332</v>
      </c>
      <c r="Q14" s="1521" t="s">
        <v>1333</v>
      </c>
      <c r="R14" s="1521" t="s">
        <v>1334</v>
      </c>
    </row>
    <row r="15" spans="1:19" ht="14.25" customHeight="1" thickBot="1">
      <c r="A15" s="1527" t="s">
        <v>1283</v>
      </c>
      <c r="B15" s="1531" t="s">
        <v>1251</v>
      </c>
      <c r="C15" s="1521">
        <v>24760</v>
      </c>
      <c r="D15" s="1521">
        <v>24440</v>
      </c>
      <c r="E15" s="1521">
        <v>24130</v>
      </c>
      <c r="F15" s="1535">
        <v>9480</v>
      </c>
      <c r="G15" s="1524"/>
      <c r="I15" s="1521" t="s">
        <v>1336</v>
      </c>
      <c r="J15" s="1521" t="s">
        <v>1337</v>
      </c>
      <c r="K15" s="1521" t="s">
        <v>1338</v>
      </c>
      <c r="L15" s="1521" t="s">
        <v>1339</v>
      </c>
      <c r="M15" s="1521" t="s">
        <v>1340</v>
      </c>
      <c r="N15" s="1521" t="s">
        <v>1341</v>
      </c>
      <c r="O15" s="1521" t="s">
        <v>1342</v>
      </c>
      <c r="P15" s="1521" t="s">
        <v>1343</v>
      </c>
      <c r="Q15" s="1521" t="s">
        <v>1344</v>
      </c>
      <c r="R15" s="1521" t="s">
        <v>1345</v>
      </c>
    </row>
    <row r="16" spans="1:19" ht="14.25" customHeight="1" thickBot="1">
      <c r="A16" s="1527" t="s">
        <v>1283</v>
      </c>
      <c r="B16" s="1531" t="s">
        <v>1262</v>
      </c>
      <c r="C16" s="1521">
        <v>22220</v>
      </c>
      <c r="D16" s="1521">
        <v>22310</v>
      </c>
      <c r="E16" s="1521">
        <v>22000</v>
      </c>
      <c r="F16" s="1535">
        <v>8900</v>
      </c>
      <c r="G16" s="1524"/>
      <c r="I16" s="1521" t="s">
        <v>1347</v>
      </c>
      <c r="J16" s="1521" t="s">
        <v>1348</v>
      </c>
      <c r="K16" s="1521" t="s">
        <v>1349</v>
      </c>
      <c r="L16" s="1521" t="s">
        <v>1350</v>
      </c>
      <c r="M16" s="1521" t="s">
        <v>1351</v>
      </c>
      <c r="N16" s="1521" t="s">
        <v>1352</v>
      </c>
      <c r="O16" s="1521" t="s">
        <v>1353</v>
      </c>
      <c r="P16" s="1521" t="s">
        <v>1354</v>
      </c>
      <c r="Q16" s="1521" t="s">
        <v>1355</v>
      </c>
      <c r="R16" s="1521" t="s">
        <v>1356</v>
      </c>
    </row>
    <row r="17" spans="1:18" ht="14.25" customHeight="1" thickBot="1">
      <c r="A17" s="1527" t="s">
        <v>1283</v>
      </c>
      <c r="B17" s="1531" t="s">
        <v>1273</v>
      </c>
      <c r="C17" s="1521">
        <v>24700</v>
      </c>
      <c r="D17" s="1521">
        <v>25150</v>
      </c>
      <c r="E17" s="1521">
        <v>24700</v>
      </c>
      <c r="F17" s="1536"/>
      <c r="G17" s="1524"/>
      <c r="I17" s="1521" t="s">
        <v>1357</v>
      </c>
      <c r="J17" s="1521" t="s">
        <v>1358</v>
      </c>
      <c r="K17" s="1521" t="s">
        <v>1359</v>
      </c>
      <c r="L17" s="1521" t="s">
        <v>1360</v>
      </c>
      <c r="M17" s="1521" t="s">
        <v>1361</v>
      </c>
      <c r="N17" s="1521" t="s">
        <v>1362</v>
      </c>
      <c r="O17" s="1521" t="s">
        <v>1363</v>
      </c>
      <c r="P17" s="1521" t="s">
        <v>1364</v>
      </c>
      <c r="Q17" s="1521" t="s">
        <v>1365</v>
      </c>
      <c r="R17" s="1521" t="s">
        <v>1366</v>
      </c>
    </row>
    <row r="18" spans="1:18" ht="14.25" customHeight="1" thickBot="1">
      <c r="A18" s="1527" t="s">
        <v>1283</v>
      </c>
      <c r="B18" s="1531" t="s">
        <v>1285</v>
      </c>
      <c r="C18" s="1521">
        <v>22350</v>
      </c>
      <c r="D18" s="1521">
        <v>24340</v>
      </c>
      <c r="E18" s="1521">
        <v>24100</v>
      </c>
      <c r="F18" s="1536"/>
      <c r="G18" s="1524"/>
      <c r="I18" s="1521" t="s">
        <v>1367</v>
      </c>
      <c r="J18" s="1521" t="s">
        <v>1368</v>
      </c>
      <c r="K18" s="1521" t="s">
        <v>1369</v>
      </c>
      <c r="L18" s="1521" t="s">
        <v>1370</v>
      </c>
      <c r="M18" s="1521" t="s">
        <v>1371</v>
      </c>
      <c r="N18" s="1521" t="s">
        <v>1372</v>
      </c>
      <c r="O18" s="1521" t="s">
        <v>1373</v>
      </c>
      <c r="P18" s="1521" t="s">
        <v>1374</v>
      </c>
      <c r="Q18" s="1521" t="s">
        <v>1375</v>
      </c>
      <c r="R18" s="1521" t="s">
        <v>1376</v>
      </c>
    </row>
    <row r="19" spans="1:18" ht="14.25" customHeight="1" thickBot="1">
      <c r="A19" s="1527" t="s">
        <v>1283</v>
      </c>
      <c r="B19" s="1531" t="s">
        <v>1295</v>
      </c>
      <c r="C19" s="1521">
        <v>23430</v>
      </c>
      <c r="D19" s="1521">
        <v>21580</v>
      </c>
      <c r="E19" s="1521">
        <v>21350</v>
      </c>
      <c r="F19" s="1536"/>
      <c r="G19" s="1524"/>
      <c r="I19" s="1521" t="s">
        <v>1377</v>
      </c>
      <c r="J19" s="1521" t="s">
        <v>1378</v>
      </c>
      <c r="K19" s="1521" t="s">
        <v>1379</v>
      </c>
      <c r="L19" s="1521" t="s">
        <v>1380</v>
      </c>
      <c r="M19" s="1521" t="s">
        <v>1381</v>
      </c>
      <c r="N19" s="1521" t="s">
        <v>1382</v>
      </c>
      <c r="O19" s="1521" t="s">
        <v>1383</v>
      </c>
      <c r="P19" s="1521" t="s">
        <v>1384</v>
      </c>
      <c r="Q19" s="1521" t="s">
        <v>1385</v>
      </c>
      <c r="R19" s="1521" t="s">
        <v>1386</v>
      </c>
    </row>
    <row r="20" spans="1:18" ht="14.25" customHeight="1" thickBot="1">
      <c r="A20" s="1527" t="s">
        <v>1283</v>
      </c>
      <c r="B20" s="1531" t="s">
        <v>1305</v>
      </c>
      <c r="C20" s="1521">
        <v>27660</v>
      </c>
      <c r="D20" s="1521">
        <v>24240</v>
      </c>
      <c r="E20" s="1521">
        <v>24020</v>
      </c>
      <c r="F20" s="1536"/>
      <c r="I20" s="1521" t="s">
        <v>1387</v>
      </c>
      <c r="J20" s="1521" t="s">
        <v>1388</v>
      </c>
      <c r="K20" s="1521" t="s">
        <v>1389</v>
      </c>
      <c r="L20" s="1521" t="s">
        <v>1390</v>
      </c>
      <c r="M20" s="1521" t="s">
        <v>1391</v>
      </c>
      <c r="N20" s="1521" t="s">
        <v>1392</v>
      </c>
      <c r="O20" s="1521" t="s">
        <v>1393</v>
      </c>
      <c r="P20" s="1521" t="s">
        <v>1394</v>
      </c>
      <c r="Q20" s="1521" t="s">
        <v>1395</v>
      </c>
      <c r="R20" s="1521" t="s">
        <v>1396</v>
      </c>
    </row>
    <row r="21" spans="1:18" ht="14.25" customHeight="1" thickBot="1">
      <c r="A21" s="1527" t="s">
        <v>1283</v>
      </c>
      <c r="B21" s="1531" t="s">
        <v>1315</v>
      </c>
      <c r="C21" s="1521">
        <v>24720</v>
      </c>
      <c r="D21" s="1521">
        <v>21670</v>
      </c>
      <c r="E21" s="1521">
        <v>21510</v>
      </c>
      <c r="F21" s="1536"/>
      <c r="J21" s="1521" t="s">
        <v>1397</v>
      </c>
      <c r="K21" s="1521" t="s">
        <v>1398</v>
      </c>
      <c r="L21" s="1521" t="s">
        <v>1399</v>
      </c>
      <c r="M21" s="1521" t="s">
        <v>1400</v>
      </c>
      <c r="N21" s="1521" t="s">
        <v>1401</v>
      </c>
      <c r="O21" s="1521" t="s">
        <v>1402</v>
      </c>
      <c r="P21" s="1521" t="s">
        <v>1403</v>
      </c>
      <c r="Q21" s="1521" t="s">
        <v>1404</v>
      </c>
      <c r="R21" s="1521" t="s">
        <v>1405</v>
      </c>
    </row>
    <row r="22" spans="1:18" ht="14.25" customHeight="1" thickBot="1">
      <c r="A22" s="1527" t="s">
        <v>1283</v>
      </c>
      <c r="B22" s="1531" t="s">
        <v>1406</v>
      </c>
      <c r="C22" s="1521">
        <v>26530</v>
      </c>
      <c r="D22" s="1521">
        <v>22980</v>
      </c>
      <c r="E22" s="1521">
        <v>22650</v>
      </c>
      <c r="F22" s="1536"/>
      <c r="K22" s="1521" t="s">
        <v>1407</v>
      </c>
      <c r="L22" s="1521" t="s">
        <v>1408</v>
      </c>
      <c r="M22" s="1521" t="s">
        <v>1409</v>
      </c>
      <c r="N22" s="1521" t="s">
        <v>1410</v>
      </c>
      <c r="O22" s="1521" t="s">
        <v>1411</v>
      </c>
      <c r="P22" s="1521" t="s">
        <v>1412</v>
      </c>
      <c r="Q22" s="1521" t="s">
        <v>1413</v>
      </c>
      <c r="R22" s="1531" t="s">
        <v>1414</v>
      </c>
    </row>
    <row r="23" spans="1:18" ht="14.25" customHeight="1" thickBot="1">
      <c r="A23" s="1527" t="s">
        <v>1283</v>
      </c>
      <c r="B23" s="1531" t="s">
        <v>1336</v>
      </c>
      <c r="C23" s="1521">
        <v>24700</v>
      </c>
      <c r="D23" s="1521">
        <v>27290</v>
      </c>
      <c r="E23" s="1521">
        <v>26710</v>
      </c>
      <c r="F23" s="1536"/>
      <c r="K23" s="1521" t="s">
        <v>1415</v>
      </c>
      <c r="L23" s="1521" t="s">
        <v>1416</v>
      </c>
      <c r="M23" s="1521" t="s">
        <v>1417</v>
      </c>
      <c r="N23" s="1521" t="s">
        <v>1418</v>
      </c>
      <c r="O23" s="1521" t="s">
        <v>1419</v>
      </c>
      <c r="P23" s="1521" t="s">
        <v>1420</v>
      </c>
      <c r="Q23" s="1521" t="s">
        <v>1421</v>
      </c>
    </row>
    <row r="24" spans="1:18" ht="14.25" customHeight="1" thickBot="1">
      <c r="A24" s="1527" t="s">
        <v>1283</v>
      </c>
      <c r="B24" s="1531" t="s">
        <v>1347</v>
      </c>
      <c r="C24" s="1521">
        <v>23070</v>
      </c>
      <c r="D24" s="1521">
        <v>24130</v>
      </c>
      <c r="E24" s="1521">
        <v>23860</v>
      </c>
      <c r="F24" s="1536"/>
      <c r="K24" s="1521" t="s">
        <v>1422</v>
      </c>
      <c r="L24" s="1521" t="s">
        <v>1423</v>
      </c>
      <c r="M24" s="1521" t="s">
        <v>1424</v>
      </c>
      <c r="N24" s="1521" t="s">
        <v>1425</v>
      </c>
      <c r="O24" s="1521" t="s">
        <v>1426</v>
      </c>
      <c r="P24" s="1521" t="s">
        <v>1427</v>
      </c>
      <c r="Q24" s="1521" t="s">
        <v>1428</v>
      </c>
    </row>
    <row r="25" spans="1:18" ht="14.25" customHeight="1" thickBot="1">
      <c r="A25" s="1527" t="s">
        <v>1283</v>
      </c>
      <c r="B25" s="1531" t="s">
        <v>1357</v>
      </c>
      <c r="C25" s="1521">
        <v>27550</v>
      </c>
      <c r="D25" s="1521">
        <v>25850</v>
      </c>
      <c r="E25" s="1521">
        <v>25340</v>
      </c>
      <c r="F25" s="1536"/>
      <c r="K25" s="1521" t="s">
        <v>1429</v>
      </c>
      <c r="L25" s="1521" t="s">
        <v>1430</v>
      </c>
      <c r="M25" s="1521" t="s">
        <v>1431</v>
      </c>
      <c r="N25" s="1521" t="s">
        <v>1432</v>
      </c>
      <c r="O25" s="1521" t="s">
        <v>1433</v>
      </c>
      <c r="P25" s="1521" t="s">
        <v>1434</v>
      </c>
      <c r="Q25" s="1521" t="s">
        <v>1435</v>
      </c>
    </row>
    <row r="26" spans="1:18" ht="14.25" customHeight="1" thickBot="1">
      <c r="A26" s="1527" t="s">
        <v>1283</v>
      </c>
      <c r="B26" s="1531" t="s">
        <v>1367</v>
      </c>
      <c r="C26" s="1521"/>
      <c r="D26" s="1521">
        <v>23900</v>
      </c>
      <c r="E26" s="1521">
        <v>23590</v>
      </c>
      <c r="F26" s="1536"/>
      <c r="K26" s="1521" t="s">
        <v>1436</v>
      </c>
      <c r="L26" s="1521" t="s">
        <v>1437</v>
      </c>
      <c r="M26" s="1521" t="s">
        <v>1438</v>
      </c>
      <c r="N26" s="1521" t="s">
        <v>1439</v>
      </c>
      <c r="O26" s="1521" t="s">
        <v>1440</v>
      </c>
      <c r="P26" s="1521" t="s">
        <v>1441</v>
      </c>
      <c r="Q26" s="1521" t="s">
        <v>1442</v>
      </c>
    </row>
    <row r="27" spans="1:18" ht="14.25" customHeight="1" thickBot="1">
      <c r="A27" s="1527" t="s">
        <v>1283</v>
      </c>
      <c r="B27" s="1531" t="s">
        <v>1377</v>
      </c>
      <c r="C27" s="1521"/>
      <c r="D27" s="1521">
        <v>22850</v>
      </c>
      <c r="E27" s="1521">
        <v>21920</v>
      </c>
      <c r="F27" s="1536"/>
      <c r="K27" s="1521" t="s">
        <v>1443</v>
      </c>
      <c r="L27" s="1521" t="s">
        <v>1444</v>
      </c>
      <c r="M27" s="1521" t="s">
        <v>1445</v>
      </c>
      <c r="N27" s="1521" t="s">
        <v>1446</v>
      </c>
      <c r="O27" s="1521" t="s">
        <v>1447</v>
      </c>
      <c r="P27" s="1521" t="s">
        <v>1448</v>
      </c>
      <c r="Q27" s="1521" t="s">
        <v>1449</v>
      </c>
    </row>
    <row r="28" spans="1:18" ht="14.25" customHeight="1" thickBot="1">
      <c r="A28" s="1537" t="s">
        <v>1283</v>
      </c>
      <c r="B28" s="1532" t="s">
        <v>1387</v>
      </c>
      <c r="C28" s="1533"/>
      <c r="D28" s="1533">
        <v>26610</v>
      </c>
      <c r="E28" s="1533">
        <v>26370</v>
      </c>
      <c r="F28" s="1534"/>
      <c r="K28" s="1521" t="s">
        <v>1450</v>
      </c>
      <c r="L28" s="1521" t="s">
        <v>1451</v>
      </c>
      <c r="M28" s="1521" t="s">
        <v>1452</v>
      </c>
      <c r="N28" s="1521" t="s">
        <v>1453</v>
      </c>
      <c r="O28" s="1521" t="s">
        <v>1454</v>
      </c>
      <c r="P28" s="1521" t="s">
        <v>1455</v>
      </c>
    </row>
    <row r="29" spans="1:18" ht="14.25" customHeight="1" thickBot="1">
      <c r="A29" s="1527" t="s">
        <v>1456</v>
      </c>
      <c r="B29" s="1528" t="s">
        <v>1457</v>
      </c>
      <c r="C29" s="1528">
        <v>22090</v>
      </c>
      <c r="D29" s="1528">
        <v>21860</v>
      </c>
      <c r="E29" s="1528">
        <v>19380</v>
      </c>
      <c r="F29" s="1529">
        <v>6610</v>
      </c>
      <c r="L29" s="1521" t="s">
        <v>1458</v>
      </c>
      <c r="M29" s="1521" t="s">
        <v>1459</v>
      </c>
      <c r="N29" s="1521" t="s">
        <v>1460</v>
      </c>
      <c r="O29" s="1521" t="s">
        <v>1461</v>
      </c>
      <c r="P29" s="1521" t="s">
        <v>1462</v>
      </c>
    </row>
    <row r="30" spans="1:18" ht="14.25" customHeight="1" thickBot="1">
      <c r="A30" s="1527" t="s">
        <v>1456</v>
      </c>
      <c r="B30" s="1531" t="s">
        <v>1203</v>
      </c>
      <c r="C30" s="1521">
        <v>21380</v>
      </c>
      <c r="D30" s="1521">
        <v>19930</v>
      </c>
      <c r="E30" s="1521">
        <v>19860</v>
      </c>
      <c r="F30" s="1535">
        <v>6010</v>
      </c>
      <c r="L30" s="1521" t="s">
        <v>1463</v>
      </c>
      <c r="M30" s="1521" t="s">
        <v>1464</v>
      </c>
      <c r="N30" s="1521" t="s">
        <v>1465</v>
      </c>
      <c r="O30" s="1521" t="s">
        <v>2495</v>
      </c>
      <c r="P30" s="1521" t="s">
        <v>1466</v>
      </c>
    </row>
    <row r="31" spans="1:18" ht="14.25" customHeight="1" thickBot="1">
      <c r="A31" s="1527" t="s">
        <v>1456</v>
      </c>
      <c r="B31" s="1531" t="s">
        <v>1216</v>
      </c>
      <c r="C31" s="1521">
        <v>21670</v>
      </c>
      <c r="D31" s="1521">
        <v>20660</v>
      </c>
      <c r="E31" s="1521">
        <v>20290</v>
      </c>
      <c r="F31" s="1535">
        <v>5840</v>
      </c>
      <c r="L31" s="1521" t="s">
        <v>1467</v>
      </c>
      <c r="M31" s="1521" t="s">
        <v>1468</v>
      </c>
      <c r="N31" s="1521" t="s">
        <v>1469</v>
      </c>
      <c r="O31" s="1521" t="s">
        <v>1470</v>
      </c>
      <c r="P31" s="1521" t="s">
        <v>1471</v>
      </c>
    </row>
    <row r="32" spans="1:18" ht="14.25" customHeight="1" thickBot="1">
      <c r="A32" s="1527" t="s">
        <v>1456</v>
      </c>
      <c r="B32" s="1531" t="s">
        <v>1229</v>
      </c>
      <c r="C32" s="1521">
        <v>22280</v>
      </c>
      <c r="D32" s="1521">
        <v>21800</v>
      </c>
      <c r="E32" s="1521">
        <v>17650</v>
      </c>
      <c r="F32" s="1535">
        <v>4690</v>
      </c>
      <c r="L32" s="1521" t="s">
        <v>1472</v>
      </c>
      <c r="M32" s="1521" t="s">
        <v>1473</v>
      </c>
      <c r="N32" s="1521" t="s">
        <v>1474</v>
      </c>
      <c r="O32" s="1521" t="s">
        <v>1475</v>
      </c>
      <c r="P32" s="1521" t="s">
        <v>1476</v>
      </c>
    </row>
    <row r="33" spans="1:16" ht="14.25" customHeight="1" thickBot="1">
      <c r="A33" s="1527" t="s">
        <v>1456</v>
      </c>
      <c r="B33" s="1531" t="s">
        <v>1241</v>
      </c>
      <c r="C33" s="1521">
        <v>22130</v>
      </c>
      <c r="D33" s="1521">
        <v>20460</v>
      </c>
      <c r="E33" s="1521">
        <v>18500</v>
      </c>
      <c r="F33" s="1535">
        <v>5340</v>
      </c>
      <c r="L33" s="1521" t="s">
        <v>1477</v>
      </c>
      <c r="M33" s="1521" t="s">
        <v>1478</v>
      </c>
      <c r="N33" s="1521" t="s">
        <v>1479</v>
      </c>
      <c r="O33" s="1521" t="s">
        <v>1480</v>
      </c>
      <c r="P33" s="1521" t="s">
        <v>1481</v>
      </c>
    </row>
    <row r="34" spans="1:16" ht="14.25" customHeight="1" thickBot="1">
      <c r="A34" s="1527" t="s">
        <v>1456</v>
      </c>
      <c r="B34" s="1531" t="s">
        <v>1252</v>
      </c>
      <c r="C34" s="1521">
        <v>22070</v>
      </c>
      <c r="D34" s="1521">
        <v>20110</v>
      </c>
      <c r="E34" s="1521">
        <v>18830</v>
      </c>
      <c r="F34" s="1535">
        <v>5190</v>
      </c>
      <c r="L34" s="1521" t="s">
        <v>1482</v>
      </c>
      <c r="M34" s="1521" t="s">
        <v>1483</v>
      </c>
      <c r="N34" s="1521" t="s">
        <v>1484</v>
      </c>
      <c r="O34" s="1521" t="s">
        <v>1485</v>
      </c>
      <c r="P34" s="1521" t="s">
        <v>1486</v>
      </c>
    </row>
    <row r="35" spans="1:16" ht="14.25" customHeight="1" thickBot="1">
      <c r="A35" s="1527" t="s">
        <v>1456</v>
      </c>
      <c r="B35" s="1531" t="s">
        <v>1263</v>
      </c>
      <c r="C35" s="1521">
        <v>22240</v>
      </c>
      <c r="D35" s="1521">
        <v>19550</v>
      </c>
      <c r="E35" s="1521">
        <v>19220</v>
      </c>
      <c r="F35" s="1535">
        <v>5800</v>
      </c>
      <c r="L35" s="1521" t="s">
        <v>1487</v>
      </c>
      <c r="M35" s="1521" t="s">
        <v>1488</v>
      </c>
      <c r="N35" s="1521" t="s">
        <v>1489</v>
      </c>
      <c r="O35" s="1521" t="s">
        <v>1490</v>
      </c>
      <c r="P35" s="1521" t="s">
        <v>1491</v>
      </c>
    </row>
    <row r="36" spans="1:16" ht="14.25" customHeight="1" thickBot="1">
      <c r="A36" s="1527" t="s">
        <v>1456</v>
      </c>
      <c r="B36" s="1531" t="s">
        <v>1274</v>
      </c>
      <c r="C36" s="1521">
        <v>19750</v>
      </c>
      <c r="D36" s="1521">
        <v>19790</v>
      </c>
      <c r="E36" s="1521">
        <v>18510</v>
      </c>
      <c r="F36" s="1535">
        <v>6520</v>
      </c>
      <c r="M36" s="1521" t="s">
        <v>1492</v>
      </c>
      <c r="N36" s="1521" t="s">
        <v>1493</v>
      </c>
      <c r="O36" s="1521" t="s">
        <v>1494</v>
      </c>
      <c r="P36" s="1521" t="s">
        <v>1495</v>
      </c>
    </row>
    <row r="37" spans="1:16" ht="14.25" customHeight="1" thickBot="1">
      <c r="A37" s="1527" t="s">
        <v>1456</v>
      </c>
      <c r="B37" s="1531" t="s">
        <v>1286</v>
      </c>
      <c r="C37" s="1521">
        <v>22380</v>
      </c>
      <c r="D37" s="1521">
        <v>18530</v>
      </c>
      <c r="E37" s="1521">
        <v>17930</v>
      </c>
      <c r="F37" s="1535">
        <v>6270</v>
      </c>
      <c r="M37" s="1521" t="s">
        <v>1496</v>
      </c>
      <c r="N37" s="1521" t="s">
        <v>1497</v>
      </c>
      <c r="O37" s="1521" t="s">
        <v>1498</v>
      </c>
      <c r="P37" s="1521" t="s">
        <v>1499</v>
      </c>
    </row>
    <row r="38" spans="1:16" ht="14.25" customHeight="1" thickBot="1">
      <c r="A38" s="1527" t="s">
        <v>1456</v>
      </c>
      <c r="B38" s="1531" t="s">
        <v>1296</v>
      </c>
      <c r="C38" s="1521">
        <v>20200</v>
      </c>
      <c r="D38" s="1521">
        <v>20070</v>
      </c>
      <c r="E38" s="1521">
        <v>19950</v>
      </c>
      <c r="F38" s="1535"/>
      <c r="M38" s="1521" t="s">
        <v>1500</v>
      </c>
      <c r="N38" s="1521" t="s">
        <v>1501</v>
      </c>
      <c r="O38" s="1521" t="s">
        <v>1502</v>
      </c>
      <c r="P38" s="1521" t="s">
        <v>1503</v>
      </c>
    </row>
    <row r="39" spans="1:16" ht="14.25" customHeight="1" thickBot="1">
      <c r="A39" s="1527" t="s">
        <v>1456</v>
      </c>
      <c r="B39" s="1531" t="s">
        <v>1306</v>
      </c>
      <c r="C39" s="1521">
        <v>19300</v>
      </c>
      <c r="D39" s="1521">
        <v>20360</v>
      </c>
      <c r="E39" s="1521">
        <v>20230</v>
      </c>
      <c r="F39" s="1535"/>
      <c r="M39" s="1521" t="s">
        <v>1504</v>
      </c>
      <c r="N39" s="1521" t="s">
        <v>1505</v>
      </c>
      <c r="O39" s="1521" t="s">
        <v>1506</v>
      </c>
      <c r="P39" s="1521" t="s">
        <v>1507</v>
      </c>
    </row>
    <row r="40" spans="1:16" ht="14.25" customHeight="1" thickBot="1">
      <c r="A40" s="1527" t="s">
        <v>1456</v>
      </c>
      <c r="B40" s="1531" t="s">
        <v>1316</v>
      </c>
      <c r="C40" s="1521">
        <v>20210</v>
      </c>
      <c r="D40" s="1521">
        <v>19060</v>
      </c>
      <c r="E40" s="1521">
        <v>18890</v>
      </c>
      <c r="F40" s="1535"/>
      <c r="M40" s="1521" t="s">
        <v>1508</v>
      </c>
      <c r="N40" s="1521" t="s">
        <v>1509</v>
      </c>
      <c r="O40" s="1521" t="s">
        <v>1510</v>
      </c>
      <c r="P40" s="1521" t="s">
        <v>1511</v>
      </c>
    </row>
    <row r="41" spans="1:16" ht="14.25" customHeight="1" thickBot="1">
      <c r="A41" s="1527" t="s">
        <v>1456</v>
      </c>
      <c r="B41" s="1531" t="s">
        <v>1326</v>
      </c>
      <c r="C41" s="1521">
        <v>20560</v>
      </c>
      <c r="D41" s="1521">
        <v>21040</v>
      </c>
      <c r="E41" s="1521">
        <v>20740</v>
      </c>
      <c r="F41" s="1535"/>
      <c r="M41" s="1531" t="s">
        <v>1512</v>
      </c>
      <c r="N41" s="1531" t="s">
        <v>1513</v>
      </c>
      <c r="P41" s="1531" t="s">
        <v>1514</v>
      </c>
    </row>
    <row r="42" spans="1:16" ht="14.25" customHeight="1" thickBot="1">
      <c r="A42" s="1527" t="s">
        <v>1456</v>
      </c>
      <c r="B42" s="1531" t="s">
        <v>1337</v>
      </c>
      <c r="C42" s="1521">
        <v>19280</v>
      </c>
      <c r="D42" s="1521">
        <v>22940</v>
      </c>
      <c r="E42" s="1521">
        <v>22500</v>
      </c>
      <c r="F42" s="1535"/>
      <c r="M42" s="1521" t="s">
        <v>1515</v>
      </c>
      <c r="N42" s="1521" t="s">
        <v>1516</v>
      </c>
      <c r="P42" s="1521" t="s">
        <v>1517</v>
      </c>
    </row>
    <row r="43" spans="1:16" ht="14.25" customHeight="1" thickBot="1">
      <c r="A43" s="1527" t="s">
        <v>1456</v>
      </c>
      <c r="B43" s="1531" t="s">
        <v>1348</v>
      </c>
      <c r="C43" s="1521">
        <v>21520</v>
      </c>
      <c r="D43" s="1521">
        <v>19230</v>
      </c>
      <c r="E43" s="1521">
        <v>18540</v>
      </c>
      <c r="F43" s="1535"/>
      <c r="M43" s="1521" t="s">
        <v>1518</v>
      </c>
      <c r="N43" s="1521" t="s">
        <v>1519</v>
      </c>
      <c r="P43" s="1521" t="s">
        <v>1520</v>
      </c>
    </row>
    <row r="44" spans="1:16" ht="14.25" customHeight="1" thickBot="1">
      <c r="A44" s="1527" t="s">
        <v>1456</v>
      </c>
      <c r="B44" s="1531" t="s">
        <v>1358</v>
      </c>
      <c r="C44" s="1521">
        <v>23260</v>
      </c>
      <c r="D44" s="1521">
        <v>21180</v>
      </c>
      <c r="E44" s="1521">
        <v>20730</v>
      </c>
      <c r="F44" s="1535"/>
      <c r="M44" s="1521" t="s">
        <v>1521</v>
      </c>
      <c r="N44" s="1521" t="s">
        <v>1522</v>
      </c>
      <c r="P44" s="1521" t="s">
        <v>1523</v>
      </c>
    </row>
    <row r="45" spans="1:16" ht="14.25" customHeight="1" thickBot="1">
      <c r="A45" s="1527" t="s">
        <v>1456</v>
      </c>
      <c r="B45" s="1531" t="s">
        <v>1368</v>
      </c>
      <c r="C45" s="1521">
        <v>19610</v>
      </c>
      <c r="D45" s="1521">
        <v>18090</v>
      </c>
      <c r="E45" s="1521">
        <v>17970</v>
      </c>
      <c r="F45" s="1535"/>
      <c r="M45" s="1521" t="s">
        <v>1524</v>
      </c>
      <c r="N45" s="1521" t="s">
        <v>1525</v>
      </c>
      <c r="P45" s="1521" t="s">
        <v>1526</v>
      </c>
    </row>
    <row r="46" spans="1:16" ht="14.25" customHeight="1" thickBot="1">
      <c r="A46" s="1527" t="s">
        <v>1456</v>
      </c>
      <c r="B46" s="1531" t="s">
        <v>1378</v>
      </c>
      <c r="C46" s="1521">
        <v>21660</v>
      </c>
      <c r="D46" s="1521">
        <v>19190</v>
      </c>
      <c r="E46" s="1521">
        <v>19790</v>
      </c>
      <c r="F46" s="1535"/>
      <c r="M46" s="1521" t="s">
        <v>1527</v>
      </c>
      <c r="N46" s="1521" t="s">
        <v>1528</v>
      </c>
      <c r="P46" s="1521" t="s">
        <v>1529</v>
      </c>
    </row>
    <row r="47" spans="1:16" ht="14.25" customHeight="1" thickBot="1">
      <c r="A47" s="1527" t="s">
        <v>1456</v>
      </c>
      <c r="B47" s="1531" t="s">
        <v>1388</v>
      </c>
      <c r="C47" s="1521">
        <v>18220</v>
      </c>
      <c r="D47" s="1521"/>
      <c r="E47" s="1521">
        <v>17220</v>
      </c>
      <c r="F47" s="1535"/>
      <c r="M47" s="1521" t="s">
        <v>1530</v>
      </c>
      <c r="N47" s="1521" t="s">
        <v>1531</v>
      </c>
    </row>
    <row r="48" spans="1:16" ht="14.25" customHeight="1" thickBot="1">
      <c r="A48" s="1527" t="s">
        <v>1456</v>
      </c>
      <c r="B48" s="1532" t="s">
        <v>1397</v>
      </c>
      <c r="C48" s="1533">
        <v>19430</v>
      </c>
      <c r="D48" s="1533"/>
      <c r="E48" s="1533">
        <v>17830</v>
      </c>
      <c r="F48" s="1538"/>
      <c r="M48" s="1521" t="s">
        <v>1532</v>
      </c>
      <c r="N48" s="1521" t="s">
        <v>1533</v>
      </c>
    </row>
    <row r="49" spans="1:14" ht="14.25" customHeight="1" thickBot="1">
      <c r="A49" s="1527" t="s">
        <v>1137</v>
      </c>
      <c r="B49" s="1528" t="s">
        <v>1534</v>
      </c>
      <c r="C49" s="1528">
        <v>17090</v>
      </c>
      <c r="D49" s="1528">
        <v>16950</v>
      </c>
      <c r="E49" s="1528">
        <v>16310</v>
      </c>
      <c r="F49" s="1529">
        <v>4540</v>
      </c>
      <c r="M49" s="1521" t="s">
        <v>1535</v>
      </c>
      <c r="N49" s="1521" t="s">
        <v>1536</v>
      </c>
    </row>
    <row r="50" spans="1:14" ht="14.25" customHeight="1" thickBot="1">
      <c r="A50" s="1527" t="s">
        <v>1137</v>
      </c>
      <c r="B50" s="1521" t="s">
        <v>1204</v>
      </c>
      <c r="C50" s="1521">
        <v>19040</v>
      </c>
      <c r="D50" s="1521">
        <v>16960</v>
      </c>
      <c r="E50" s="1521">
        <v>14800</v>
      </c>
      <c r="F50" s="1535">
        <v>3940</v>
      </c>
    </row>
    <row r="51" spans="1:14" ht="14.25" customHeight="1" thickBot="1">
      <c r="A51" s="1527" t="s">
        <v>1137</v>
      </c>
      <c r="B51" s="1521" t="s">
        <v>1217</v>
      </c>
      <c r="C51" s="1521">
        <v>17040</v>
      </c>
      <c r="D51" s="1521">
        <v>16930</v>
      </c>
      <c r="E51" s="1521">
        <v>15030</v>
      </c>
      <c r="F51" s="1535">
        <v>4120</v>
      </c>
    </row>
    <row r="52" spans="1:14" ht="14.25" customHeight="1" thickBot="1">
      <c r="A52" s="1527" t="s">
        <v>1137</v>
      </c>
      <c r="B52" s="1521" t="s">
        <v>1230</v>
      </c>
      <c r="C52" s="1521">
        <v>17110</v>
      </c>
      <c r="D52" s="1521">
        <v>17750</v>
      </c>
      <c r="E52" s="1521">
        <v>17310</v>
      </c>
      <c r="F52" s="1535">
        <v>3220</v>
      </c>
    </row>
    <row r="53" spans="1:14" ht="14.25" customHeight="1" thickBot="1">
      <c r="A53" s="1527" t="s">
        <v>1137</v>
      </c>
      <c r="B53" s="1521" t="s">
        <v>1242</v>
      </c>
      <c r="C53" s="1521">
        <v>17810</v>
      </c>
      <c r="D53" s="1521">
        <v>17260</v>
      </c>
      <c r="E53" s="1521">
        <v>17090</v>
      </c>
      <c r="F53" s="1535">
        <v>3520</v>
      </c>
    </row>
    <row r="54" spans="1:14" ht="14.25" customHeight="1" thickBot="1">
      <c r="A54" s="1527" t="s">
        <v>1137</v>
      </c>
      <c r="B54" s="1521" t="s">
        <v>1253</v>
      </c>
      <c r="C54" s="1521">
        <v>17410</v>
      </c>
      <c r="D54" s="1521">
        <v>16780</v>
      </c>
      <c r="E54" s="1521">
        <v>16370</v>
      </c>
      <c r="F54" s="1535">
        <v>3410</v>
      </c>
    </row>
    <row r="55" spans="1:14" ht="14.25" customHeight="1" thickBot="1">
      <c r="A55" s="1527" t="s">
        <v>1137</v>
      </c>
      <c r="B55" s="1521" t="s">
        <v>1264</v>
      </c>
      <c r="C55" s="1521">
        <v>16930</v>
      </c>
      <c r="D55" s="1521">
        <v>14720</v>
      </c>
      <c r="E55" s="1521">
        <v>15000</v>
      </c>
      <c r="F55" s="1535">
        <v>3710</v>
      </c>
    </row>
    <row r="56" spans="1:14" ht="14.25" customHeight="1" thickBot="1">
      <c r="A56" s="1527" t="s">
        <v>1137</v>
      </c>
      <c r="B56" s="1521" t="s">
        <v>1275</v>
      </c>
      <c r="C56" s="1521">
        <v>14930</v>
      </c>
      <c r="D56" s="1521">
        <v>15850</v>
      </c>
      <c r="E56" s="1521">
        <v>14320</v>
      </c>
      <c r="F56" s="1535">
        <v>3960</v>
      </c>
    </row>
    <row r="57" spans="1:14" ht="14.25" customHeight="1" thickBot="1">
      <c r="A57" s="1527" t="s">
        <v>1137</v>
      </c>
      <c r="B57" s="1521" t="s">
        <v>1287</v>
      </c>
      <c r="C57" s="1521">
        <v>16160</v>
      </c>
      <c r="D57" s="1521">
        <v>16190</v>
      </c>
      <c r="E57" s="1521">
        <v>15650</v>
      </c>
      <c r="F57" s="1535">
        <v>4200</v>
      </c>
    </row>
    <row r="58" spans="1:14" ht="14.25" customHeight="1" thickBot="1">
      <c r="A58" s="1527" t="s">
        <v>1137</v>
      </c>
      <c r="B58" s="1521" t="s">
        <v>1297</v>
      </c>
      <c r="C58" s="1521">
        <v>16360</v>
      </c>
      <c r="D58" s="1521">
        <v>14050</v>
      </c>
      <c r="E58" s="1521">
        <v>16070</v>
      </c>
      <c r="F58" s="1535">
        <v>3990</v>
      </c>
    </row>
    <row r="59" spans="1:14" ht="14.25" customHeight="1" thickBot="1">
      <c r="A59" s="1527" t="s">
        <v>1137</v>
      </c>
      <c r="B59" s="1521" t="s">
        <v>1307</v>
      </c>
      <c r="C59" s="1521">
        <v>14160</v>
      </c>
      <c r="D59" s="1521">
        <v>16620</v>
      </c>
      <c r="E59" s="1521">
        <v>13940</v>
      </c>
      <c r="F59" s="1535">
        <v>4260</v>
      </c>
    </row>
    <row r="60" spans="1:14" ht="14.25" customHeight="1" thickBot="1">
      <c r="A60" s="1527" t="s">
        <v>1137</v>
      </c>
      <c r="B60" s="1521" t="s">
        <v>1317</v>
      </c>
      <c r="C60" s="1521">
        <v>16750</v>
      </c>
      <c r="D60" s="1521">
        <v>13910</v>
      </c>
      <c r="E60" s="1521">
        <v>16550</v>
      </c>
      <c r="F60" s="1535">
        <v>4550</v>
      </c>
    </row>
    <row r="61" spans="1:14" ht="14.25" customHeight="1" thickBot="1">
      <c r="A61" s="1527" t="s">
        <v>1137</v>
      </c>
      <c r="B61" s="1521" t="s">
        <v>1327</v>
      </c>
      <c r="C61" s="1521">
        <v>14000</v>
      </c>
      <c r="D61" s="1521">
        <v>14550</v>
      </c>
      <c r="E61" s="1521">
        <v>13860</v>
      </c>
      <c r="F61" s="1539"/>
    </row>
    <row r="62" spans="1:14" ht="14.25" customHeight="1" thickBot="1">
      <c r="A62" s="1527" t="s">
        <v>1137</v>
      </c>
      <c r="B62" s="1521" t="s">
        <v>1338</v>
      </c>
      <c r="C62" s="1521">
        <v>14660</v>
      </c>
      <c r="D62" s="1521">
        <v>17450</v>
      </c>
      <c r="E62" s="1521">
        <v>14470</v>
      </c>
      <c r="F62" s="1539"/>
    </row>
    <row r="63" spans="1:14" ht="14.25" customHeight="1" thickBot="1">
      <c r="A63" s="1527" t="s">
        <v>1137</v>
      </c>
      <c r="B63" s="1521" t="s">
        <v>1349</v>
      </c>
      <c r="C63" s="1521">
        <v>17610</v>
      </c>
      <c r="D63" s="1521">
        <v>16500</v>
      </c>
      <c r="E63" s="1521">
        <v>17330</v>
      </c>
      <c r="F63" s="1539"/>
    </row>
    <row r="64" spans="1:14" ht="14.25" customHeight="1" thickBot="1">
      <c r="A64" s="1527" t="s">
        <v>1137</v>
      </c>
      <c r="B64" s="1521" t="s">
        <v>1359</v>
      </c>
      <c r="C64" s="1521">
        <v>16590</v>
      </c>
      <c r="D64" s="1521">
        <v>15130</v>
      </c>
      <c r="E64" s="1521">
        <v>16420</v>
      </c>
      <c r="F64" s="1539"/>
    </row>
    <row r="65" spans="1:6" s="1515" customFormat="1" ht="14.25" customHeight="1" thickBot="1">
      <c r="A65" s="1527" t="s">
        <v>1137</v>
      </c>
      <c r="B65" s="1521" t="s">
        <v>1369</v>
      </c>
      <c r="C65" s="1521">
        <v>15220</v>
      </c>
      <c r="D65" s="1521">
        <v>14660</v>
      </c>
      <c r="E65" s="1521">
        <v>15060</v>
      </c>
      <c r="F65" s="1535"/>
    </row>
    <row r="66" spans="1:6" s="1515" customFormat="1" ht="14.25" customHeight="1" thickBot="1">
      <c r="A66" s="1527" t="s">
        <v>1137</v>
      </c>
      <c r="B66" s="1521" t="s">
        <v>1379</v>
      </c>
      <c r="C66" s="1521">
        <v>14720</v>
      </c>
      <c r="D66" s="1521">
        <v>15970</v>
      </c>
      <c r="E66" s="1521">
        <v>14610</v>
      </c>
      <c r="F66" s="1535"/>
    </row>
    <row r="67" spans="1:6" s="1515" customFormat="1" ht="14.25" customHeight="1" thickBot="1">
      <c r="A67" s="1527" t="s">
        <v>1137</v>
      </c>
      <c r="B67" s="1521" t="s">
        <v>1389</v>
      </c>
      <c r="C67" s="1521">
        <v>16080</v>
      </c>
      <c r="D67" s="1521">
        <v>14840</v>
      </c>
      <c r="E67" s="1521">
        <v>15630</v>
      </c>
      <c r="F67" s="1535"/>
    </row>
    <row r="68" spans="1:6" s="1515" customFormat="1" ht="14.25" customHeight="1" thickBot="1">
      <c r="A68" s="1527" t="s">
        <v>1137</v>
      </c>
      <c r="B68" s="1521" t="s">
        <v>1398</v>
      </c>
      <c r="C68" s="1521">
        <v>14940</v>
      </c>
      <c r="D68" s="1521">
        <v>18000</v>
      </c>
      <c r="E68" s="1521">
        <v>14040</v>
      </c>
      <c r="F68" s="1535"/>
    </row>
    <row r="69" spans="1:6" s="1515" customFormat="1" ht="14.25" customHeight="1" thickBot="1">
      <c r="A69" s="1527" t="s">
        <v>1137</v>
      </c>
      <c r="B69" s="1521" t="s">
        <v>1407</v>
      </c>
      <c r="C69" s="1521">
        <v>18810</v>
      </c>
      <c r="D69" s="1521">
        <v>15100</v>
      </c>
      <c r="E69" s="1521">
        <v>14710</v>
      </c>
      <c r="F69" s="1535"/>
    </row>
    <row r="70" spans="1:6" s="1515" customFormat="1" ht="14.25" customHeight="1" thickBot="1">
      <c r="A70" s="1527" t="s">
        <v>1137</v>
      </c>
      <c r="B70" s="1521" t="s">
        <v>1415</v>
      </c>
      <c r="C70" s="1521">
        <v>18270</v>
      </c>
      <c r="D70" s="1521"/>
      <c r="E70" s="1521"/>
      <c r="F70" s="1535"/>
    </row>
    <row r="71" spans="1:6" s="1515" customFormat="1" ht="14.25" customHeight="1" thickBot="1">
      <c r="A71" s="1527" t="s">
        <v>1137</v>
      </c>
      <c r="B71" s="1521" t="s">
        <v>1422</v>
      </c>
      <c r="C71" s="1521">
        <v>15230</v>
      </c>
      <c r="D71" s="1521"/>
      <c r="E71" s="1521"/>
      <c r="F71" s="1535"/>
    </row>
    <row r="72" spans="1:6" s="1515" customFormat="1" ht="14.25" customHeight="1" thickBot="1">
      <c r="A72" s="1527" t="s">
        <v>1137</v>
      </c>
      <c r="B72" s="1521" t="s">
        <v>1429</v>
      </c>
      <c r="C72" s="1521"/>
      <c r="D72" s="1521"/>
      <c r="E72" s="1521"/>
      <c r="F72" s="1535">
        <v>4120</v>
      </c>
    </row>
    <row r="73" spans="1:6" s="1515" customFormat="1" ht="14.25" customHeight="1" thickBot="1">
      <c r="A73" s="1527" t="s">
        <v>1137</v>
      </c>
      <c r="B73" s="1521" t="s">
        <v>1436</v>
      </c>
      <c r="C73" s="1521"/>
      <c r="D73" s="1521"/>
      <c r="E73" s="1521"/>
      <c r="F73" s="1535">
        <v>3930</v>
      </c>
    </row>
    <row r="74" spans="1:6" s="1515" customFormat="1" ht="14.25" customHeight="1" thickBot="1">
      <c r="A74" s="1527" t="s">
        <v>1137</v>
      </c>
      <c r="B74" s="1521" t="s">
        <v>1443</v>
      </c>
      <c r="C74" s="1521"/>
      <c r="D74" s="1521"/>
      <c r="E74" s="1521"/>
      <c r="F74" s="1535">
        <v>4060</v>
      </c>
    </row>
    <row r="75" spans="1:6" s="1515" customFormat="1" ht="14.25" customHeight="1" thickBot="1">
      <c r="A75" s="1527" t="s">
        <v>1137</v>
      </c>
      <c r="B75" s="1533" t="s">
        <v>1450</v>
      </c>
      <c r="C75" s="1533"/>
      <c r="D75" s="1533"/>
      <c r="E75" s="1533"/>
      <c r="F75" s="1538">
        <v>3750</v>
      </c>
    </row>
    <row r="76" spans="1:6" s="1515" customFormat="1" ht="14.25" customHeight="1" thickBot="1">
      <c r="A76" s="1527" t="s">
        <v>1537</v>
      </c>
      <c r="B76" s="1528" t="s">
        <v>1538</v>
      </c>
      <c r="C76" s="1528">
        <v>14690</v>
      </c>
      <c r="D76" s="1528">
        <v>14640</v>
      </c>
      <c r="E76" s="1528">
        <v>14590</v>
      </c>
      <c r="F76" s="1529">
        <v>3060</v>
      </c>
    </row>
    <row r="77" spans="1:6" s="1515" customFormat="1" ht="14.25" customHeight="1" thickBot="1">
      <c r="A77" s="1527" t="s">
        <v>1537</v>
      </c>
      <c r="B77" s="1521" t="s">
        <v>1205</v>
      </c>
      <c r="C77" s="1521">
        <v>12550</v>
      </c>
      <c r="D77" s="1521">
        <v>12480</v>
      </c>
      <c r="E77" s="1521">
        <v>12450</v>
      </c>
      <c r="F77" s="1535">
        <v>2590</v>
      </c>
    </row>
    <row r="78" spans="1:6" s="1515" customFormat="1" ht="14.25" customHeight="1" thickBot="1">
      <c r="A78" s="1527" t="s">
        <v>1537</v>
      </c>
      <c r="B78" s="1521" t="s">
        <v>1218</v>
      </c>
      <c r="C78" s="1521">
        <v>14360</v>
      </c>
      <c r="D78" s="1521">
        <v>14320</v>
      </c>
      <c r="E78" s="1521">
        <v>12510</v>
      </c>
      <c r="F78" s="1535">
        <v>2700</v>
      </c>
    </row>
    <row r="79" spans="1:6" s="1515" customFormat="1" ht="14.25" customHeight="1" thickBot="1">
      <c r="A79" s="1527" t="s">
        <v>1537</v>
      </c>
      <c r="B79" s="1521" t="s">
        <v>1231</v>
      </c>
      <c r="C79" s="1521">
        <v>12590</v>
      </c>
      <c r="D79" s="1521">
        <v>12540</v>
      </c>
      <c r="E79" s="1521">
        <v>12350</v>
      </c>
      <c r="F79" s="1535">
        <v>2740</v>
      </c>
    </row>
    <row r="80" spans="1:6" s="1515" customFormat="1" ht="14.25" customHeight="1" thickBot="1">
      <c r="A80" s="1527" t="s">
        <v>1537</v>
      </c>
      <c r="B80" s="1521" t="s">
        <v>1243</v>
      </c>
      <c r="C80" s="1521">
        <v>12450</v>
      </c>
      <c r="D80" s="1521">
        <v>12370</v>
      </c>
      <c r="E80" s="1521">
        <v>10790</v>
      </c>
      <c r="F80" s="1535">
        <v>2290</v>
      </c>
    </row>
    <row r="81" spans="1:6" s="1515" customFormat="1" ht="14.25" customHeight="1" thickBot="1">
      <c r="A81" s="1527" t="s">
        <v>1537</v>
      </c>
      <c r="B81" s="1521" t="s">
        <v>1254</v>
      </c>
      <c r="C81" s="1521">
        <v>14210</v>
      </c>
      <c r="D81" s="1521">
        <v>14150</v>
      </c>
      <c r="E81" s="1521">
        <v>12730</v>
      </c>
      <c r="F81" s="1535">
        <v>2240</v>
      </c>
    </row>
    <row r="82" spans="1:6" s="1515" customFormat="1" ht="14.25" customHeight="1" thickBot="1">
      <c r="A82" s="1527" t="s">
        <v>1537</v>
      </c>
      <c r="B82" s="1521" t="s">
        <v>1265</v>
      </c>
      <c r="C82" s="1521">
        <v>10860</v>
      </c>
      <c r="D82" s="1521">
        <v>10820</v>
      </c>
      <c r="E82" s="1521">
        <v>14720</v>
      </c>
      <c r="F82" s="1535">
        <v>2490</v>
      </c>
    </row>
    <row r="83" spans="1:6" s="1515" customFormat="1" ht="14.25" customHeight="1" thickBot="1">
      <c r="A83" s="1527" t="s">
        <v>1537</v>
      </c>
      <c r="B83" s="1521" t="s">
        <v>1276</v>
      </c>
      <c r="C83" s="1521">
        <v>12810</v>
      </c>
      <c r="D83" s="1521">
        <v>12760</v>
      </c>
      <c r="E83" s="1521">
        <v>14830</v>
      </c>
      <c r="F83" s="1535">
        <v>2450</v>
      </c>
    </row>
    <row r="84" spans="1:6" s="1515" customFormat="1" ht="14.25" customHeight="1" thickBot="1">
      <c r="A84" s="1527" t="s">
        <v>1537</v>
      </c>
      <c r="B84" s="1521" t="s">
        <v>1288</v>
      </c>
      <c r="C84" s="1521">
        <v>14950</v>
      </c>
      <c r="D84" s="1521">
        <v>14810</v>
      </c>
      <c r="E84" s="1521">
        <v>12590</v>
      </c>
      <c r="F84" s="1535">
        <v>2540</v>
      </c>
    </row>
    <row r="85" spans="1:6" s="1515" customFormat="1" ht="14.25" customHeight="1" thickBot="1">
      <c r="A85" s="1527" t="s">
        <v>1537</v>
      </c>
      <c r="B85" s="1521" t="s">
        <v>1298</v>
      </c>
      <c r="C85" s="1521">
        <v>14960</v>
      </c>
      <c r="D85" s="1521">
        <v>14890</v>
      </c>
      <c r="E85" s="1521">
        <v>12840</v>
      </c>
      <c r="F85" s="1535">
        <v>2840</v>
      </c>
    </row>
    <row r="86" spans="1:6" s="1515" customFormat="1" ht="14.25" customHeight="1" thickBot="1">
      <c r="A86" s="1527" t="s">
        <v>1537</v>
      </c>
      <c r="B86" s="1521" t="s">
        <v>1308</v>
      </c>
      <c r="C86" s="1521">
        <v>12730</v>
      </c>
      <c r="D86" s="1521">
        <v>12660</v>
      </c>
      <c r="E86" s="1521">
        <v>13310</v>
      </c>
      <c r="F86" s="1535">
        <v>3140</v>
      </c>
    </row>
    <row r="87" spans="1:6" s="1515" customFormat="1" ht="14.25" customHeight="1" thickBot="1">
      <c r="A87" s="1527" t="s">
        <v>1537</v>
      </c>
      <c r="B87" s="1521" t="s">
        <v>1318</v>
      </c>
      <c r="C87" s="1521">
        <v>12940</v>
      </c>
      <c r="D87" s="1521">
        <v>12890</v>
      </c>
      <c r="E87" s="1521">
        <v>11580</v>
      </c>
      <c r="F87" s="1539"/>
    </row>
    <row r="88" spans="1:6" s="1515" customFormat="1" ht="14.25" customHeight="1" thickBot="1">
      <c r="A88" s="1527" t="s">
        <v>1537</v>
      </c>
      <c r="B88" s="1521" t="s">
        <v>1328</v>
      </c>
      <c r="C88" s="1521">
        <v>13430</v>
      </c>
      <c r="D88" s="1521">
        <v>13360</v>
      </c>
      <c r="E88" s="1521">
        <v>12790</v>
      </c>
      <c r="F88" s="1539"/>
    </row>
    <row r="89" spans="1:6" s="1515" customFormat="1" ht="14.25" customHeight="1" thickBot="1">
      <c r="A89" s="1527" t="s">
        <v>1537</v>
      </c>
      <c r="B89" s="1521" t="s">
        <v>1339</v>
      </c>
      <c r="C89" s="1521">
        <v>11680</v>
      </c>
      <c r="D89" s="1521">
        <v>11630</v>
      </c>
      <c r="E89" s="1521">
        <v>11320</v>
      </c>
      <c r="F89" s="1539"/>
    </row>
    <row r="90" spans="1:6" s="1515" customFormat="1" ht="14.25" customHeight="1" thickBot="1">
      <c r="A90" s="1527" t="s">
        <v>1537</v>
      </c>
      <c r="B90" s="1521" t="s">
        <v>1350</v>
      </c>
      <c r="C90" s="1521">
        <v>12890</v>
      </c>
      <c r="D90" s="1521">
        <v>12820</v>
      </c>
      <c r="E90" s="1521">
        <v>12710</v>
      </c>
      <c r="F90" s="1539"/>
    </row>
    <row r="91" spans="1:6" s="1515" customFormat="1" ht="14.25" customHeight="1" thickBot="1">
      <c r="A91" s="1527" t="s">
        <v>1537</v>
      </c>
      <c r="B91" s="1521" t="s">
        <v>1360</v>
      </c>
      <c r="C91" s="1521">
        <v>11410</v>
      </c>
      <c r="D91" s="1521">
        <v>11360</v>
      </c>
      <c r="E91" s="1521">
        <v>12670</v>
      </c>
      <c r="F91" s="1539"/>
    </row>
    <row r="92" spans="1:6" s="1515" customFormat="1" ht="14.25" customHeight="1" thickBot="1">
      <c r="A92" s="1527" t="s">
        <v>1537</v>
      </c>
      <c r="B92" s="1521" t="s">
        <v>1370</v>
      </c>
      <c r="C92" s="1521">
        <v>12770</v>
      </c>
      <c r="D92" s="1521">
        <v>12740</v>
      </c>
      <c r="E92" s="1521">
        <v>11970</v>
      </c>
      <c r="F92" s="1539"/>
    </row>
    <row r="93" spans="1:6" s="1515" customFormat="1" ht="14.25" customHeight="1" thickBot="1">
      <c r="A93" s="1527" t="s">
        <v>1537</v>
      </c>
      <c r="B93" s="1521" t="s">
        <v>1380</v>
      </c>
      <c r="C93" s="1521">
        <v>12740</v>
      </c>
      <c r="D93" s="1521">
        <v>12700</v>
      </c>
      <c r="E93" s="1521">
        <v>12540</v>
      </c>
      <c r="F93" s="1539"/>
    </row>
    <row r="94" spans="1:6" s="1515" customFormat="1" ht="14.25" customHeight="1" thickBot="1">
      <c r="A94" s="1527" t="s">
        <v>1537</v>
      </c>
      <c r="B94" s="1521" t="s">
        <v>1390</v>
      </c>
      <c r="C94" s="1521">
        <v>12020</v>
      </c>
      <c r="D94" s="1521">
        <v>11990</v>
      </c>
      <c r="E94" s="1521">
        <v>13110</v>
      </c>
      <c r="F94" s="1539"/>
    </row>
    <row r="95" spans="1:6" s="1515" customFormat="1" ht="14.25" customHeight="1" thickBot="1">
      <c r="A95" s="1527" t="s">
        <v>1537</v>
      </c>
      <c r="B95" s="1521" t="s">
        <v>1399</v>
      </c>
      <c r="C95" s="1521">
        <v>12620</v>
      </c>
      <c r="D95" s="1521">
        <v>12580</v>
      </c>
      <c r="E95" s="1521">
        <v>13160</v>
      </c>
      <c r="F95" s="1535"/>
    </row>
    <row r="96" spans="1:6" s="1515" customFormat="1" ht="14.25" customHeight="1" thickBot="1">
      <c r="A96" s="1527" t="s">
        <v>1537</v>
      </c>
      <c r="B96" s="1521" t="s">
        <v>1408</v>
      </c>
      <c r="C96" s="1521">
        <v>13200</v>
      </c>
      <c r="D96" s="1521">
        <v>13150</v>
      </c>
      <c r="E96" s="1521">
        <v>12900</v>
      </c>
      <c r="F96" s="1535"/>
    </row>
    <row r="97" spans="1:6" s="1515" customFormat="1" ht="14.25" customHeight="1" thickBot="1">
      <c r="A97" s="1527" t="s">
        <v>1537</v>
      </c>
      <c r="B97" s="1521" t="s">
        <v>1416</v>
      </c>
      <c r="C97" s="1521">
        <v>13270</v>
      </c>
      <c r="D97" s="1521">
        <v>13210</v>
      </c>
      <c r="E97" s="1521">
        <v>11080</v>
      </c>
      <c r="F97" s="1535"/>
    </row>
    <row r="98" spans="1:6" s="1515" customFormat="1" ht="14.25" customHeight="1" thickBot="1">
      <c r="A98" s="1527" t="s">
        <v>1537</v>
      </c>
      <c r="B98" s="1521" t="s">
        <v>1423</v>
      </c>
      <c r="C98" s="1521">
        <v>13010</v>
      </c>
      <c r="D98" s="1521">
        <v>12930</v>
      </c>
      <c r="E98" s="1521">
        <v>12840</v>
      </c>
      <c r="F98" s="1535"/>
    </row>
    <row r="99" spans="1:6" s="1515" customFormat="1" ht="14.25" customHeight="1" thickBot="1">
      <c r="A99" s="1527" t="s">
        <v>1537</v>
      </c>
      <c r="B99" s="1521" t="s">
        <v>1430</v>
      </c>
      <c r="C99" s="1521">
        <v>11190</v>
      </c>
      <c r="D99" s="1521">
        <v>11130</v>
      </c>
      <c r="E99" s="1521"/>
      <c r="F99" s="1535"/>
    </row>
    <row r="100" spans="1:6" s="1515" customFormat="1" ht="14.25" customHeight="1" thickBot="1">
      <c r="A100" s="1527" t="s">
        <v>1537</v>
      </c>
      <c r="B100" s="1521" t="s">
        <v>1437</v>
      </c>
      <c r="C100" s="1521">
        <v>14280</v>
      </c>
      <c r="D100" s="1521">
        <v>14180</v>
      </c>
      <c r="E100" s="1521"/>
      <c r="F100" s="1535"/>
    </row>
    <row r="101" spans="1:6" s="1515" customFormat="1" ht="14.25" customHeight="1" thickBot="1">
      <c r="A101" s="1527" t="s">
        <v>1537</v>
      </c>
      <c r="B101" s="1521" t="s">
        <v>1444</v>
      </c>
      <c r="C101" s="1521">
        <v>12960</v>
      </c>
      <c r="D101" s="1521">
        <v>12890</v>
      </c>
      <c r="E101" s="1521"/>
      <c r="F101" s="1535"/>
    </row>
    <row r="102" spans="1:6" s="1515" customFormat="1" ht="14.25" customHeight="1" thickBot="1">
      <c r="A102" s="1527" t="s">
        <v>1537</v>
      </c>
      <c r="B102" s="1521" t="s">
        <v>1451</v>
      </c>
      <c r="C102" s="1521"/>
      <c r="D102" s="1521"/>
      <c r="E102" s="1521"/>
      <c r="F102" s="1535">
        <v>3100</v>
      </c>
    </row>
    <row r="103" spans="1:6" s="1515" customFormat="1" ht="14.25" customHeight="1" thickBot="1">
      <c r="A103" s="1527" t="s">
        <v>1537</v>
      </c>
      <c r="B103" s="1521" t="s">
        <v>1458</v>
      </c>
      <c r="C103" s="1521"/>
      <c r="D103" s="1521"/>
      <c r="E103" s="1521"/>
      <c r="F103" s="1535">
        <v>2320</v>
      </c>
    </row>
    <row r="104" spans="1:6" s="1515" customFormat="1" ht="14.25" customHeight="1" thickBot="1">
      <c r="A104" s="1527" t="s">
        <v>1537</v>
      </c>
      <c r="B104" s="1521" t="s">
        <v>1463</v>
      </c>
      <c r="C104" s="1521"/>
      <c r="D104" s="1521"/>
      <c r="E104" s="1521"/>
      <c r="F104" s="1535">
        <v>2320</v>
      </c>
    </row>
    <row r="105" spans="1:6" s="1515" customFormat="1" ht="14.25" customHeight="1" thickBot="1">
      <c r="A105" s="1527" t="s">
        <v>1537</v>
      </c>
      <c r="B105" s="1521" t="s">
        <v>1467</v>
      </c>
      <c r="C105" s="1521"/>
      <c r="D105" s="1521"/>
      <c r="E105" s="1521"/>
      <c r="F105" s="1535">
        <v>2320</v>
      </c>
    </row>
    <row r="106" spans="1:6" s="1515" customFormat="1" ht="14.25" customHeight="1" thickBot="1">
      <c r="A106" s="1527" t="s">
        <v>1537</v>
      </c>
      <c r="B106" s="1521" t="s">
        <v>1472</v>
      </c>
      <c r="C106" s="1521"/>
      <c r="D106" s="1521"/>
      <c r="E106" s="1521"/>
      <c r="F106" s="1535">
        <v>2320</v>
      </c>
    </row>
    <row r="107" spans="1:6" s="1515" customFormat="1" ht="14.25" customHeight="1" thickBot="1">
      <c r="A107" s="1527" t="s">
        <v>1537</v>
      </c>
      <c r="B107" s="1521" t="s">
        <v>1477</v>
      </c>
      <c r="C107" s="1521"/>
      <c r="D107" s="1521"/>
      <c r="E107" s="1521"/>
      <c r="F107" s="1535">
        <v>2280</v>
      </c>
    </row>
    <row r="108" spans="1:6" s="1515" customFormat="1" ht="14.25" customHeight="1" thickBot="1">
      <c r="A108" s="1527" t="s">
        <v>1537</v>
      </c>
      <c r="B108" s="1521" t="s">
        <v>1482</v>
      </c>
      <c r="C108" s="1521"/>
      <c r="D108" s="1521"/>
      <c r="E108" s="1521"/>
      <c r="F108" s="1535">
        <v>2280</v>
      </c>
    </row>
    <row r="109" spans="1:6" s="1515" customFormat="1" ht="14.25" customHeight="1" thickBot="1">
      <c r="A109" s="1527" t="s">
        <v>1537</v>
      </c>
      <c r="B109" s="1533" t="s">
        <v>1487</v>
      </c>
      <c r="C109" s="1533"/>
      <c r="D109" s="1533"/>
      <c r="E109" s="1533"/>
      <c r="F109" s="1538">
        <v>2280</v>
      </c>
    </row>
    <row r="110" spans="1:6" s="1515" customFormat="1" ht="14.25" customHeight="1" thickBot="1">
      <c r="A110" s="1527" t="s">
        <v>201</v>
      </c>
      <c r="B110" s="1528" t="s">
        <v>1539</v>
      </c>
      <c r="C110" s="1528">
        <v>10520</v>
      </c>
      <c r="D110" s="1528">
        <v>10490</v>
      </c>
      <c r="E110" s="1528">
        <v>10760</v>
      </c>
      <c r="F110" s="1529">
        <v>2160</v>
      </c>
    </row>
    <row r="111" spans="1:6" s="1515" customFormat="1" ht="14.25" customHeight="1" thickBot="1">
      <c r="A111" s="1527" t="s">
        <v>201</v>
      </c>
      <c r="B111" s="1521" t="s">
        <v>1206</v>
      </c>
      <c r="C111" s="1521">
        <v>10090</v>
      </c>
      <c r="D111" s="1521">
        <v>10060</v>
      </c>
      <c r="E111" s="1521">
        <v>10300</v>
      </c>
      <c r="F111" s="1535">
        <v>2010</v>
      </c>
    </row>
    <row r="112" spans="1:6" s="1515" customFormat="1" ht="14.25" customHeight="1" thickBot="1">
      <c r="A112" s="1527" t="s">
        <v>201</v>
      </c>
      <c r="B112" s="1521" t="s">
        <v>1219</v>
      </c>
      <c r="C112" s="1521">
        <v>9910</v>
      </c>
      <c r="D112" s="1521">
        <v>9850</v>
      </c>
      <c r="E112" s="1521">
        <v>9960</v>
      </c>
      <c r="F112" s="1535">
        <v>2090</v>
      </c>
    </row>
    <row r="113" spans="1:6" s="1515" customFormat="1" ht="14.25" customHeight="1" thickBot="1">
      <c r="A113" s="1527" t="s">
        <v>201</v>
      </c>
      <c r="B113" s="1521" t="s">
        <v>1232</v>
      </c>
      <c r="C113" s="1521">
        <v>11430</v>
      </c>
      <c r="D113" s="1521">
        <v>11400</v>
      </c>
      <c r="E113" s="1521">
        <v>11710</v>
      </c>
      <c r="F113" s="1535">
        <v>2050</v>
      </c>
    </row>
    <row r="114" spans="1:6" s="1515" customFormat="1" ht="14.25" customHeight="1" thickBot="1">
      <c r="A114" s="1527" t="s">
        <v>201</v>
      </c>
      <c r="B114" s="1521" t="s">
        <v>1244</v>
      </c>
      <c r="C114" s="1521">
        <v>11390</v>
      </c>
      <c r="D114" s="1521">
        <v>11350</v>
      </c>
      <c r="E114" s="1521">
        <v>11640</v>
      </c>
      <c r="F114" s="1535">
        <v>1620</v>
      </c>
    </row>
    <row r="115" spans="1:6" s="1515" customFormat="1" ht="14.25" customHeight="1" thickBot="1">
      <c r="A115" s="1527" t="s">
        <v>201</v>
      </c>
      <c r="B115" s="1521" t="s">
        <v>1255</v>
      </c>
      <c r="C115" s="1521">
        <v>9930</v>
      </c>
      <c r="D115" s="1521">
        <v>9900</v>
      </c>
      <c r="E115" s="1521">
        <v>10160</v>
      </c>
      <c r="F115" s="1535">
        <v>1580</v>
      </c>
    </row>
    <row r="116" spans="1:6" s="1515" customFormat="1" ht="14.25" customHeight="1" thickBot="1">
      <c r="A116" s="1527" t="s">
        <v>201</v>
      </c>
      <c r="B116" s="1521" t="s">
        <v>1266</v>
      </c>
      <c r="C116" s="1521">
        <v>9150</v>
      </c>
      <c r="D116" s="1521">
        <v>9120</v>
      </c>
      <c r="E116" s="1521">
        <v>9380</v>
      </c>
      <c r="F116" s="1535">
        <v>1750</v>
      </c>
    </row>
    <row r="117" spans="1:6" s="1515" customFormat="1" ht="14.25" customHeight="1" thickBot="1">
      <c r="A117" s="1527" t="s">
        <v>201</v>
      </c>
      <c r="B117" s="1521" t="s">
        <v>1277</v>
      </c>
      <c r="C117" s="1521">
        <v>10680</v>
      </c>
      <c r="D117" s="1521">
        <v>10650</v>
      </c>
      <c r="E117" s="1521">
        <v>10970</v>
      </c>
      <c r="F117" s="1535">
        <v>1730</v>
      </c>
    </row>
    <row r="118" spans="1:6" s="1515" customFormat="1" ht="14.25" customHeight="1" thickBot="1">
      <c r="A118" s="1527" t="s">
        <v>201</v>
      </c>
      <c r="B118" s="1521" t="s">
        <v>1289</v>
      </c>
      <c r="C118" s="1521">
        <v>10080</v>
      </c>
      <c r="D118" s="1521">
        <v>10050</v>
      </c>
      <c r="E118" s="1521">
        <v>10350</v>
      </c>
      <c r="F118" s="1535">
        <v>1920</v>
      </c>
    </row>
    <row r="119" spans="1:6" s="1515" customFormat="1" ht="14.25" customHeight="1" thickBot="1">
      <c r="A119" s="1527" t="s">
        <v>201</v>
      </c>
      <c r="B119" s="1521" t="s">
        <v>1299</v>
      </c>
      <c r="C119" s="1521">
        <v>9450</v>
      </c>
      <c r="D119" s="1521">
        <v>9410</v>
      </c>
      <c r="E119" s="1521">
        <v>9680</v>
      </c>
      <c r="F119" s="1535">
        <v>1880</v>
      </c>
    </row>
    <row r="120" spans="1:6" s="1515" customFormat="1" ht="14.25" customHeight="1" thickBot="1">
      <c r="A120" s="1527" t="s">
        <v>201</v>
      </c>
      <c r="B120" s="1521" t="s">
        <v>1309</v>
      </c>
      <c r="C120" s="1521">
        <v>8730</v>
      </c>
      <c r="D120" s="1521">
        <v>8700</v>
      </c>
      <c r="E120" s="1521">
        <v>8950</v>
      </c>
      <c r="F120" s="1535">
        <v>1830</v>
      </c>
    </row>
    <row r="121" spans="1:6" s="1515" customFormat="1" ht="14.25" customHeight="1" thickBot="1">
      <c r="A121" s="1527" t="s">
        <v>201</v>
      </c>
      <c r="B121" s="1521" t="s">
        <v>1319</v>
      </c>
      <c r="C121" s="1521">
        <v>10070</v>
      </c>
      <c r="D121" s="1521">
        <v>10040</v>
      </c>
      <c r="E121" s="1521">
        <v>10270</v>
      </c>
      <c r="F121" s="1535">
        <v>1960</v>
      </c>
    </row>
    <row r="122" spans="1:6" s="1515" customFormat="1" ht="14.25" customHeight="1" thickBot="1">
      <c r="A122" s="1527" t="s">
        <v>201</v>
      </c>
      <c r="B122" s="1521" t="s">
        <v>1329</v>
      </c>
      <c r="C122" s="1521">
        <v>10500</v>
      </c>
      <c r="D122" s="1521">
        <v>10470</v>
      </c>
      <c r="E122" s="1521">
        <v>10780</v>
      </c>
      <c r="F122" s="1535">
        <v>2180</v>
      </c>
    </row>
    <row r="123" spans="1:6" s="1515" customFormat="1" ht="14.25" customHeight="1" thickBot="1">
      <c r="A123" s="1527" t="s">
        <v>201</v>
      </c>
      <c r="B123" s="1521" t="s">
        <v>1340</v>
      </c>
      <c r="C123" s="1521">
        <v>10390</v>
      </c>
      <c r="D123" s="1521">
        <v>10360</v>
      </c>
      <c r="E123" s="1521">
        <v>10660</v>
      </c>
      <c r="F123" s="1535">
        <v>2040</v>
      </c>
    </row>
    <row r="124" spans="1:6" s="1515" customFormat="1" ht="14.25" customHeight="1" thickBot="1">
      <c r="A124" s="1527" t="s">
        <v>201</v>
      </c>
      <c r="B124" s="1521" t="s">
        <v>1351</v>
      </c>
      <c r="C124" s="1521">
        <v>10390</v>
      </c>
      <c r="D124" s="1521">
        <v>10360</v>
      </c>
      <c r="E124" s="1521">
        <v>10680</v>
      </c>
      <c r="F124" s="1539"/>
    </row>
    <row r="125" spans="1:6" s="1515" customFormat="1" ht="14.25" customHeight="1" thickBot="1">
      <c r="A125" s="1527" t="s">
        <v>201</v>
      </c>
      <c r="B125" s="1521" t="s">
        <v>1361</v>
      </c>
      <c r="C125" s="1521">
        <v>10440</v>
      </c>
      <c r="D125" s="1521">
        <v>10410</v>
      </c>
      <c r="E125" s="1521">
        <v>10710</v>
      </c>
      <c r="F125" s="1539"/>
    </row>
    <row r="126" spans="1:6" s="1515" customFormat="1" ht="14.25" customHeight="1" thickBot="1">
      <c r="A126" s="1527" t="s">
        <v>201</v>
      </c>
      <c r="B126" s="1521" t="s">
        <v>1371</v>
      </c>
      <c r="C126" s="1521">
        <v>10780</v>
      </c>
      <c r="D126" s="1521">
        <v>10750</v>
      </c>
      <c r="E126" s="1521">
        <v>11080</v>
      </c>
      <c r="F126" s="1539"/>
    </row>
    <row r="127" spans="1:6" s="1515" customFormat="1" ht="14.25" customHeight="1" thickBot="1">
      <c r="A127" s="1527" t="s">
        <v>201</v>
      </c>
      <c r="B127" s="1521" t="s">
        <v>1381</v>
      </c>
      <c r="C127" s="1521">
        <v>10100</v>
      </c>
      <c r="D127" s="1521">
        <v>10070</v>
      </c>
      <c r="E127" s="1521">
        <v>10350</v>
      </c>
      <c r="F127" s="1539"/>
    </row>
    <row r="128" spans="1:6" s="1515" customFormat="1" ht="14.25" customHeight="1" thickBot="1">
      <c r="A128" s="1527" t="s">
        <v>201</v>
      </c>
      <c r="B128" s="1521" t="s">
        <v>1391</v>
      </c>
      <c r="C128" s="1521">
        <v>9200</v>
      </c>
      <c r="D128" s="1521">
        <v>9160</v>
      </c>
      <c r="E128" s="1521">
        <v>9660</v>
      </c>
      <c r="F128" s="1539"/>
    </row>
    <row r="129" spans="1:6" s="1515" customFormat="1" ht="14.25" customHeight="1" thickBot="1">
      <c r="A129" s="1527" t="s">
        <v>201</v>
      </c>
      <c r="B129" s="1521" t="s">
        <v>1400</v>
      </c>
      <c r="C129" s="1521">
        <v>10340</v>
      </c>
      <c r="D129" s="1521">
        <v>10310</v>
      </c>
      <c r="E129" s="1521">
        <v>10580</v>
      </c>
      <c r="F129" s="1539"/>
    </row>
    <row r="130" spans="1:6" s="1515" customFormat="1" ht="14.25" customHeight="1" thickBot="1">
      <c r="A130" s="1527" t="s">
        <v>201</v>
      </c>
      <c r="B130" s="1521" t="s">
        <v>1409</v>
      </c>
      <c r="C130" s="1521">
        <v>9680</v>
      </c>
      <c r="D130" s="1521">
        <v>9660</v>
      </c>
      <c r="E130" s="1521">
        <v>9950</v>
      </c>
      <c r="F130" s="1539"/>
    </row>
    <row r="131" spans="1:6" s="1515" customFormat="1" ht="14.25" customHeight="1" thickBot="1">
      <c r="A131" s="1527" t="s">
        <v>201</v>
      </c>
      <c r="B131" s="1521" t="s">
        <v>1417</v>
      </c>
      <c r="C131" s="1521">
        <v>9540</v>
      </c>
      <c r="D131" s="1521">
        <v>9510</v>
      </c>
      <c r="E131" s="1521">
        <v>9790</v>
      </c>
      <c r="F131" s="1539"/>
    </row>
    <row r="132" spans="1:6" s="1515" customFormat="1" ht="14.25" customHeight="1" thickBot="1">
      <c r="A132" s="1527" t="s">
        <v>201</v>
      </c>
      <c r="B132" s="1521" t="s">
        <v>1424</v>
      </c>
      <c r="C132" s="1521">
        <v>9320</v>
      </c>
      <c r="D132" s="1521">
        <v>9290</v>
      </c>
      <c r="E132" s="1521">
        <v>9570</v>
      </c>
      <c r="F132" s="1539"/>
    </row>
    <row r="133" spans="1:6" s="1515" customFormat="1" ht="14.25" customHeight="1" thickBot="1">
      <c r="A133" s="1527" t="s">
        <v>201</v>
      </c>
      <c r="B133" s="1521" t="s">
        <v>1431</v>
      </c>
      <c r="C133" s="1521">
        <v>10310</v>
      </c>
      <c r="D133" s="1521">
        <v>10280</v>
      </c>
      <c r="E133" s="1521">
        <v>10530</v>
      </c>
      <c r="F133" s="1539"/>
    </row>
    <row r="134" spans="1:6" s="1515" customFormat="1" ht="14.25" customHeight="1" thickBot="1">
      <c r="A134" s="1527" t="s">
        <v>201</v>
      </c>
      <c r="B134" s="1521" t="s">
        <v>1438</v>
      </c>
      <c r="C134" s="1521">
        <v>10370</v>
      </c>
      <c r="D134" s="1521">
        <v>10310</v>
      </c>
      <c r="E134" s="1521">
        <v>10240</v>
      </c>
      <c r="F134" s="1535">
        <v>2060</v>
      </c>
    </row>
    <row r="135" spans="1:6" s="1515" customFormat="1" ht="14.25" customHeight="1" thickBot="1">
      <c r="A135" s="1527" t="s">
        <v>201</v>
      </c>
      <c r="B135" s="1521" t="s">
        <v>1445</v>
      </c>
      <c r="C135" s="1521">
        <v>9300</v>
      </c>
      <c r="D135" s="1521">
        <v>9270</v>
      </c>
      <c r="E135" s="1521">
        <v>9350</v>
      </c>
      <c r="F135" s="1539"/>
    </row>
    <row r="136" spans="1:6" s="1515" customFormat="1" ht="14.25" customHeight="1" thickBot="1">
      <c r="A136" s="1527" t="s">
        <v>201</v>
      </c>
      <c r="B136" s="1521" t="s">
        <v>1452</v>
      </c>
      <c r="C136" s="1521">
        <v>10160</v>
      </c>
      <c r="D136" s="1521">
        <v>10110</v>
      </c>
      <c r="E136" s="1521">
        <v>10080</v>
      </c>
      <c r="F136" s="1539"/>
    </row>
    <row r="137" spans="1:6" s="1515" customFormat="1" ht="14.25" customHeight="1" thickBot="1">
      <c r="A137" s="1527" t="s">
        <v>201</v>
      </c>
      <c r="B137" s="1521" t="s">
        <v>1459</v>
      </c>
      <c r="C137" s="1521">
        <v>9200</v>
      </c>
      <c r="D137" s="1521">
        <v>9170</v>
      </c>
      <c r="E137" s="1521">
        <v>9450</v>
      </c>
      <c r="F137" s="1539"/>
    </row>
    <row r="138" spans="1:6" s="1515" customFormat="1" ht="14.25" customHeight="1" thickBot="1">
      <c r="A138" s="1527" t="s">
        <v>201</v>
      </c>
      <c r="B138" s="1521" t="s">
        <v>1464</v>
      </c>
      <c r="C138" s="1521">
        <v>9690</v>
      </c>
      <c r="D138" s="1521">
        <v>9660</v>
      </c>
      <c r="E138" s="1521">
        <v>9840</v>
      </c>
      <c r="F138" s="1539"/>
    </row>
    <row r="139" spans="1:6" s="1515" customFormat="1" ht="14.25" customHeight="1" thickBot="1">
      <c r="A139" s="1527" t="s">
        <v>201</v>
      </c>
      <c r="B139" s="1521" t="s">
        <v>1468</v>
      </c>
      <c r="C139" s="1521">
        <v>10290</v>
      </c>
      <c r="D139" s="1521">
        <v>10260</v>
      </c>
      <c r="E139" s="1521">
        <v>10550</v>
      </c>
      <c r="F139" s="1535">
        <v>1700</v>
      </c>
    </row>
    <row r="140" spans="1:6" s="1515" customFormat="1" ht="14.25" customHeight="1" thickBot="1">
      <c r="A140" s="1527" t="s">
        <v>201</v>
      </c>
      <c r="B140" s="1521" t="s">
        <v>1473</v>
      </c>
      <c r="C140" s="1521">
        <v>9740</v>
      </c>
      <c r="D140" s="1521">
        <v>9710</v>
      </c>
      <c r="E140" s="1521">
        <v>10000</v>
      </c>
      <c r="F140" s="1535">
        <v>2000</v>
      </c>
    </row>
    <row r="141" spans="1:6" s="1515" customFormat="1" ht="14.25" customHeight="1" thickBot="1">
      <c r="A141" s="1527" t="s">
        <v>201</v>
      </c>
      <c r="B141" s="1521" t="s">
        <v>1478</v>
      </c>
      <c r="C141" s="1521">
        <v>9810</v>
      </c>
      <c r="D141" s="1521">
        <v>9770</v>
      </c>
      <c r="E141" s="1521">
        <v>10060</v>
      </c>
      <c r="F141" s="1539"/>
    </row>
    <row r="142" spans="1:6" s="1515" customFormat="1" ht="14.25" customHeight="1" thickBot="1">
      <c r="A142" s="1527" t="s">
        <v>201</v>
      </c>
      <c r="B142" s="1521" t="s">
        <v>1483</v>
      </c>
      <c r="C142" s="1521">
        <v>9300</v>
      </c>
      <c r="D142" s="1521">
        <v>9270</v>
      </c>
      <c r="E142" s="1521">
        <v>9530</v>
      </c>
      <c r="F142" s="1539"/>
    </row>
    <row r="143" spans="1:6" s="1515" customFormat="1" ht="14.25" customHeight="1" thickBot="1">
      <c r="A143" s="1527" t="s">
        <v>201</v>
      </c>
      <c r="B143" s="1521" t="s">
        <v>1488</v>
      </c>
      <c r="C143" s="1521">
        <v>10080</v>
      </c>
      <c r="D143" s="1521">
        <v>10050</v>
      </c>
      <c r="E143" s="1521">
        <v>10340</v>
      </c>
      <c r="F143" s="1539"/>
    </row>
    <row r="144" spans="1:6" s="1515" customFormat="1" ht="14.25" customHeight="1" thickBot="1">
      <c r="A144" s="1527" t="s">
        <v>201</v>
      </c>
      <c r="B144" s="1521" t="s">
        <v>1492</v>
      </c>
      <c r="C144" s="1521">
        <v>9820</v>
      </c>
      <c r="D144" s="1521">
        <v>9750</v>
      </c>
      <c r="E144" s="1521">
        <v>9900</v>
      </c>
      <c r="F144" s="1539"/>
    </row>
    <row r="145" spans="1:6" s="1515" customFormat="1" ht="14.25" customHeight="1" thickBot="1">
      <c r="A145" s="1527" t="s">
        <v>201</v>
      </c>
      <c r="B145" s="1521" t="s">
        <v>1496</v>
      </c>
      <c r="C145" s="1521"/>
      <c r="D145" s="1521"/>
      <c r="E145" s="1521"/>
      <c r="F145" s="1535">
        <v>1740</v>
      </c>
    </row>
    <row r="146" spans="1:6" s="1515" customFormat="1" ht="14.25" customHeight="1" thickBot="1">
      <c r="A146" s="1527" t="s">
        <v>201</v>
      </c>
      <c r="B146" s="1521" t="s">
        <v>1500</v>
      </c>
      <c r="C146" s="1521"/>
      <c r="D146" s="1521"/>
      <c r="E146" s="1521"/>
      <c r="F146" s="1535">
        <v>1740</v>
      </c>
    </row>
    <row r="147" spans="1:6" s="1515" customFormat="1" ht="14.25" customHeight="1" thickBot="1">
      <c r="A147" s="1527" t="s">
        <v>201</v>
      </c>
      <c r="B147" s="1521" t="s">
        <v>1504</v>
      </c>
      <c r="C147" s="1521"/>
      <c r="D147" s="1521"/>
      <c r="E147" s="1521"/>
      <c r="F147" s="1535">
        <v>1740</v>
      </c>
    </row>
    <row r="148" spans="1:6" s="1515" customFormat="1" ht="14.25" customHeight="1" thickBot="1">
      <c r="A148" s="1527" t="s">
        <v>201</v>
      </c>
      <c r="B148" s="1521" t="s">
        <v>1508</v>
      </c>
      <c r="C148" s="1521"/>
      <c r="D148" s="1521"/>
      <c r="E148" s="1521"/>
      <c r="F148" s="1535">
        <v>1740</v>
      </c>
    </row>
    <row r="149" spans="1:6" s="1515" customFormat="1" ht="14.25" customHeight="1" thickBot="1">
      <c r="A149" s="1527" t="s">
        <v>201</v>
      </c>
      <c r="B149" s="1521" t="s">
        <v>1512</v>
      </c>
      <c r="C149" s="1521"/>
      <c r="D149" s="1521"/>
      <c r="E149" s="1521"/>
      <c r="F149" s="1535">
        <v>1740</v>
      </c>
    </row>
    <row r="150" spans="1:6" s="1515" customFormat="1" ht="14.25" customHeight="1" thickBot="1">
      <c r="A150" s="1527" t="s">
        <v>201</v>
      </c>
      <c r="B150" s="1521" t="s">
        <v>1515</v>
      </c>
      <c r="C150" s="1521"/>
      <c r="D150" s="1521"/>
      <c r="E150" s="1521"/>
      <c r="F150" s="1535">
        <v>1610</v>
      </c>
    </row>
    <row r="151" spans="1:6" s="1515" customFormat="1" ht="14.25" customHeight="1" thickBot="1">
      <c r="A151" s="1527" t="s">
        <v>201</v>
      </c>
      <c r="B151" s="1521" t="s">
        <v>1518</v>
      </c>
      <c r="C151" s="1521"/>
      <c r="D151" s="1521"/>
      <c r="E151" s="1521"/>
      <c r="F151" s="1535">
        <v>1610</v>
      </c>
    </row>
    <row r="152" spans="1:6" s="1515" customFormat="1" ht="14.25" customHeight="1" thickBot="1">
      <c r="A152" s="1527" t="s">
        <v>201</v>
      </c>
      <c r="B152" s="1521" t="s">
        <v>1521</v>
      </c>
      <c r="C152" s="1521"/>
      <c r="D152" s="1521"/>
      <c r="E152" s="1521"/>
      <c r="F152" s="1535">
        <v>1610</v>
      </c>
    </row>
    <row r="153" spans="1:6" s="1515" customFormat="1" ht="14.25" customHeight="1" thickBot="1">
      <c r="A153" s="1527" t="s">
        <v>201</v>
      </c>
      <c r="B153" s="1521" t="s">
        <v>1524</v>
      </c>
      <c r="C153" s="1521"/>
      <c r="D153" s="1521"/>
      <c r="E153" s="1521"/>
      <c r="F153" s="1535">
        <v>1610</v>
      </c>
    </row>
    <row r="154" spans="1:6" s="1515" customFormat="1" ht="14.25" customHeight="1" thickBot="1">
      <c r="A154" s="1527" t="s">
        <v>201</v>
      </c>
      <c r="B154" s="1521" t="s">
        <v>1527</v>
      </c>
      <c r="C154" s="1521"/>
      <c r="D154" s="1521"/>
      <c r="E154" s="1521"/>
      <c r="F154" s="1535">
        <v>1610</v>
      </c>
    </row>
    <row r="155" spans="1:6" s="1515" customFormat="1" ht="14.25" customHeight="1" thickBot="1">
      <c r="A155" s="1527" t="s">
        <v>201</v>
      </c>
      <c r="B155" s="1521" t="s">
        <v>1530</v>
      </c>
      <c r="C155" s="1521"/>
      <c r="D155" s="1521"/>
      <c r="E155" s="1521"/>
      <c r="F155" s="1535">
        <v>1800</v>
      </c>
    </row>
    <row r="156" spans="1:6" s="1515" customFormat="1" ht="14.25" customHeight="1" thickBot="1">
      <c r="A156" s="1527" t="s">
        <v>201</v>
      </c>
      <c r="B156" s="1521" t="s">
        <v>1532</v>
      </c>
      <c r="C156" s="1521"/>
      <c r="D156" s="1521"/>
      <c r="E156" s="1521"/>
      <c r="F156" s="1535">
        <v>1910</v>
      </c>
    </row>
    <row r="157" spans="1:6" s="1515" customFormat="1" ht="14.25" customHeight="1" thickBot="1">
      <c r="A157" s="1527" t="s">
        <v>201</v>
      </c>
      <c r="B157" s="1533" t="s">
        <v>1535</v>
      </c>
      <c r="C157" s="1533"/>
      <c r="D157" s="1533"/>
      <c r="E157" s="1533"/>
      <c r="F157" s="1538">
        <v>1500</v>
      </c>
    </row>
    <row r="158" spans="1:6" s="1515" customFormat="1" ht="14.25" customHeight="1" thickBot="1">
      <c r="A158" s="1527" t="s">
        <v>1540</v>
      </c>
      <c r="B158" s="1528" t="s">
        <v>1541</v>
      </c>
      <c r="C158" s="1528">
        <v>8170</v>
      </c>
      <c r="D158" s="1528">
        <v>8140</v>
      </c>
      <c r="E158" s="1528">
        <v>8590</v>
      </c>
      <c r="F158" s="1529">
        <v>1450</v>
      </c>
    </row>
    <row r="159" spans="1:6" s="1515" customFormat="1" ht="14.25" customHeight="1" thickBot="1">
      <c r="A159" s="1527" t="s">
        <v>1540</v>
      </c>
      <c r="B159" s="1521" t="s">
        <v>1207</v>
      </c>
      <c r="C159" s="1521">
        <v>7410</v>
      </c>
      <c r="D159" s="1521">
        <v>7370</v>
      </c>
      <c r="E159" s="1521">
        <v>8030</v>
      </c>
      <c r="F159" s="1535">
        <v>1510</v>
      </c>
    </row>
    <row r="160" spans="1:6" s="1515" customFormat="1" ht="14.25" customHeight="1" thickBot="1">
      <c r="A160" s="1527" t="s">
        <v>1540</v>
      </c>
      <c r="B160" s="1521" t="s">
        <v>1220</v>
      </c>
      <c r="C160" s="1521">
        <v>7240</v>
      </c>
      <c r="D160" s="1521">
        <v>7210</v>
      </c>
      <c r="E160" s="1521">
        <v>7860</v>
      </c>
      <c r="F160" s="1535">
        <v>1370</v>
      </c>
    </row>
    <row r="161" spans="1:6" s="1515" customFormat="1" ht="14.25" customHeight="1" thickBot="1">
      <c r="A161" s="1527" t="s">
        <v>1540</v>
      </c>
      <c r="B161" s="1521" t="s">
        <v>1233</v>
      </c>
      <c r="C161" s="1521">
        <v>7720</v>
      </c>
      <c r="D161" s="1521">
        <v>7690</v>
      </c>
      <c r="E161" s="1521">
        <v>8200</v>
      </c>
      <c r="F161" s="1535">
        <v>1190</v>
      </c>
    </row>
    <row r="162" spans="1:6" s="1515" customFormat="1" ht="14.25" customHeight="1" thickBot="1">
      <c r="A162" s="1527" t="s">
        <v>1540</v>
      </c>
      <c r="B162" s="1521" t="s">
        <v>1245</v>
      </c>
      <c r="C162" s="1521">
        <v>6900</v>
      </c>
      <c r="D162" s="1521">
        <v>6870</v>
      </c>
      <c r="E162" s="1521">
        <v>7500</v>
      </c>
      <c r="F162" s="1535">
        <v>1390</v>
      </c>
    </row>
    <row r="163" spans="1:6" s="1515" customFormat="1" ht="14.25" customHeight="1" thickBot="1">
      <c r="A163" s="1527" t="s">
        <v>1540</v>
      </c>
      <c r="B163" s="1521" t="s">
        <v>1256</v>
      </c>
      <c r="C163" s="1521">
        <v>7120</v>
      </c>
      <c r="D163" s="1521">
        <v>7090</v>
      </c>
      <c r="E163" s="1521">
        <v>7690</v>
      </c>
      <c r="F163" s="1535">
        <v>1230</v>
      </c>
    </row>
    <row r="164" spans="1:6" s="1515" customFormat="1" ht="14.25" customHeight="1" thickBot="1">
      <c r="A164" s="1527" t="s">
        <v>1540</v>
      </c>
      <c r="B164" s="1521" t="s">
        <v>1267</v>
      </c>
      <c r="C164" s="1521">
        <v>6560</v>
      </c>
      <c r="D164" s="1521">
        <v>6530</v>
      </c>
      <c r="E164" s="1521">
        <v>7110</v>
      </c>
      <c r="F164" s="1535">
        <v>1340</v>
      </c>
    </row>
    <row r="165" spans="1:6" s="1515" customFormat="1" ht="14.25" customHeight="1" thickBot="1">
      <c r="A165" s="1527" t="s">
        <v>1540</v>
      </c>
      <c r="B165" s="1521" t="s">
        <v>1278</v>
      </c>
      <c r="C165" s="1521">
        <v>7450</v>
      </c>
      <c r="D165" s="1521">
        <v>7430</v>
      </c>
      <c r="E165" s="1521">
        <v>8110</v>
      </c>
      <c r="F165" s="1535">
        <v>1290</v>
      </c>
    </row>
    <row r="166" spans="1:6" s="1515" customFormat="1" ht="14.25" customHeight="1" thickBot="1">
      <c r="A166" s="1527" t="s">
        <v>1540</v>
      </c>
      <c r="B166" s="1521" t="s">
        <v>1290</v>
      </c>
      <c r="C166" s="1521">
        <v>7490</v>
      </c>
      <c r="D166" s="1521">
        <v>7460</v>
      </c>
      <c r="E166" s="1521">
        <v>8150</v>
      </c>
      <c r="F166" s="1535">
        <v>1350</v>
      </c>
    </row>
    <row r="167" spans="1:6" s="1515" customFormat="1" ht="14.25" customHeight="1" thickBot="1">
      <c r="A167" s="1527" t="s">
        <v>1540</v>
      </c>
      <c r="B167" s="1521" t="s">
        <v>1300</v>
      </c>
      <c r="C167" s="1521">
        <v>7540</v>
      </c>
      <c r="D167" s="1521">
        <v>7510</v>
      </c>
      <c r="E167" s="1521">
        <v>8030</v>
      </c>
      <c r="F167" s="1539"/>
    </row>
    <row r="168" spans="1:6" s="1515" customFormat="1" ht="14.25" customHeight="1" thickBot="1">
      <c r="A168" s="1527" t="s">
        <v>1540</v>
      </c>
      <c r="B168" s="1521" t="s">
        <v>1310</v>
      </c>
      <c r="C168" s="1521">
        <v>7210</v>
      </c>
      <c r="D168" s="1521">
        <v>7180</v>
      </c>
      <c r="E168" s="1521">
        <v>7830</v>
      </c>
      <c r="F168" s="1539"/>
    </row>
    <row r="169" spans="1:6" s="1515" customFormat="1" ht="14.25" customHeight="1" thickBot="1">
      <c r="A169" s="1527" t="s">
        <v>1540</v>
      </c>
      <c r="B169" s="1521" t="s">
        <v>1320</v>
      </c>
      <c r="C169" s="1521">
        <v>7040</v>
      </c>
      <c r="D169" s="1521">
        <v>7020</v>
      </c>
      <c r="E169" s="1521">
        <v>7670</v>
      </c>
      <c r="F169" s="1539"/>
    </row>
    <row r="170" spans="1:6" s="1515" customFormat="1" ht="14.25" customHeight="1" thickBot="1">
      <c r="A170" s="1527" t="s">
        <v>1540</v>
      </c>
      <c r="B170" s="1521" t="s">
        <v>1330</v>
      </c>
      <c r="C170" s="1521">
        <v>8040</v>
      </c>
      <c r="D170" s="1521">
        <v>7190</v>
      </c>
      <c r="E170" s="1521">
        <v>7850</v>
      </c>
      <c r="F170" s="1539"/>
    </row>
    <row r="171" spans="1:6" s="1515" customFormat="1" ht="14.25" customHeight="1" thickBot="1">
      <c r="A171" s="1527" t="s">
        <v>1540</v>
      </c>
      <c r="B171" s="1521" t="s">
        <v>1341</v>
      </c>
      <c r="C171" s="1521">
        <v>7860</v>
      </c>
      <c r="D171" s="1521">
        <v>7720</v>
      </c>
      <c r="E171" s="1521">
        <v>8150</v>
      </c>
      <c r="F171" s="1535">
        <v>1110</v>
      </c>
    </row>
    <row r="172" spans="1:6" s="1515" customFormat="1" ht="14.25" customHeight="1" thickBot="1">
      <c r="A172" s="1527" t="s">
        <v>1540</v>
      </c>
      <c r="B172" s="1521" t="s">
        <v>1352</v>
      </c>
      <c r="C172" s="1521">
        <v>7210</v>
      </c>
      <c r="D172" s="1521">
        <v>7170</v>
      </c>
      <c r="E172" s="1521">
        <v>7320</v>
      </c>
      <c r="F172" s="1539"/>
    </row>
    <row r="173" spans="1:6" s="1515" customFormat="1" ht="14.25" customHeight="1" thickBot="1">
      <c r="A173" s="1527" t="s">
        <v>1540</v>
      </c>
      <c r="B173" s="1521" t="s">
        <v>1362</v>
      </c>
      <c r="C173" s="1521">
        <v>6860</v>
      </c>
      <c r="D173" s="1521">
        <v>6810</v>
      </c>
      <c r="E173" s="1521">
        <v>7440</v>
      </c>
      <c r="F173" s="1539"/>
    </row>
    <row r="174" spans="1:6" s="1515" customFormat="1" ht="14.25" customHeight="1" thickBot="1">
      <c r="A174" s="1527" t="s">
        <v>1540</v>
      </c>
      <c r="B174" s="1521" t="s">
        <v>1372</v>
      </c>
      <c r="C174" s="1521">
        <v>7120</v>
      </c>
      <c r="D174" s="1521">
        <v>7090</v>
      </c>
      <c r="E174" s="1521">
        <v>7500</v>
      </c>
      <c r="F174" s="1535">
        <v>1490</v>
      </c>
    </row>
    <row r="175" spans="1:6" s="1515" customFormat="1" ht="14.25" customHeight="1" thickBot="1">
      <c r="A175" s="1527" t="s">
        <v>1540</v>
      </c>
      <c r="B175" s="1521" t="s">
        <v>1382</v>
      </c>
      <c r="C175" s="1521">
        <v>7850</v>
      </c>
      <c r="D175" s="1521">
        <v>7820</v>
      </c>
      <c r="E175" s="1521">
        <v>8120</v>
      </c>
      <c r="F175" s="1535">
        <v>1530</v>
      </c>
    </row>
    <row r="176" spans="1:6" s="1515" customFormat="1" ht="14.25" customHeight="1" thickBot="1">
      <c r="A176" s="1527" t="s">
        <v>1540</v>
      </c>
      <c r="B176" s="1521" t="s">
        <v>1392</v>
      </c>
      <c r="C176" s="1521">
        <v>7620</v>
      </c>
      <c r="D176" s="1521">
        <v>7570</v>
      </c>
      <c r="E176" s="1521">
        <v>7990</v>
      </c>
      <c r="F176" s="1535">
        <v>1480</v>
      </c>
    </row>
    <row r="177" spans="1:6" s="1515" customFormat="1" ht="14.25" customHeight="1" thickBot="1">
      <c r="A177" s="1527" t="s">
        <v>1540</v>
      </c>
      <c r="B177" s="1521" t="s">
        <v>1401</v>
      </c>
      <c r="C177" s="1521">
        <v>8590</v>
      </c>
      <c r="D177" s="1521">
        <v>8570</v>
      </c>
      <c r="E177" s="1521">
        <v>8740</v>
      </c>
      <c r="F177" s="1535">
        <v>1540</v>
      </c>
    </row>
    <row r="178" spans="1:6" s="1515" customFormat="1" ht="14.25" customHeight="1" thickBot="1">
      <c r="A178" s="1527" t="s">
        <v>1540</v>
      </c>
      <c r="B178" s="1521" t="s">
        <v>1410</v>
      </c>
      <c r="C178" s="1521">
        <v>7510</v>
      </c>
      <c r="D178" s="1521">
        <v>7470</v>
      </c>
      <c r="E178" s="1521">
        <v>8090</v>
      </c>
      <c r="F178" s="1535">
        <v>1320</v>
      </c>
    </row>
    <row r="179" spans="1:6" s="1515" customFormat="1" ht="14.25" customHeight="1" thickBot="1">
      <c r="A179" s="1527" t="s">
        <v>1540</v>
      </c>
      <c r="B179" s="1521" t="s">
        <v>1418</v>
      </c>
      <c r="C179" s="1521">
        <v>6380</v>
      </c>
      <c r="D179" s="1521">
        <v>6340</v>
      </c>
      <c r="E179" s="1521">
        <v>6810</v>
      </c>
      <c r="F179" s="1539"/>
    </row>
    <row r="180" spans="1:6" s="1515" customFormat="1" ht="14.25" customHeight="1" thickBot="1">
      <c r="A180" s="1527" t="s">
        <v>1540</v>
      </c>
      <c r="B180" s="1521" t="s">
        <v>1425</v>
      </c>
      <c r="C180" s="1521">
        <v>7830</v>
      </c>
      <c r="D180" s="1521">
        <v>7800</v>
      </c>
      <c r="E180" s="1521">
        <v>7780</v>
      </c>
      <c r="F180" s="1535">
        <v>1440</v>
      </c>
    </row>
    <row r="181" spans="1:6" s="1515" customFormat="1" ht="14.25" customHeight="1" thickBot="1">
      <c r="A181" s="1527" t="s">
        <v>1540</v>
      </c>
      <c r="B181" s="1521" t="s">
        <v>1432</v>
      </c>
      <c r="C181" s="1521">
        <v>7110</v>
      </c>
      <c r="D181" s="1521">
        <v>7080</v>
      </c>
      <c r="E181" s="1521">
        <v>7730</v>
      </c>
      <c r="F181" s="1535">
        <v>1350</v>
      </c>
    </row>
    <row r="182" spans="1:6" s="1515" customFormat="1" ht="14.25" customHeight="1" thickBot="1">
      <c r="A182" s="1527" t="s">
        <v>1540</v>
      </c>
      <c r="B182" s="1521" t="s">
        <v>1439</v>
      </c>
      <c r="C182" s="1521">
        <v>7310</v>
      </c>
      <c r="D182" s="1521">
        <v>7280</v>
      </c>
      <c r="E182" s="1521">
        <v>7950</v>
      </c>
      <c r="F182" s="1535">
        <v>1220</v>
      </c>
    </row>
    <row r="183" spans="1:6" s="1515" customFormat="1" ht="14.25" customHeight="1" thickBot="1">
      <c r="A183" s="1527" t="s">
        <v>1540</v>
      </c>
      <c r="B183" s="1521" t="s">
        <v>1446</v>
      </c>
      <c r="C183" s="1521">
        <v>7470</v>
      </c>
      <c r="D183" s="1521">
        <v>7440</v>
      </c>
      <c r="E183" s="1521">
        <v>7880</v>
      </c>
      <c r="F183" s="1539"/>
    </row>
    <row r="184" spans="1:6" s="1515" customFormat="1" ht="14.25" customHeight="1" thickBot="1">
      <c r="A184" s="1527" t="s">
        <v>1540</v>
      </c>
      <c r="B184" s="1521" t="s">
        <v>1453</v>
      </c>
      <c r="C184" s="1521">
        <v>6960</v>
      </c>
      <c r="D184" s="1521">
        <v>6930</v>
      </c>
      <c r="E184" s="1521">
        <v>7570</v>
      </c>
      <c r="F184" s="1539"/>
    </row>
    <row r="185" spans="1:6" s="1515" customFormat="1" ht="14.25" customHeight="1" thickBot="1">
      <c r="A185" s="1527" t="s">
        <v>1540</v>
      </c>
      <c r="B185" s="1521" t="s">
        <v>1460</v>
      </c>
      <c r="C185" s="1521">
        <v>7260</v>
      </c>
      <c r="D185" s="1521">
        <v>7230</v>
      </c>
      <c r="E185" s="1521">
        <v>7710</v>
      </c>
      <c r="F185" s="1535">
        <v>1360</v>
      </c>
    </row>
    <row r="186" spans="1:6" s="1515" customFormat="1" ht="14.25" customHeight="1" thickBot="1">
      <c r="A186" s="1527" t="s">
        <v>1540</v>
      </c>
      <c r="B186" s="1521" t="s">
        <v>1465</v>
      </c>
      <c r="C186" s="1521"/>
      <c r="D186" s="1521"/>
      <c r="E186" s="1521"/>
      <c r="F186" s="1535">
        <v>1560</v>
      </c>
    </row>
    <row r="187" spans="1:6" s="1515" customFormat="1" ht="14.25" customHeight="1" thickBot="1">
      <c r="A187" s="1527" t="s">
        <v>1540</v>
      </c>
      <c r="B187" s="1521" t="s">
        <v>1469</v>
      </c>
      <c r="C187" s="1521"/>
      <c r="D187" s="1521"/>
      <c r="E187" s="1521"/>
      <c r="F187" s="1535">
        <v>1560</v>
      </c>
    </row>
    <row r="188" spans="1:6" s="1515" customFormat="1" ht="14.25" customHeight="1" thickBot="1">
      <c r="A188" s="1527" t="s">
        <v>1540</v>
      </c>
      <c r="B188" s="1521" t="s">
        <v>1474</v>
      </c>
      <c r="C188" s="1521"/>
      <c r="D188" s="1521"/>
      <c r="E188" s="1521"/>
      <c r="F188" s="1535">
        <v>1560</v>
      </c>
    </row>
    <row r="189" spans="1:6" s="1515" customFormat="1" ht="14.25" customHeight="1" thickBot="1">
      <c r="A189" s="1527" t="s">
        <v>1540</v>
      </c>
      <c r="B189" s="1521" t="s">
        <v>1479</v>
      </c>
      <c r="C189" s="1521"/>
      <c r="D189" s="1521"/>
      <c r="E189" s="1521"/>
      <c r="F189" s="1535">
        <v>1320</v>
      </c>
    </row>
    <row r="190" spans="1:6" s="1515" customFormat="1" ht="14.25" customHeight="1" thickBot="1">
      <c r="A190" s="1527" t="s">
        <v>1540</v>
      </c>
      <c r="B190" s="1521" t="s">
        <v>1484</v>
      </c>
      <c r="C190" s="1521"/>
      <c r="D190" s="1521"/>
      <c r="E190" s="1521"/>
      <c r="F190" s="1535">
        <v>1320</v>
      </c>
    </row>
    <row r="191" spans="1:6" s="1515" customFormat="1" ht="14.25" customHeight="1" thickBot="1">
      <c r="A191" s="1527" t="s">
        <v>1540</v>
      </c>
      <c r="B191" s="1521" t="s">
        <v>1489</v>
      </c>
      <c r="C191" s="1521"/>
      <c r="D191" s="1521"/>
      <c r="E191" s="1521"/>
      <c r="F191" s="1535">
        <v>1320</v>
      </c>
    </row>
    <row r="192" spans="1:6" s="1515" customFormat="1" ht="14.25" customHeight="1" thickBot="1">
      <c r="A192" s="1527" t="s">
        <v>1540</v>
      </c>
      <c r="B192" s="1521" t="s">
        <v>1493</v>
      </c>
      <c r="C192" s="1521"/>
      <c r="D192" s="1521"/>
      <c r="E192" s="1521"/>
      <c r="F192" s="1535">
        <v>1100</v>
      </c>
    </row>
    <row r="193" spans="1:6" s="1515" customFormat="1" ht="14.25" customHeight="1" thickBot="1">
      <c r="A193" s="1527" t="s">
        <v>1540</v>
      </c>
      <c r="B193" s="1521" t="s">
        <v>1497</v>
      </c>
      <c r="C193" s="1521"/>
      <c r="D193" s="1521"/>
      <c r="E193" s="1521"/>
      <c r="F193" s="1535">
        <v>1100</v>
      </c>
    </row>
    <row r="194" spans="1:6" s="1515" customFormat="1" ht="14.25" customHeight="1" thickBot="1">
      <c r="A194" s="1527" t="s">
        <v>1540</v>
      </c>
      <c r="B194" s="1521" t="s">
        <v>1501</v>
      </c>
      <c r="C194" s="1521"/>
      <c r="D194" s="1521"/>
      <c r="E194" s="1521"/>
      <c r="F194" s="1535">
        <v>1080</v>
      </c>
    </row>
    <row r="195" spans="1:6" s="1515" customFormat="1" ht="14.25" customHeight="1" thickBot="1">
      <c r="A195" s="1527" t="s">
        <v>1540</v>
      </c>
      <c r="B195" s="1521" t="s">
        <v>1505</v>
      </c>
      <c r="C195" s="1521"/>
      <c r="D195" s="1521"/>
      <c r="E195" s="1521"/>
      <c r="F195" s="1535">
        <v>1270</v>
      </c>
    </row>
    <row r="196" spans="1:6" s="1515" customFormat="1" ht="14.25" customHeight="1" thickBot="1">
      <c r="A196" s="1527" t="s">
        <v>1540</v>
      </c>
      <c r="B196" s="1521" t="s">
        <v>1509</v>
      </c>
      <c r="C196" s="1521"/>
      <c r="D196" s="1521"/>
      <c r="E196" s="1521"/>
      <c r="F196" s="1535">
        <v>1150</v>
      </c>
    </row>
    <row r="197" spans="1:6" s="1515" customFormat="1" ht="14.25" customHeight="1" thickBot="1">
      <c r="A197" s="1527" t="s">
        <v>1540</v>
      </c>
      <c r="B197" s="1521" t="s">
        <v>1513</v>
      </c>
      <c r="C197" s="1521"/>
      <c r="D197" s="1521"/>
      <c r="E197" s="1521"/>
      <c r="F197" s="1535">
        <v>1330</v>
      </c>
    </row>
    <row r="198" spans="1:6" s="1515" customFormat="1" ht="14.25" customHeight="1" thickBot="1">
      <c r="A198" s="1527" t="s">
        <v>1540</v>
      </c>
      <c r="B198" s="1521" t="s">
        <v>1516</v>
      </c>
      <c r="C198" s="1521"/>
      <c r="D198" s="1521"/>
      <c r="E198" s="1521"/>
      <c r="F198" s="1535">
        <v>1170</v>
      </c>
    </row>
    <row r="199" spans="1:6" s="1515" customFormat="1" ht="14.25" customHeight="1" thickBot="1">
      <c r="A199" s="1527" t="s">
        <v>1540</v>
      </c>
      <c r="B199" s="1521" t="s">
        <v>1519</v>
      </c>
      <c r="C199" s="1521"/>
      <c r="D199" s="1521"/>
      <c r="E199" s="1521"/>
      <c r="F199" s="1535">
        <v>1120</v>
      </c>
    </row>
    <row r="200" spans="1:6" s="1515" customFormat="1" ht="14.25" customHeight="1" thickBot="1">
      <c r="A200" s="1527" t="s">
        <v>1540</v>
      </c>
      <c r="B200" s="1521" t="s">
        <v>1522</v>
      </c>
      <c r="C200" s="1521"/>
      <c r="D200" s="1521"/>
      <c r="E200" s="1521"/>
      <c r="F200" s="1535">
        <v>1120</v>
      </c>
    </row>
    <row r="201" spans="1:6" s="1515" customFormat="1" ht="14.25" customHeight="1" thickBot="1">
      <c r="A201" s="1527" t="s">
        <v>1540</v>
      </c>
      <c r="B201" s="1521" t="s">
        <v>1525</v>
      </c>
      <c r="C201" s="1521"/>
      <c r="D201" s="1521"/>
      <c r="E201" s="1521"/>
      <c r="F201" s="1535">
        <v>1540</v>
      </c>
    </row>
    <row r="202" spans="1:6" s="1515" customFormat="1" ht="14.25" customHeight="1" thickBot="1">
      <c r="A202" s="1527" t="s">
        <v>1540</v>
      </c>
      <c r="B202" s="1521" t="s">
        <v>1528</v>
      </c>
      <c r="C202" s="1521"/>
      <c r="D202" s="1521"/>
      <c r="E202" s="1521"/>
      <c r="F202" s="1535">
        <v>1310</v>
      </c>
    </row>
    <row r="203" spans="1:6" s="1515" customFormat="1" ht="14.25" customHeight="1" thickBot="1">
      <c r="A203" s="1527" t="s">
        <v>1540</v>
      </c>
      <c r="B203" s="1521" t="s">
        <v>1531</v>
      </c>
      <c r="C203" s="1521"/>
      <c r="D203" s="1521"/>
      <c r="E203" s="1521"/>
      <c r="F203" s="1535">
        <v>1310</v>
      </c>
    </row>
    <row r="204" spans="1:6" s="1515" customFormat="1" ht="14.25" customHeight="1" thickBot="1">
      <c r="A204" s="1527" t="s">
        <v>1540</v>
      </c>
      <c r="B204" s="1521" t="s">
        <v>1533</v>
      </c>
      <c r="C204" s="1521"/>
      <c r="D204" s="1521"/>
      <c r="E204" s="1521"/>
      <c r="F204" s="1535">
        <v>1080</v>
      </c>
    </row>
    <row r="205" spans="1:6" s="1515" customFormat="1" ht="14.25" customHeight="1" thickBot="1">
      <c r="A205" s="1527" t="s">
        <v>1540</v>
      </c>
      <c r="B205" s="1521" t="s">
        <v>1536</v>
      </c>
      <c r="C205" s="1521"/>
      <c r="D205" s="1521"/>
      <c r="E205" s="1521"/>
      <c r="F205" s="1535">
        <v>1080</v>
      </c>
    </row>
    <row r="206" spans="1:6" s="1515" customFormat="1" ht="14.25" customHeight="1" thickBot="1">
      <c r="A206" s="1527" t="s">
        <v>1542</v>
      </c>
      <c r="B206" s="1528" t="s">
        <v>1543</v>
      </c>
      <c r="C206" s="1528">
        <v>5450</v>
      </c>
      <c r="D206" s="1528">
        <v>5430</v>
      </c>
      <c r="E206" s="1528">
        <v>5700</v>
      </c>
      <c r="F206" s="1529">
        <v>1020</v>
      </c>
    </row>
    <row r="207" spans="1:6" s="1515" customFormat="1" ht="14.25" customHeight="1" thickBot="1">
      <c r="A207" s="1527" t="s">
        <v>1542</v>
      </c>
      <c r="B207" s="1521" t="s">
        <v>1208</v>
      </c>
      <c r="C207" s="1521">
        <v>5860</v>
      </c>
      <c r="D207" s="1521">
        <v>5820</v>
      </c>
      <c r="E207" s="1521">
        <v>6050</v>
      </c>
      <c r="F207" s="1535">
        <v>1080</v>
      </c>
    </row>
    <row r="208" spans="1:6" s="1515" customFormat="1" ht="14.25" customHeight="1" thickBot="1">
      <c r="A208" s="1527" t="s">
        <v>1542</v>
      </c>
      <c r="B208" s="1521" t="s">
        <v>1221</v>
      </c>
      <c r="C208" s="1521">
        <v>4630</v>
      </c>
      <c r="D208" s="1521">
        <v>4600</v>
      </c>
      <c r="E208" s="1521">
        <v>4840</v>
      </c>
      <c r="F208" s="1535">
        <v>900</v>
      </c>
    </row>
    <row r="209" spans="1:6" s="1515" customFormat="1" ht="14.25" customHeight="1" thickBot="1">
      <c r="A209" s="1527" t="s">
        <v>1542</v>
      </c>
      <c r="B209" s="1521" t="s">
        <v>1234</v>
      </c>
      <c r="C209" s="1521">
        <v>5320</v>
      </c>
      <c r="D209" s="1521">
        <v>5270</v>
      </c>
      <c r="E209" s="1521">
        <v>5540</v>
      </c>
      <c r="F209" s="1535">
        <v>980</v>
      </c>
    </row>
    <row r="210" spans="1:6" s="1515" customFormat="1" ht="14.25" customHeight="1" thickBot="1">
      <c r="A210" s="1527" t="s">
        <v>1542</v>
      </c>
      <c r="B210" s="1521" t="s">
        <v>1246</v>
      </c>
      <c r="C210" s="1521">
        <v>5760</v>
      </c>
      <c r="D210" s="1521">
        <v>5710</v>
      </c>
      <c r="E210" s="1521">
        <v>6010</v>
      </c>
      <c r="F210" s="1535">
        <v>870</v>
      </c>
    </row>
    <row r="211" spans="1:6" s="1515" customFormat="1" ht="14.25" customHeight="1" thickBot="1">
      <c r="A211" s="1527" t="s">
        <v>1542</v>
      </c>
      <c r="B211" s="1521" t="s">
        <v>1257</v>
      </c>
      <c r="C211" s="1521">
        <v>4160</v>
      </c>
      <c r="D211" s="1521">
        <v>4100</v>
      </c>
      <c r="E211" s="1521">
        <v>4270</v>
      </c>
      <c r="F211" s="1535">
        <v>790</v>
      </c>
    </row>
    <row r="212" spans="1:6" s="1515" customFormat="1" ht="14.25" customHeight="1" thickBot="1">
      <c r="A212" s="1527" t="s">
        <v>1542</v>
      </c>
      <c r="B212" s="1521" t="s">
        <v>1268</v>
      </c>
      <c r="C212" s="1521">
        <v>4880</v>
      </c>
      <c r="D212" s="1521">
        <v>4850</v>
      </c>
      <c r="E212" s="1521">
        <v>5110</v>
      </c>
      <c r="F212" s="1535">
        <v>940</v>
      </c>
    </row>
    <row r="213" spans="1:6" s="1515" customFormat="1" ht="14.25" customHeight="1" thickBot="1">
      <c r="A213" s="1527" t="s">
        <v>1542</v>
      </c>
      <c r="B213" s="1521" t="s">
        <v>1279</v>
      </c>
      <c r="C213" s="1521">
        <v>4640</v>
      </c>
      <c r="D213" s="1521">
        <v>4590</v>
      </c>
      <c r="E213" s="1521">
        <v>4700</v>
      </c>
      <c r="F213" s="1535">
        <v>1030</v>
      </c>
    </row>
    <row r="214" spans="1:6" s="1515" customFormat="1" ht="14.25" customHeight="1" thickBot="1">
      <c r="A214" s="1527" t="s">
        <v>1542</v>
      </c>
      <c r="B214" s="1521" t="s">
        <v>1291</v>
      </c>
      <c r="C214" s="1521">
        <v>4540</v>
      </c>
      <c r="D214" s="1521">
        <v>4490</v>
      </c>
      <c r="E214" s="1521">
        <v>4610</v>
      </c>
      <c r="F214" s="1539"/>
    </row>
    <row r="215" spans="1:6" s="1515" customFormat="1" ht="14.25" customHeight="1" thickBot="1">
      <c r="A215" s="1527" t="s">
        <v>1542</v>
      </c>
      <c r="B215" s="1521" t="s">
        <v>1301</v>
      </c>
      <c r="C215" s="1521">
        <v>5280</v>
      </c>
      <c r="D215" s="1521">
        <v>5250</v>
      </c>
      <c r="E215" s="1521">
        <v>5520</v>
      </c>
      <c r="F215" s="1535">
        <v>1000</v>
      </c>
    </row>
    <row r="216" spans="1:6" s="1515" customFormat="1" ht="14.25" customHeight="1" thickBot="1">
      <c r="A216" s="1527" t="s">
        <v>1542</v>
      </c>
      <c r="B216" s="1521" t="s">
        <v>1311</v>
      </c>
      <c r="C216" s="1521">
        <v>5100</v>
      </c>
      <c r="D216" s="1521">
        <v>5050</v>
      </c>
      <c r="E216" s="1521">
        <v>5300</v>
      </c>
      <c r="F216" s="1535">
        <v>950</v>
      </c>
    </row>
    <row r="217" spans="1:6" s="1515" customFormat="1" ht="14.25" customHeight="1" thickBot="1">
      <c r="A217" s="1527" t="s">
        <v>1542</v>
      </c>
      <c r="B217" s="1521" t="s">
        <v>1321</v>
      </c>
      <c r="C217" s="1521">
        <v>5370</v>
      </c>
      <c r="D217" s="1521">
        <v>5320</v>
      </c>
      <c r="E217" s="1521">
        <v>5410</v>
      </c>
      <c r="F217" s="1535">
        <v>950</v>
      </c>
    </row>
    <row r="218" spans="1:6" s="1515" customFormat="1" ht="14.25" customHeight="1" thickBot="1">
      <c r="A218" s="1527" t="s">
        <v>1542</v>
      </c>
      <c r="B218" s="1521" t="s">
        <v>1331</v>
      </c>
      <c r="C218" s="1521">
        <v>5540</v>
      </c>
      <c r="D218" s="1521">
        <v>5480</v>
      </c>
      <c r="E218" s="1521">
        <v>5740</v>
      </c>
      <c r="F218" s="1535">
        <v>1020</v>
      </c>
    </row>
    <row r="219" spans="1:6" s="1515" customFormat="1" ht="14.25" customHeight="1" thickBot="1">
      <c r="A219" s="1527" t="s">
        <v>1542</v>
      </c>
      <c r="B219" s="1521" t="s">
        <v>1342</v>
      </c>
      <c r="C219" s="1521">
        <v>5140</v>
      </c>
      <c r="D219" s="1521">
        <v>5100</v>
      </c>
      <c r="E219" s="1521">
        <v>5350</v>
      </c>
      <c r="F219" s="1535">
        <v>1120</v>
      </c>
    </row>
    <row r="220" spans="1:6" s="1515" customFormat="1" ht="14.25" customHeight="1" thickBot="1">
      <c r="A220" s="1527" t="s">
        <v>1542</v>
      </c>
      <c r="B220" s="1521" t="s">
        <v>1353</v>
      </c>
      <c r="C220" s="1521">
        <v>5040</v>
      </c>
      <c r="D220" s="1521">
        <v>5000</v>
      </c>
      <c r="E220" s="1521">
        <v>5240</v>
      </c>
      <c r="F220" s="1535">
        <v>980</v>
      </c>
    </row>
    <row r="221" spans="1:6" s="1515" customFormat="1" ht="14.25" customHeight="1" thickBot="1">
      <c r="A221" s="1527" t="s">
        <v>1542</v>
      </c>
      <c r="B221" s="1521" t="s">
        <v>1363</v>
      </c>
      <c r="C221" s="1540"/>
      <c r="D221" s="1540"/>
      <c r="E221" s="1540"/>
      <c r="F221" s="1535">
        <v>1070</v>
      </c>
    </row>
    <row r="222" spans="1:6" s="1515" customFormat="1" ht="14.25" customHeight="1" thickBot="1">
      <c r="A222" s="1527" t="s">
        <v>1542</v>
      </c>
      <c r="B222" s="1521" t="s">
        <v>1373</v>
      </c>
      <c r="C222" s="1540"/>
      <c r="D222" s="1540"/>
      <c r="E222" s="1540"/>
      <c r="F222" s="1535">
        <v>870</v>
      </c>
    </row>
    <row r="223" spans="1:6" s="1515" customFormat="1" ht="14.25" customHeight="1" thickBot="1">
      <c r="A223" s="1527" t="s">
        <v>1542</v>
      </c>
      <c r="B223" s="1521" t="s">
        <v>1383</v>
      </c>
      <c r="C223" s="1540"/>
      <c r="D223" s="1540"/>
      <c r="E223" s="1540"/>
      <c r="F223" s="1535">
        <v>940</v>
      </c>
    </row>
    <row r="224" spans="1:6" s="1515" customFormat="1" ht="14.25" customHeight="1" thickBot="1">
      <c r="A224" s="1527" t="s">
        <v>1542</v>
      </c>
      <c r="B224" s="1521" t="s">
        <v>1393</v>
      </c>
      <c r="C224" s="1540"/>
      <c r="D224" s="1540"/>
      <c r="E224" s="1540"/>
      <c r="F224" s="1535">
        <v>990</v>
      </c>
    </row>
    <row r="225" spans="1:6" s="1515" customFormat="1" ht="14.25" customHeight="1" thickBot="1">
      <c r="A225" s="1527" t="s">
        <v>1542</v>
      </c>
      <c r="B225" s="1521" t="s">
        <v>1402</v>
      </c>
      <c r="C225" s="1521">
        <v>5730</v>
      </c>
      <c r="D225" s="1521">
        <v>5680</v>
      </c>
      <c r="E225" s="1521">
        <v>6020</v>
      </c>
      <c r="F225" s="1535">
        <v>1000</v>
      </c>
    </row>
    <row r="226" spans="1:6" s="1515" customFormat="1" ht="14.25" customHeight="1" thickBot="1">
      <c r="A226" s="1527" t="s">
        <v>1542</v>
      </c>
      <c r="B226" s="1521" t="s">
        <v>1411</v>
      </c>
      <c r="C226" s="1521">
        <v>4970</v>
      </c>
      <c r="D226" s="1521">
        <v>4940</v>
      </c>
      <c r="E226" s="1521">
        <v>5180</v>
      </c>
      <c r="F226" s="1535">
        <v>960</v>
      </c>
    </row>
    <row r="227" spans="1:6" s="1515" customFormat="1" ht="14.25" customHeight="1" thickBot="1">
      <c r="A227" s="1527" t="s">
        <v>1542</v>
      </c>
      <c r="B227" s="1521" t="s">
        <v>1419</v>
      </c>
      <c r="C227" s="1521">
        <v>5550</v>
      </c>
      <c r="D227" s="1521">
        <v>5500</v>
      </c>
      <c r="E227" s="1521">
        <v>5780</v>
      </c>
      <c r="F227" s="1535">
        <v>940</v>
      </c>
    </row>
    <row r="228" spans="1:6" s="1515" customFormat="1" ht="14.25" customHeight="1" thickBot="1">
      <c r="A228" s="1527" t="s">
        <v>1542</v>
      </c>
      <c r="B228" s="1521" t="s">
        <v>1426</v>
      </c>
      <c r="C228" s="1521">
        <v>5460</v>
      </c>
      <c r="D228" s="1521">
        <v>5420</v>
      </c>
      <c r="E228" s="1521">
        <v>5690</v>
      </c>
      <c r="F228" s="1535">
        <v>910</v>
      </c>
    </row>
    <row r="229" spans="1:6" s="1515" customFormat="1" ht="14.25" customHeight="1" thickBot="1">
      <c r="A229" s="1527" t="s">
        <v>1542</v>
      </c>
      <c r="B229" s="1521" t="s">
        <v>1433</v>
      </c>
      <c r="C229" s="1521">
        <v>5310</v>
      </c>
      <c r="D229" s="1521">
        <v>5270</v>
      </c>
      <c r="E229" s="1521">
        <v>5510</v>
      </c>
      <c r="F229" s="1539"/>
    </row>
    <row r="230" spans="1:6" s="1515" customFormat="1" ht="14.25" customHeight="1" thickBot="1">
      <c r="A230" s="1527" t="s">
        <v>1542</v>
      </c>
      <c r="B230" s="1521" t="s">
        <v>1440</v>
      </c>
      <c r="C230" s="1521">
        <v>4540</v>
      </c>
      <c r="D230" s="1521">
        <v>4500</v>
      </c>
      <c r="E230" s="1521">
        <v>4730</v>
      </c>
      <c r="F230" s="1539"/>
    </row>
    <row r="231" spans="1:6" s="1515" customFormat="1" ht="14.25" customHeight="1" thickBot="1">
      <c r="A231" s="1527" t="s">
        <v>1542</v>
      </c>
      <c r="B231" s="1521" t="s">
        <v>1447</v>
      </c>
      <c r="C231" s="1521">
        <v>4480</v>
      </c>
      <c r="D231" s="1521">
        <v>4410</v>
      </c>
      <c r="E231" s="1521">
        <v>4640</v>
      </c>
      <c r="F231" s="1539"/>
    </row>
    <row r="232" spans="1:6" s="1515" customFormat="1" ht="14.25" customHeight="1" thickBot="1">
      <c r="A232" s="1527" t="s">
        <v>1542</v>
      </c>
      <c r="B232" s="1521" t="s">
        <v>1454</v>
      </c>
      <c r="C232" s="1521">
        <v>5670</v>
      </c>
      <c r="D232" s="1521">
        <v>5600</v>
      </c>
      <c r="E232" s="1521">
        <v>5890</v>
      </c>
      <c r="F232" s="1535">
        <v>1150</v>
      </c>
    </row>
    <row r="233" spans="1:6" s="1515" customFormat="1" ht="14.25" customHeight="1" thickBot="1">
      <c r="A233" s="1527" t="s">
        <v>1542</v>
      </c>
      <c r="B233" s="1521" t="s">
        <v>1461</v>
      </c>
      <c r="C233" s="1521">
        <v>4590</v>
      </c>
      <c r="D233" s="1521">
        <v>4500</v>
      </c>
      <c r="E233" s="1521">
        <v>4600</v>
      </c>
      <c r="F233" s="1539"/>
    </row>
    <row r="234" spans="1:6" s="1515" customFormat="1" ht="14.25" customHeight="1" thickBot="1">
      <c r="A234" s="1527" t="s">
        <v>1542</v>
      </c>
      <c r="B234" s="1521" t="s">
        <v>2495</v>
      </c>
      <c r="C234" s="1521">
        <v>3990</v>
      </c>
      <c r="D234" s="1521">
        <v>3950</v>
      </c>
      <c r="E234" s="1521">
        <v>4180</v>
      </c>
      <c r="F234" s="1539"/>
    </row>
    <row r="235" spans="1:6" s="1515" customFormat="1" ht="14.25" customHeight="1" thickBot="1">
      <c r="A235" s="1527" t="s">
        <v>1542</v>
      </c>
      <c r="B235" s="1521" t="s">
        <v>1470</v>
      </c>
      <c r="C235" s="1521">
        <v>5590</v>
      </c>
      <c r="D235" s="1521">
        <v>5540</v>
      </c>
      <c r="E235" s="1521">
        <v>5810</v>
      </c>
      <c r="F235" s="1535">
        <v>970</v>
      </c>
    </row>
    <row r="236" spans="1:6" s="1515" customFormat="1" ht="14.25" customHeight="1" thickBot="1">
      <c r="A236" s="1527" t="s">
        <v>1542</v>
      </c>
      <c r="B236" s="1521" t="s">
        <v>1475</v>
      </c>
      <c r="C236" s="1521"/>
      <c r="D236" s="1521"/>
      <c r="E236" s="1521"/>
      <c r="F236" s="1535">
        <v>1020</v>
      </c>
    </row>
    <row r="237" spans="1:6" s="1515" customFormat="1" ht="14.25" customHeight="1" thickBot="1">
      <c r="A237" s="1527" t="s">
        <v>1542</v>
      </c>
      <c r="B237" s="1521" t="s">
        <v>1480</v>
      </c>
      <c r="C237" s="1521"/>
      <c r="D237" s="1521"/>
      <c r="E237" s="1521"/>
      <c r="F237" s="1535">
        <v>960</v>
      </c>
    </row>
    <row r="238" spans="1:6" s="1515" customFormat="1" ht="14.25" customHeight="1" thickBot="1">
      <c r="A238" s="1527" t="s">
        <v>1542</v>
      </c>
      <c r="B238" s="1521" t="s">
        <v>1485</v>
      </c>
      <c r="C238" s="1521"/>
      <c r="D238" s="1521"/>
      <c r="E238" s="1521"/>
      <c r="F238" s="1535">
        <v>960</v>
      </c>
    </row>
    <row r="239" spans="1:6" s="1515" customFormat="1" ht="14.25" customHeight="1" thickBot="1">
      <c r="A239" s="1527" t="s">
        <v>1542</v>
      </c>
      <c r="B239" s="1521" t="s">
        <v>1490</v>
      </c>
      <c r="C239" s="1521"/>
      <c r="D239" s="1521"/>
      <c r="E239" s="1521"/>
      <c r="F239" s="1535">
        <v>960</v>
      </c>
    </row>
    <row r="240" spans="1:6" s="1515" customFormat="1" ht="14.25" customHeight="1" thickBot="1">
      <c r="A240" s="1527" t="s">
        <v>1542</v>
      </c>
      <c r="B240" s="1521" t="s">
        <v>1494</v>
      </c>
      <c r="C240" s="1521"/>
      <c r="D240" s="1521"/>
      <c r="E240" s="1521"/>
      <c r="F240" s="1535">
        <v>990</v>
      </c>
    </row>
    <row r="241" spans="1:6" s="1515" customFormat="1" ht="14.25" customHeight="1" thickBot="1">
      <c r="A241" s="1527" t="s">
        <v>1542</v>
      </c>
      <c r="B241" s="1521" t="s">
        <v>1498</v>
      </c>
      <c r="C241" s="1521"/>
      <c r="D241" s="1521"/>
      <c r="E241" s="1521"/>
      <c r="F241" s="1535">
        <v>1000</v>
      </c>
    </row>
    <row r="242" spans="1:6" s="1515" customFormat="1" ht="14.25" customHeight="1" thickBot="1">
      <c r="A242" s="1527" t="s">
        <v>1542</v>
      </c>
      <c r="B242" s="1521" t="s">
        <v>1502</v>
      </c>
      <c r="C242" s="1521"/>
      <c r="D242" s="1521"/>
      <c r="E242" s="1521"/>
      <c r="F242" s="1535">
        <v>980</v>
      </c>
    </row>
    <row r="243" spans="1:6" s="1515" customFormat="1" ht="14.25" customHeight="1" thickBot="1">
      <c r="A243" s="1527" t="s">
        <v>1542</v>
      </c>
      <c r="B243" s="1521" t="s">
        <v>1506</v>
      </c>
      <c r="C243" s="1521"/>
      <c r="D243" s="1521"/>
      <c r="E243" s="1521"/>
      <c r="F243" s="1535">
        <v>970</v>
      </c>
    </row>
    <row r="244" spans="1:6" s="1515" customFormat="1" ht="14.25" customHeight="1" thickBot="1">
      <c r="A244" s="1527" t="s">
        <v>1542</v>
      </c>
      <c r="B244" s="1533" t="s">
        <v>1510</v>
      </c>
      <c r="C244" s="1533"/>
      <c r="D244" s="1533"/>
      <c r="E244" s="1533"/>
      <c r="F244" s="1538">
        <v>970</v>
      </c>
    </row>
    <row r="245" spans="1:6" s="1515" customFormat="1" ht="14.25" customHeight="1" thickBot="1">
      <c r="A245" s="1527" t="s">
        <v>1544</v>
      </c>
      <c r="B245" s="1528" t="s">
        <v>1545</v>
      </c>
      <c r="C245" s="1528">
        <v>4050</v>
      </c>
      <c r="D245" s="1528">
        <v>4020</v>
      </c>
      <c r="E245" s="1528">
        <v>4160</v>
      </c>
      <c r="F245" s="1529">
        <v>840</v>
      </c>
    </row>
    <row r="246" spans="1:6" s="1515" customFormat="1" ht="14.25" customHeight="1" thickBot="1">
      <c r="A246" s="1527" t="s">
        <v>1544</v>
      </c>
      <c r="B246" s="1521" t="s">
        <v>1209</v>
      </c>
      <c r="C246" s="1521">
        <v>4010</v>
      </c>
      <c r="D246" s="1521">
        <v>3960</v>
      </c>
      <c r="E246" s="1521">
        <v>4130</v>
      </c>
      <c r="F246" s="1535">
        <v>840</v>
      </c>
    </row>
    <row r="247" spans="1:6" s="1515" customFormat="1" ht="14.25" customHeight="1" thickBot="1">
      <c r="A247" s="1527" t="s">
        <v>1544</v>
      </c>
      <c r="B247" s="1521" t="s">
        <v>1546</v>
      </c>
      <c r="C247" s="1521">
        <v>3170</v>
      </c>
      <c r="D247" s="1521">
        <v>3140</v>
      </c>
      <c r="E247" s="1521">
        <v>3270</v>
      </c>
      <c r="F247" s="1535">
        <v>640</v>
      </c>
    </row>
    <row r="248" spans="1:6" s="1515" customFormat="1" ht="14.25" customHeight="1" thickBot="1">
      <c r="A248" s="1527" t="s">
        <v>1544</v>
      </c>
      <c r="B248" s="1521" t="s">
        <v>1547</v>
      </c>
      <c r="C248" s="1521">
        <v>3140</v>
      </c>
      <c r="D248" s="1521">
        <v>3120</v>
      </c>
      <c r="E248" s="1521">
        <v>3240</v>
      </c>
      <c r="F248" s="1535">
        <v>620</v>
      </c>
    </row>
    <row r="249" spans="1:6" s="1515" customFormat="1" ht="14.25" customHeight="1" thickBot="1">
      <c r="A249" s="1527" t="s">
        <v>1544</v>
      </c>
      <c r="B249" s="1521" t="s">
        <v>1247</v>
      </c>
      <c r="C249" s="1521">
        <v>3200</v>
      </c>
      <c r="D249" s="1521">
        <v>3100</v>
      </c>
      <c r="E249" s="1521">
        <v>3230</v>
      </c>
      <c r="F249" s="1535">
        <v>750</v>
      </c>
    </row>
    <row r="250" spans="1:6" s="1515" customFormat="1" ht="14.25" customHeight="1" thickBot="1">
      <c r="A250" s="1527" t="s">
        <v>1544</v>
      </c>
      <c r="B250" s="1521" t="s">
        <v>1258</v>
      </c>
      <c r="C250" s="1521">
        <v>4060</v>
      </c>
      <c r="D250" s="1521">
        <v>4000</v>
      </c>
      <c r="E250" s="1521">
        <v>4140</v>
      </c>
      <c r="F250" s="1535">
        <v>790</v>
      </c>
    </row>
    <row r="251" spans="1:6" s="1515" customFormat="1" ht="14.25" customHeight="1" thickBot="1">
      <c r="A251" s="1527" t="s">
        <v>1544</v>
      </c>
      <c r="B251" s="1521" t="s">
        <v>1269</v>
      </c>
      <c r="C251" s="1521">
        <v>3990</v>
      </c>
      <c r="D251" s="1521">
        <v>3970</v>
      </c>
      <c r="E251" s="1521">
        <v>4110</v>
      </c>
      <c r="F251" s="1535">
        <v>730</v>
      </c>
    </row>
    <row r="252" spans="1:6" s="1515" customFormat="1" ht="14.25" customHeight="1" thickBot="1">
      <c r="A252" s="1527" t="s">
        <v>1544</v>
      </c>
      <c r="B252" s="1521" t="s">
        <v>1280</v>
      </c>
      <c r="C252" s="1521">
        <v>3560</v>
      </c>
      <c r="D252" s="1521">
        <v>3530</v>
      </c>
      <c r="E252" s="1521">
        <v>3650</v>
      </c>
      <c r="F252" s="1535">
        <v>750</v>
      </c>
    </row>
    <row r="253" spans="1:6" s="1515" customFormat="1" ht="14.25" customHeight="1" thickBot="1">
      <c r="A253" s="1527" t="s">
        <v>1544</v>
      </c>
      <c r="B253" s="1521" t="s">
        <v>1292</v>
      </c>
      <c r="C253" s="1521">
        <v>3780</v>
      </c>
      <c r="D253" s="1521">
        <v>3750</v>
      </c>
      <c r="E253" s="1521">
        <v>3870</v>
      </c>
      <c r="F253" s="1535">
        <v>770</v>
      </c>
    </row>
    <row r="254" spans="1:6" s="1515" customFormat="1" ht="14.25" customHeight="1" thickBot="1">
      <c r="A254" s="1527" t="s">
        <v>1544</v>
      </c>
      <c r="B254" s="1521" t="s">
        <v>1302</v>
      </c>
      <c r="C254" s="1540"/>
      <c r="D254" s="1540"/>
      <c r="E254" s="1540"/>
      <c r="F254" s="1535">
        <v>740</v>
      </c>
    </row>
    <row r="255" spans="1:6" s="1515" customFormat="1" ht="14.25" customHeight="1" thickBot="1">
      <c r="A255" s="1527" t="s">
        <v>1544</v>
      </c>
      <c r="B255" s="1521" t="s">
        <v>1312</v>
      </c>
      <c r="C255" s="1540"/>
      <c r="D255" s="1540"/>
      <c r="E255" s="1540"/>
      <c r="F255" s="1535">
        <v>760</v>
      </c>
    </row>
    <row r="256" spans="1:6" s="1515" customFormat="1" ht="14.25" customHeight="1" thickBot="1">
      <c r="A256" s="1527" t="s">
        <v>1544</v>
      </c>
      <c r="B256" s="1521" t="s">
        <v>1322</v>
      </c>
      <c r="C256" s="1521">
        <v>3760</v>
      </c>
      <c r="D256" s="1521">
        <v>3730</v>
      </c>
      <c r="E256" s="1521">
        <v>3870</v>
      </c>
      <c r="F256" s="1535">
        <v>830</v>
      </c>
    </row>
    <row r="257" spans="1:6" s="1515" customFormat="1" ht="14.25" customHeight="1" thickBot="1">
      <c r="A257" s="1527" t="s">
        <v>1544</v>
      </c>
      <c r="B257" s="1521" t="s">
        <v>1332</v>
      </c>
      <c r="C257" s="1521">
        <v>3570</v>
      </c>
      <c r="D257" s="1521">
        <v>3540</v>
      </c>
      <c r="E257" s="1521">
        <v>3650</v>
      </c>
      <c r="F257" s="1535">
        <v>790</v>
      </c>
    </row>
    <row r="258" spans="1:6" s="1515" customFormat="1" ht="14.25" customHeight="1" thickBot="1">
      <c r="A258" s="1527" t="s">
        <v>1544</v>
      </c>
      <c r="B258" s="1521" t="s">
        <v>1343</v>
      </c>
      <c r="C258" s="1521">
        <v>3410</v>
      </c>
      <c r="D258" s="1521">
        <v>3380</v>
      </c>
      <c r="E258" s="1521">
        <v>3500</v>
      </c>
      <c r="F258" s="1535">
        <v>830</v>
      </c>
    </row>
    <row r="259" spans="1:6" s="1515" customFormat="1" ht="14.25" customHeight="1" thickBot="1">
      <c r="A259" s="1527" t="s">
        <v>1544</v>
      </c>
      <c r="B259" s="1521" t="s">
        <v>1354</v>
      </c>
      <c r="C259" s="1521">
        <v>3870</v>
      </c>
      <c r="D259" s="1521">
        <v>3840</v>
      </c>
      <c r="E259" s="1521">
        <v>3970</v>
      </c>
      <c r="F259" s="1535">
        <v>830</v>
      </c>
    </row>
    <row r="260" spans="1:6" s="1515" customFormat="1" ht="14.25" customHeight="1" thickBot="1">
      <c r="A260" s="1527" t="s">
        <v>1544</v>
      </c>
      <c r="B260" s="1521" t="s">
        <v>1364</v>
      </c>
      <c r="C260" s="1521">
        <v>3700</v>
      </c>
      <c r="D260" s="1521">
        <v>3660</v>
      </c>
      <c r="E260" s="1521">
        <v>3810</v>
      </c>
      <c r="F260" s="1535">
        <v>790</v>
      </c>
    </row>
    <row r="261" spans="1:6" s="1515" customFormat="1" ht="14.25" customHeight="1" thickBot="1">
      <c r="A261" s="1527" t="s">
        <v>1544</v>
      </c>
      <c r="B261" s="1521" t="s">
        <v>1374</v>
      </c>
      <c r="C261" s="1521">
        <v>3470</v>
      </c>
      <c r="D261" s="1521">
        <v>3430</v>
      </c>
      <c r="E261" s="1521">
        <v>3640</v>
      </c>
      <c r="F261" s="1535">
        <v>760</v>
      </c>
    </row>
    <row r="262" spans="1:6" s="1515" customFormat="1" ht="14.25" customHeight="1" thickBot="1">
      <c r="A262" s="1527" t="s">
        <v>1544</v>
      </c>
      <c r="B262" s="1521" t="s">
        <v>1384</v>
      </c>
      <c r="C262" s="1521">
        <v>3510</v>
      </c>
      <c r="D262" s="1521">
        <v>3470</v>
      </c>
      <c r="E262" s="1521">
        <v>3680</v>
      </c>
      <c r="F262" s="1539"/>
    </row>
    <row r="263" spans="1:6" s="1515" customFormat="1" ht="14.25" customHeight="1" thickBot="1">
      <c r="A263" s="1527" t="s">
        <v>1544</v>
      </c>
      <c r="B263" s="1521" t="s">
        <v>1394</v>
      </c>
      <c r="C263" s="1521">
        <v>3960</v>
      </c>
      <c r="D263" s="1521">
        <v>3930</v>
      </c>
      <c r="E263" s="1521">
        <v>4070</v>
      </c>
      <c r="F263" s="1535">
        <v>830</v>
      </c>
    </row>
    <row r="264" spans="1:6" s="1515" customFormat="1" ht="14.25" customHeight="1" thickBot="1">
      <c r="A264" s="1527" t="s">
        <v>1544</v>
      </c>
      <c r="B264" s="1521" t="s">
        <v>1403</v>
      </c>
      <c r="C264" s="1521">
        <v>4010</v>
      </c>
      <c r="D264" s="1521">
        <v>3980</v>
      </c>
      <c r="E264" s="1521">
        <v>4150</v>
      </c>
      <c r="F264" s="1535">
        <v>760</v>
      </c>
    </row>
    <row r="265" spans="1:6" s="1515" customFormat="1" ht="14.25" customHeight="1" thickBot="1">
      <c r="A265" s="1527" t="s">
        <v>1544</v>
      </c>
      <c r="B265" s="1521" t="s">
        <v>1412</v>
      </c>
      <c r="C265" s="1521">
        <v>3910</v>
      </c>
      <c r="D265" s="1521">
        <v>3890</v>
      </c>
      <c r="E265" s="1521">
        <v>4040</v>
      </c>
      <c r="F265" s="1535">
        <v>780</v>
      </c>
    </row>
    <row r="266" spans="1:6" s="1515" customFormat="1" ht="14.25" customHeight="1" thickBot="1">
      <c r="A266" s="1527" t="s">
        <v>1544</v>
      </c>
      <c r="B266" s="1521" t="s">
        <v>1420</v>
      </c>
      <c r="C266" s="1521">
        <v>3930</v>
      </c>
      <c r="D266" s="1521">
        <v>3900</v>
      </c>
      <c r="E266" s="1521">
        <v>4080</v>
      </c>
      <c r="F266" s="1535">
        <v>770</v>
      </c>
    </row>
    <row r="267" spans="1:6" s="1515" customFormat="1" ht="14.25" customHeight="1" thickBot="1">
      <c r="A267" s="1527" t="s">
        <v>1544</v>
      </c>
      <c r="B267" s="1521" t="s">
        <v>1427</v>
      </c>
      <c r="C267" s="1521">
        <v>3800</v>
      </c>
      <c r="D267" s="1521">
        <v>3780</v>
      </c>
      <c r="E267" s="1521">
        <v>3930</v>
      </c>
      <c r="F267" s="1539"/>
    </row>
    <row r="268" spans="1:6" s="1515" customFormat="1" ht="14.25" customHeight="1" thickBot="1">
      <c r="A268" s="1527" t="s">
        <v>1544</v>
      </c>
      <c r="B268" s="1521" t="s">
        <v>1434</v>
      </c>
      <c r="C268" s="1521">
        <v>3460</v>
      </c>
      <c r="D268" s="1521">
        <v>3430</v>
      </c>
      <c r="E268" s="1521">
        <v>3560</v>
      </c>
      <c r="F268" s="1535">
        <v>840</v>
      </c>
    </row>
    <row r="269" spans="1:6" s="1515" customFormat="1" ht="14.25" customHeight="1" thickBot="1">
      <c r="A269" s="1527" t="s">
        <v>1544</v>
      </c>
      <c r="B269" s="1521" t="s">
        <v>1441</v>
      </c>
      <c r="C269" s="1521">
        <v>3210</v>
      </c>
      <c r="D269" s="1521">
        <v>3190</v>
      </c>
      <c r="E269" s="1521">
        <v>3310</v>
      </c>
      <c r="F269" s="1535">
        <v>730</v>
      </c>
    </row>
    <row r="270" spans="1:6" s="1515" customFormat="1" ht="14.25" customHeight="1" thickBot="1">
      <c r="A270" s="1527" t="s">
        <v>1544</v>
      </c>
      <c r="B270" s="1521" t="s">
        <v>1448</v>
      </c>
      <c r="C270" s="1521">
        <v>3240</v>
      </c>
      <c r="D270" s="1521">
        <v>3210</v>
      </c>
      <c r="E270" s="1521">
        <v>3390</v>
      </c>
      <c r="F270" s="1535">
        <v>820</v>
      </c>
    </row>
    <row r="271" spans="1:6" s="1515" customFormat="1" ht="14.25" customHeight="1" thickBot="1">
      <c r="A271" s="1527" t="s">
        <v>1544</v>
      </c>
      <c r="B271" s="1521" t="s">
        <v>1455</v>
      </c>
      <c r="C271" s="1521">
        <v>3300</v>
      </c>
      <c r="D271" s="1521">
        <v>3270</v>
      </c>
      <c r="E271" s="1521">
        <v>3380</v>
      </c>
      <c r="F271" s="1535">
        <v>750</v>
      </c>
    </row>
    <row r="272" spans="1:6" s="1515" customFormat="1" ht="14.25" customHeight="1" thickBot="1">
      <c r="A272" s="1527" t="s">
        <v>1544</v>
      </c>
      <c r="B272" s="1521" t="s">
        <v>1462</v>
      </c>
      <c r="C272" s="1540"/>
      <c r="D272" s="1540"/>
      <c r="E272" s="1540"/>
      <c r="F272" s="1535">
        <v>740</v>
      </c>
    </row>
    <row r="273" spans="1:6" s="1515" customFormat="1" ht="14.25" customHeight="1" thickBot="1">
      <c r="A273" s="1527" t="s">
        <v>1544</v>
      </c>
      <c r="B273" s="1521" t="s">
        <v>1466</v>
      </c>
      <c r="C273" s="1521">
        <v>3130</v>
      </c>
      <c r="D273" s="1521">
        <v>3100</v>
      </c>
      <c r="E273" s="1521">
        <v>3230</v>
      </c>
      <c r="F273" s="1535">
        <v>700</v>
      </c>
    </row>
    <row r="274" spans="1:6" s="1515" customFormat="1" ht="14.25" customHeight="1" thickBot="1">
      <c r="A274" s="1527" t="s">
        <v>1544</v>
      </c>
      <c r="B274" s="1521" t="s">
        <v>1471</v>
      </c>
      <c r="C274" s="1521">
        <v>3460</v>
      </c>
      <c r="D274" s="1521">
        <v>3430</v>
      </c>
      <c r="E274" s="1521">
        <v>3560</v>
      </c>
      <c r="F274" s="1535">
        <v>690</v>
      </c>
    </row>
    <row r="275" spans="1:6" s="1515" customFormat="1" ht="14.25" customHeight="1" thickBot="1">
      <c r="A275" s="1527" t="s">
        <v>1544</v>
      </c>
      <c r="B275" s="1521" t="s">
        <v>1476</v>
      </c>
      <c r="C275" s="1521">
        <v>4040</v>
      </c>
      <c r="D275" s="1521">
        <v>4020</v>
      </c>
      <c r="E275" s="1521">
        <v>4160</v>
      </c>
      <c r="F275" s="1535">
        <v>820</v>
      </c>
    </row>
    <row r="276" spans="1:6" s="1515" customFormat="1" ht="14.25" customHeight="1" thickBot="1">
      <c r="A276" s="1527" t="s">
        <v>1544</v>
      </c>
      <c r="B276" s="1521" t="s">
        <v>1481</v>
      </c>
      <c r="C276" s="1521">
        <v>3270</v>
      </c>
      <c r="D276" s="1521">
        <v>3240</v>
      </c>
      <c r="E276" s="1521">
        <v>3350</v>
      </c>
      <c r="F276" s="1535">
        <v>680</v>
      </c>
    </row>
    <row r="277" spans="1:6" s="1515" customFormat="1" ht="14.25" customHeight="1" thickBot="1">
      <c r="A277" s="1527" t="s">
        <v>1544</v>
      </c>
      <c r="B277" s="1521" t="s">
        <v>1486</v>
      </c>
      <c r="C277" s="1521">
        <v>2930</v>
      </c>
      <c r="D277" s="1521">
        <v>2900</v>
      </c>
      <c r="E277" s="1521">
        <v>3000</v>
      </c>
      <c r="F277" s="1535">
        <v>640</v>
      </c>
    </row>
    <row r="278" spans="1:6" s="1515" customFormat="1" ht="14.25" customHeight="1" thickBot="1">
      <c r="A278" s="1527" t="s">
        <v>1544</v>
      </c>
      <c r="B278" s="1521" t="s">
        <v>1491</v>
      </c>
      <c r="C278" s="1521">
        <v>4080</v>
      </c>
      <c r="D278" s="1521">
        <v>4030</v>
      </c>
      <c r="E278" s="1521">
        <v>4140</v>
      </c>
      <c r="F278" s="1535">
        <v>850</v>
      </c>
    </row>
    <row r="279" spans="1:6" s="1515" customFormat="1" ht="14.25" customHeight="1" thickBot="1">
      <c r="A279" s="1527" t="s">
        <v>1544</v>
      </c>
      <c r="B279" s="1521" t="s">
        <v>1495</v>
      </c>
      <c r="C279" s="1521"/>
      <c r="D279" s="1521"/>
      <c r="E279" s="1521"/>
      <c r="F279" s="1535">
        <v>760</v>
      </c>
    </row>
    <row r="280" spans="1:6" s="1515" customFormat="1" ht="14.25" customHeight="1" thickBot="1">
      <c r="A280" s="1527" t="s">
        <v>1544</v>
      </c>
      <c r="B280" s="1521" t="s">
        <v>1499</v>
      </c>
      <c r="C280" s="1521"/>
      <c r="D280" s="1521"/>
      <c r="E280" s="1521"/>
      <c r="F280" s="1535">
        <v>760</v>
      </c>
    </row>
    <row r="281" spans="1:6" s="1515" customFormat="1" ht="14.25" customHeight="1" thickBot="1">
      <c r="A281" s="1527" t="s">
        <v>1544</v>
      </c>
      <c r="B281" s="1521" t="s">
        <v>1503</v>
      </c>
      <c r="C281" s="1521"/>
      <c r="D281" s="1521"/>
      <c r="E281" s="1521"/>
      <c r="F281" s="1535">
        <v>780</v>
      </c>
    </row>
    <row r="282" spans="1:6" s="1515" customFormat="1" ht="14.25" customHeight="1" thickBot="1">
      <c r="A282" s="1527" t="s">
        <v>1544</v>
      </c>
      <c r="B282" s="1521" t="s">
        <v>1507</v>
      </c>
      <c r="C282" s="1521"/>
      <c r="D282" s="1521"/>
      <c r="E282" s="1521"/>
      <c r="F282" s="1535">
        <v>730</v>
      </c>
    </row>
    <row r="283" spans="1:6" s="1515" customFormat="1" ht="14.25" customHeight="1" thickBot="1">
      <c r="A283" s="1527" t="s">
        <v>1544</v>
      </c>
      <c r="B283" s="1521" t="s">
        <v>1511</v>
      </c>
      <c r="C283" s="1521"/>
      <c r="D283" s="1521"/>
      <c r="E283" s="1521"/>
      <c r="F283" s="1535">
        <v>770</v>
      </c>
    </row>
    <row r="284" spans="1:6" s="1515" customFormat="1" ht="14.25" customHeight="1" thickBot="1">
      <c r="A284" s="1527" t="s">
        <v>1544</v>
      </c>
      <c r="B284" s="1521" t="s">
        <v>1514</v>
      </c>
      <c r="C284" s="1521"/>
      <c r="D284" s="1521"/>
      <c r="E284" s="1521"/>
      <c r="F284" s="1535">
        <v>640</v>
      </c>
    </row>
    <row r="285" spans="1:6" s="1515" customFormat="1" ht="14.25" customHeight="1" thickBot="1">
      <c r="A285" s="1527" t="s">
        <v>1544</v>
      </c>
      <c r="B285" s="1521" t="s">
        <v>1517</v>
      </c>
      <c r="C285" s="1521"/>
      <c r="D285" s="1521"/>
      <c r="E285" s="1521"/>
      <c r="F285" s="1535">
        <v>640</v>
      </c>
    </row>
    <row r="286" spans="1:6" s="1515" customFormat="1" ht="14.25" customHeight="1" thickBot="1">
      <c r="A286" s="1527" t="s">
        <v>1544</v>
      </c>
      <c r="B286" s="1521" t="s">
        <v>1520</v>
      </c>
      <c r="C286" s="1521"/>
      <c r="D286" s="1521"/>
      <c r="E286" s="1521"/>
      <c r="F286" s="1535">
        <v>850</v>
      </c>
    </row>
    <row r="287" spans="1:6" s="1515" customFormat="1" ht="14.25" customHeight="1" thickBot="1">
      <c r="A287" s="1527" t="s">
        <v>1544</v>
      </c>
      <c r="B287" s="1521" t="s">
        <v>1523</v>
      </c>
      <c r="C287" s="1521"/>
      <c r="D287" s="1521"/>
      <c r="E287" s="1521"/>
      <c r="F287" s="1535">
        <v>760</v>
      </c>
    </row>
    <row r="288" spans="1:6" s="1515" customFormat="1" ht="14.25" customHeight="1" thickBot="1">
      <c r="A288" s="1527" t="s">
        <v>1544</v>
      </c>
      <c r="B288" s="1521" t="s">
        <v>1526</v>
      </c>
      <c r="C288" s="1521"/>
      <c r="D288" s="1521"/>
      <c r="E288" s="1521"/>
      <c r="F288" s="1535">
        <v>830</v>
      </c>
    </row>
    <row r="289" spans="1:6" s="1515" customFormat="1" ht="14.25" customHeight="1" thickBot="1">
      <c r="A289" s="1527" t="s">
        <v>1544</v>
      </c>
      <c r="B289" s="1533" t="s">
        <v>1529</v>
      </c>
      <c r="C289" s="1533"/>
      <c r="D289" s="1533"/>
      <c r="E289" s="1533"/>
      <c r="F289" s="1538">
        <v>680</v>
      </c>
    </row>
    <row r="290" spans="1:6" s="1515" customFormat="1" ht="14.25" customHeight="1" thickBot="1">
      <c r="A290" s="1527" t="s">
        <v>1548</v>
      </c>
      <c r="B290" s="1528" t="s">
        <v>1549</v>
      </c>
      <c r="C290" s="1528">
        <v>2770</v>
      </c>
      <c r="D290" s="1528">
        <v>2740</v>
      </c>
      <c r="E290" s="1528">
        <v>2720</v>
      </c>
      <c r="F290" s="1541"/>
    </row>
    <row r="291" spans="1:6" s="1515" customFormat="1" ht="14.25" customHeight="1" thickBot="1">
      <c r="A291" s="1527" t="s">
        <v>1548</v>
      </c>
      <c r="B291" s="1521" t="s">
        <v>1210</v>
      </c>
      <c r="C291" s="1521">
        <v>2670</v>
      </c>
      <c r="D291" s="1521">
        <v>2640</v>
      </c>
      <c r="E291" s="1521">
        <v>2620</v>
      </c>
      <c r="F291" s="1539"/>
    </row>
    <row r="292" spans="1:6" s="1515" customFormat="1" ht="14.25" customHeight="1" thickBot="1">
      <c r="A292" s="1527" t="s">
        <v>1548</v>
      </c>
      <c r="B292" s="1521" t="s">
        <v>1550</v>
      </c>
      <c r="C292" s="1521">
        <v>2180</v>
      </c>
      <c r="D292" s="1521">
        <v>2140</v>
      </c>
      <c r="E292" s="1521">
        <v>2120</v>
      </c>
      <c r="F292" s="1535">
        <v>490</v>
      </c>
    </row>
    <row r="293" spans="1:6" s="1515" customFormat="1" ht="14.25" customHeight="1" thickBot="1">
      <c r="A293" s="1527" t="s">
        <v>1548</v>
      </c>
      <c r="B293" s="1521" t="s">
        <v>1551</v>
      </c>
      <c r="C293" s="1521"/>
      <c r="D293" s="1521"/>
      <c r="E293" s="1521"/>
      <c r="F293" s="1535">
        <v>470</v>
      </c>
    </row>
    <row r="294" spans="1:6" s="1515" customFormat="1" ht="14.25" customHeight="1" thickBot="1">
      <c r="A294" s="1527" t="s">
        <v>1548</v>
      </c>
      <c r="B294" s="1521" t="s">
        <v>1552</v>
      </c>
      <c r="C294" s="1521">
        <v>2730</v>
      </c>
      <c r="D294" s="1521">
        <v>2700</v>
      </c>
      <c r="E294" s="1521">
        <v>2680</v>
      </c>
      <c r="F294" s="1535">
        <v>490</v>
      </c>
    </row>
    <row r="295" spans="1:6" s="1515" customFormat="1" ht="14.25" customHeight="1" thickBot="1">
      <c r="A295" s="1527" t="s">
        <v>1548</v>
      </c>
      <c r="B295" s="1521" t="s">
        <v>1248</v>
      </c>
      <c r="C295" s="1521">
        <v>2380</v>
      </c>
      <c r="D295" s="1521">
        <v>2350</v>
      </c>
      <c r="E295" s="1521">
        <v>2330</v>
      </c>
      <c r="F295" s="1535">
        <v>530</v>
      </c>
    </row>
    <row r="296" spans="1:6" s="1515" customFormat="1" ht="14.25" customHeight="1" thickBot="1">
      <c r="A296" s="1527" t="s">
        <v>1548</v>
      </c>
      <c r="B296" s="1521" t="s">
        <v>1259</v>
      </c>
      <c r="C296" s="1521">
        <v>2650</v>
      </c>
      <c r="D296" s="1521">
        <v>2620</v>
      </c>
      <c r="E296" s="1521">
        <v>2590</v>
      </c>
      <c r="F296" s="1535">
        <v>590</v>
      </c>
    </row>
    <row r="297" spans="1:6" s="1515" customFormat="1" ht="14.25" customHeight="1" thickBot="1">
      <c r="A297" s="1527" t="s">
        <v>1548</v>
      </c>
      <c r="B297" s="1521" t="s">
        <v>1270</v>
      </c>
      <c r="C297" s="1521">
        <v>2700</v>
      </c>
      <c r="D297" s="1521">
        <v>2670</v>
      </c>
      <c r="E297" s="1521">
        <v>2650</v>
      </c>
      <c r="F297" s="1535">
        <v>630</v>
      </c>
    </row>
    <row r="298" spans="1:6" s="1515" customFormat="1" ht="14.25" customHeight="1" thickBot="1">
      <c r="A298" s="1527" t="s">
        <v>1548</v>
      </c>
      <c r="B298" s="1521" t="s">
        <v>1281</v>
      </c>
      <c r="C298" s="1521">
        <v>2650</v>
      </c>
      <c r="D298" s="1521">
        <v>2620</v>
      </c>
      <c r="E298" s="1521">
        <v>2590</v>
      </c>
      <c r="F298" s="1535">
        <v>640</v>
      </c>
    </row>
    <row r="299" spans="1:6" s="1515" customFormat="1" ht="14.25" customHeight="1" thickBot="1">
      <c r="A299" s="1527" t="s">
        <v>1548</v>
      </c>
      <c r="B299" s="1521" t="s">
        <v>1293</v>
      </c>
      <c r="C299" s="1521">
        <v>2500</v>
      </c>
      <c r="D299" s="1521">
        <v>2480</v>
      </c>
      <c r="E299" s="1521">
        <v>2460</v>
      </c>
      <c r="F299" s="1539"/>
    </row>
    <row r="300" spans="1:6" s="1515" customFormat="1" ht="14.25" customHeight="1" thickBot="1">
      <c r="A300" s="1527" t="s">
        <v>1548</v>
      </c>
      <c r="B300" s="1521" t="s">
        <v>1303</v>
      </c>
      <c r="C300" s="1521">
        <v>2760</v>
      </c>
      <c r="D300" s="1521">
        <v>2730</v>
      </c>
      <c r="E300" s="1521">
        <v>2700</v>
      </c>
      <c r="F300" s="1535">
        <v>630</v>
      </c>
    </row>
    <row r="301" spans="1:6" s="1515" customFormat="1" ht="14.25" customHeight="1" thickBot="1">
      <c r="A301" s="1527" t="s">
        <v>1548</v>
      </c>
      <c r="B301" s="1521" t="s">
        <v>1313</v>
      </c>
      <c r="C301" s="1521">
        <v>2510</v>
      </c>
      <c r="D301" s="1521">
        <v>2480</v>
      </c>
      <c r="E301" s="1521">
        <v>2460</v>
      </c>
      <c r="F301" s="1539"/>
    </row>
    <row r="302" spans="1:6" s="1515" customFormat="1" ht="14.25" customHeight="1" thickBot="1">
      <c r="A302" s="1527" t="s">
        <v>1548</v>
      </c>
      <c r="B302" s="1521" t="s">
        <v>1323</v>
      </c>
      <c r="C302" s="1521">
        <v>2480</v>
      </c>
      <c r="D302" s="1521">
        <v>2450</v>
      </c>
      <c r="E302" s="1521">
        <v>2420</v>
      </c>
      <c r="F302" s="1535">
        <v>600</v>
      </c>
    </row>
    <row r="303" spans="1:6" s="1515" customFormat="1" ht="14.25" customHeight="1" thickBot="1">
      <c r="A303" s="1527" t="s">
        <v>1548</v>
      </c>
      <c r="B303" s="1521" t="s">
        <v>1333</v>
      </c>
      <c r="C303" s="1521">
        <v>2270</v>
      </c>
      <c r="D303" s="1521">
        <v>2240</v>
      </c>
      <c r="E303" s="1521">
        <v>2210</v>
      </c>
      <c r="F303" s="1535">
        <v>540</v>
      </c>
    </row>
    <row r="304" spans="1:6" s="1515" customFormat="1" ht="14.25" customHeight="1" thickBot="1">
      <c r="A304" s="1527" t="s">
        <v>1548</v>
      </c>
      <c r="B304" s="1521" t="s">
        <v>1344</v>
      </c>
      <c r="C304" s="1521">
        <v>2310</v>
      </c>
      <c r="D304" s="1521">
        <v>2290</v>
      </c>
      <c r="E304" s="1521">
        <v>2270</v>
      </c>
      <c r="F304" s="1539"/>
    </row>
    <row r="305" spans="1:6" s="1515" customFormat="1" ht="14.25" customHeight="1" thickBot="1">
      <c r="A305" s="1527" t="s">
        <v>1548</v>
      </c>
      <c r="B305" s="1521" t="s">
        <v>1355</v>
      </c>
      <c r="C305" s="1521">
        <v>2490</v>
      </c>
      <c r="D305" s="1521">
        <v>2470</v>
      </c>
      <c r="E305" s="1521">
        <v>2440</v>
      </c>
      <c r="F305" s="1535">
        <v>560</v>
      </c>
    </row>
    <row r="306" spans="1:6" s="1515" customFormat="1" ht="14.25" customHeight="1" thickBot="1">
      <c r="A306" s="1527" t="s">
        <v>1548</v>
      </c>
      <c r="B306" s="1521" t="s">
        <v>1365</v>
      </c>
      <c r="C306" s="1521">
        <v>2420</v>
      </c>
      <c r="D306" s="1521">
        <v>2400</v>
      </c>
      <c r="E306" s="1521">
        <v>2380</v>
      </c>
      <c r="F306" s="1539"/>
    </row>
    <row r="307" spans="1:6" s="1515" customFormat="1" ht="14.25" customHeight="1" thickBot="1">
      <c r="A307" s="1527" t="s">
        <v>1548</v>
      </c>
      <c r="B307" s="1521" t="s">
        <v>1375</v>
      </c>
      <c r="C307" s="1521">
        <v>2770</v>
      </c>
      <c r="D307" s="1521">
        <v>2740</v>
      </c>
      <c r="E307" s="1521">
        <v>2710</v>
      </c>
      <c r="F307" s="1535">
        <v>650</v>
      </c>
    </row>
    <row r="308" spans="1:6" s="1515" customFormat="1" ht="14.25" customHeight="1" thickBot="1">
      <c r="A308" s="1527" t="s">
        <v>1548</v>
      </c>
      <c r="B308" s="1521" t="s">
        <v>1385</v>
      </c>
      <c r="C308" s="1521">
        <v>2610</v>
      </c>
      <c r="D308" s="1521">
        <v>2580</v>
      </c>
      <c r="E308" s="1521">
        <v>2550</v>
      </c>
      <c r="F308" s="1535">
        <v>580</v>
      </c>
    </row>
    <row r="309" spans="1:6" s="1515" customFormat="1" ht="14.25" customHeight="1" thickBot="1">
      <c r="A309" s="1527" t="s">
        <v>1548</v>
      </c>
      <c r="B309" s="1521" t="s">
        <v>1395</v>
      </c>
      <c r="C309" s="1521">
        <v>2690</v>
      </c>
      <c r="D309" s="1521">
        <v>2670</v>
      </c>
      <c r="E309" s="1521">
        <v>2650</v>
      </c>
      <c r="F309" s="1539"/>
    </row>
    <row r="310" spans="1:6" s="1515" customFormat="1" ht="14.25" customHeight="1" thickBot="1">
      <c r="A310" s="1527" t="s">
        <v>1548</v>
      </c>
      <c r="B310" s="1521" t="s">
        <v>1404</v>
      </c>
      <c r="C310" s="1521">
        <v>2360</v>
      </c>
      <c r="D310" s="1521">
        <v>2330</v>
      </c>
      <c r="E310" s="1521">
        <v>2310</v>
      </c>
      <c r="F310" s="1535">
        <v>560</v>
      </c>
    </row>
    <row r="311" spans="1:6" s="1515" customFormat="1" ht="14.25" customHeight="1" thickBot="1">
      <c r="A311" s="1527" t="s">
        <v>1548</v>
      </c>
      <c r="B311" s="1521" t="s">
        <v>1413</v>
      </c>
      <c r="C311" s="1521">
        <v>1970</v>
      </c>
      <c r="D311" s="1521">
        <v>1950</v>
      </c>
      <c r="E311" s="1521">
        <v>1920</v>
      </c>
      <c r="F311" s="1535">
        <v>470</v>
      </c>
    </row>
    <row r="312" spans="1:6" s="1515" customFormat="1" ht="14.25" customHeight="1" thickBot="1">
      <c r="A312" s="1527" t="s">
        <v>1548</v>
      </c>
      <c r="B312" s="1521" t="s">
        <v>1421</v>
      </c>
      <c r="C312" s="1521">
        <v>2230</v>
      </c>
      <c r="D312" s="1521">
        <v>2200</v>
      </c>
      <c r="E312" s="1521">
        <v>2170</v>
      </c>
      <c r="F312" s="1535">
        <v>460</v>
      </c>
    </row>
    <row r="313" spans="1:6" s="1515" customFormat="1" ht="14.25" customHeight="1" thickBot="1">
      <c r="A313" s="1527" t="s">
        <v>1548</v>
      </c>
      <c r="B313" s="1521" t="s">
        <v>1428</v>
      </c>
      <c r="C313" s="1521">
        <v>2770</v>
      </c>
      <c r="D313" s="1521">
        <v>2740</v>
      </c>
      <c r="E313" s="1521">
        <v>2710</v>
      </c>
      <c r="F313" s="1535">
        <v>610</v>
      </c>
    </row>
    <row r="314" spans="1:6" s="1515" customFormat="1" ht="14.25" customHeight="1" thickBot="1">
      <c r="A314" s="1527" t="s">
        <v>1548</v>
      </c>
      <c r="B314" s="1521" t="s">
        <v>1435</v>
      </c>
      <c r="C314" s="1521"/>
      <c r="D314" s="1521"/>
      <c r="E314" s="1521"/>
      <c r="F314" s="1535">
        <v>490</v>
      </c>
    </row>
    <row r="315" spans="1:6" s="1515" customFormat="1" ht="14.25" customHeight="1" thickBot="1">
      <c r="A315" s="1527" t="s">
        <v>1548</v>
      </c>
      <c r="B315" s="1521" t="s">
        <v>1442</v>
      </c>
      <c r="C315" s="1521"/>
      <c r="D315" s="1521"/>
      <c r="E315" s="1521"/>
      <c r="F315" s="1535">
        <v>520</v>
      </c>
    </row>
    <row r="316" spans="1:6" s="1515" customFormat="1" ht="14.25" customHeight="1" thickBot="1">
      <c r="A316" s="1527" t="s">
        <v>1548</v>
      </c>
      <c r="B316" s="1533" t="s">
        <v>1449</v>
      </c>
      <c r="C316" s="1533"/>
      <c r="D316" s="1533"/>
      <c r="E316" s="1533"/>
      <c r="F316" s="1538">
        <v>460</v>
      </c>
    </row>
    <row r="317" spans="1:6" s="1515" customFormat="1" ht="14.25" customHeight="1" thickBot="1">
      <c r="A317" s="1527" t="s">
        <v>1335</v>
      </c>
      <c r="B317" s="1528" t="s">
        <v>1553</v>
      </c>
      <c r="C317" s="1528">
        <v>1200</v>
      </c>
      <c r="D317" s="1528">
        <v>1180</v>
      </c>
      <c r="E317" s="1528">
        <v>1160</v>
      </c>
      <c r="F317" s="1529">
        <v>370</v>
      </c>
    </row>
    <row r="318" spans="1:6" s="1515" customFormat="1" ht="14.25" customHeight="1" thickBot="1">
      <c r="A318" s="1527" t="s">
        <v>1335</v>
      </c>
      <c r="B318" s="1521" t="s">
        <v>1554</v>
      </c>
      <c r="C318" s="1521">
        <v>1090</v>
      </c>
      <c r="D318" s="1521">
        <v>1060</v>
      </c>
      <c r="E318" s="1521">
        <v>1040</v>
      </c>
      <c r="F318" s="1539"/>
    </row>
    <row r="319" spans="1:6" s="1515" customFormat="1" ht="14.25" customHeight="1" thickBot="1">
      <c r="A319" s="1527" t="s">
        <v>1335</v>
      </c>
      <c r="B319" s="1521" t="s">
        <v>1555</v>
      </c>
      <c r="C319" s="1521">
        <v>1520</v>
      </c>
      <c r="D319" s="1521">
        <v>1470</v>
      </c>
      <c r="E319" s="1521">
        <v>1440</v>
      </c>
      <c r="F319" s="1535">
        <v>370</v>
      </c>
    </row>
    <row r="320" spans="1:6" s="1515" customFormat="1" ht="14.25" customHeight="1" thickBot="1">
      <c r="A320" s="1527" t="s">
        <v>1335</v>
      </c>
      <c r="B320" s="1521" t="s">
        <v>1237</v>
      </c>
      <c r="C320" s="1521">
        <v>1360</v>
      </c>
      <c r="D320" s="1521">
        <v>1300</v>
      </c>
      <c r="E320" s="1521">
        <v>1270</v>
      </c>
      <c r="F320" s="1539"/>
    </row>
    <row r="321" spans="1:6" s="1515" customFormat="1" ht="14.25" customHeight="1" thickBot="1">
      <c r="A321" s="1527" t="s">
        <v>1335</v>
      </c>
      <c r="B321" s="1521" t="s">
        <v>1249</v>
      </c>
      <c r="C321" s="1521">
        <v>1750</v>
      </c>
      <c r="D321" s="1521">
        <v>1690</v>
      </c>
      <c r="E321" s="1521">
        <v>1660</v>
      </c>
      <c r="F321" s="1539"/>
    </row>
    <row r="322" spans="1:6" s="1515" customFormat="1" ht="14.25" customHeight="1" thickBot="1">
      <c r="A322" s="1527" t="s">
        <v>1335</v>
      </c>
      <c r="B322" s="1521" t="s">
        <v>1260</v>
      </c>
      <c r="C322" s="1521">
        <v>1650</v>
      </c>
      <c r="D322" s="1521">
        <v>1610</v>
      </c>
      <c r="E322" s="1521">
        <v>1580</v>
      </c>
      <c r="F322" s="1535">
        <v>500</v>
      </c>
    </row>
    <row r="323" spans="1:6" s="1515" customFormat="1" ht="14.25" customHeight="1" thickBot="1">
      <c r="A323" s="1527" t="s">
        <v>1335</v>
      </c>
      <c r="B323" s="1521" t="s">
        <v>1271</v>
      </c>
      <c r="C323" s="1521">
        <v>1780</v>
      </c>
      <c r="D323" s="1521">
        <v>1740</v>
      </c>
      <c r="E323" s="1521">
        <v>1720</v>
      </c>
      <c r="F323" s="1539"/>
    </row>
    <row r="324" spans="1:6" s="1515" customFormat="1" ht="14.25" customHeight="1" thickBot="1">
      <c r="A324" s="1527" t="s">
        <v>1335</v>
      </c>
      <c r="B324" s="1521" t="s">
        <v>1282</v>
      </c>
      <c r="C324" s="1521">
        <v>1650</v>
      </c>
      <c r="D324" s="1521">
        <v>1610</v>
      </c>
      <c r="E324" s="1521">
        <v>1580</v>
      </c>
      <c r="F324" s="1539"/>
    </row>
    <row r="325" spans="1:6" s="1515" customFormat="1" ht="14.25" customHeight="1" thickBot="1">
      <c r="A325" s="1527" t="s">
        <v>1335</v>
      </c>
      <c r="B325" s="1521" t="s">
        <v>1294</v>
      </c>
      <c r="C325" s="1521">
        <v>1330</v>
      </c>
      <c r="D325" s="1521">
        <v>1270</v>
      </c>
      <c r="E325" s="1521">
        <v>1240</v>
      </c>
      <c r="F325" s="1535">
        <v>430</v>
      </c>
    </row>
    <row r="326" spans="1:6" s="1515" customFormat="1" ht="14.25" customHeight="1" thickBot="1">
      <c r="A326" s="1527" t="s">
        <v>1335</v>
      </c>
      <c r="B326" s="1521" t="s">
        <v>1304</v>
      </c>
      <c r="C326" s="1521">
        <v>1470</v>
      </c>
      <c r="D326" s="1521">
        <v>1430</v>
      </c>
      <c r="E326" s="1521">
        <v>1400</v>
      </c>
      <c r="F326" s="1539"/>
    </row>
    <row r="327" spans="1:6" s="1515" customFormat="1" ht="14.25" customHeight="1" thickBot="1">
      <c r="A327" s="1527" t="s">
        <v>1335</v>
      </c>
      <c r="B327" s="1521" t="s">
        <v>1314</v>
      </c>
      <c r="C327" s="1521">
        <v>1420</v>
      </c>
      <c r="D327" s="1521">
        <v>1380</v>
      </c>
      <c r="E327" s="1521">
        <v>1360</v>
      </c>
      <c r="F327" s="1535">
        <v>420</v>
      </c>
    </row>
    <row r="328" spans="1:6" s="1515" customFormat="1" ht="14.25" customHeight="1" thickBot="1">
      <c r="A328" s="1527" t="s">
        <v>1335</v>
      </c>
      <c r="B328" s="1521" t="s">
        <v>1324</v>
      </c>
      <c r="C328" s="1521">
        <v>1400</v>
      </c>
      <c r="D328" s="1521">
        <v>1360</v>
      </c>
      <c r="E328" s="1521">
        <v>1330</v>
      </c>
      <c r="F328" s="1535">
        <v>460</v>
      </c>
    </row>
    <row r="329" spans="1:6" s="1515" customFormat="1" ht="14.25" customHeight="1" thickBot="1">
      <c r="A329" s="1527" t="s">
        <v>1335</v>
      </c>
      <c r="B329" s="1521" t="s">
        <v>1334</v>
      </c>
      <c r="C329" s="1521">
        <v>1640</v>
      </c>
      <c r="D329" s="1521">
        <v>1610</v>
      </c>
      <c r="E329" s="1521">
        <v>1580</v>
      </c>
      <c r="F329" s="1535">
        <v>410</v>
      </c>
    </row>
    <row r="330" spans="1:6" s="1515" customFormat="1" ht="14.25" customHeight="1" thickBot="1">
      <c r="A330" s="1527" t="s">
        <v>1335</v>
      </c>
      <c r="B330" s="1521" t="s">
        <v>1345</v>
      </c>
      <c r="C330" s="1521">
        <v>1260</v>
      </c>
      <c r="D330" s="1521">
        <v>1220</v>
      </c>
      <c r="E330" s="1521">
        <v>1200</v>
      </c>
      <c r="F330" s="1539"/>
    </row>
    <row r="331" spans="1:6" s="1515" customFormat="1" ht="14.25" customHeight="1" thickBot="1">
      <c r="A331" s="1527" t="s">
        <v>1335</v>
      </c>
      <c r="B331" s="1521" t="s">
        <v>1356</v>
      </c>
      <c r="C331" s="1521">
        <v>1620</v>
      </c>
      <c r="D331" s="1521">
        <v>1560</v>
      </c>
      <c r="E331" s="1521">
        <v>1530</v>
      </c>
      <c r="F331" s="1535">
        <v>490</v>
      </c>
    </row>
    <row r="332" spans="1:6" s="1515" customFormat="1" ht="14.25" customHeight="1" thickBot="1">
      <c r="A332" s="1527" t="s">
        <v>1335</v>
      </c>
      <c r="B332" s="1521" t="s">
        <v>1366</v>
      </c>
      <c r="C332" s="1521">
        <v>1520</v>
      </c>
      <c r="D332" s="1521">
        <v>1470</v>
      </c>
      <c r="E332" s="1521">
        <v>1440</v>
      </c>
      <c r="F332" s="1535">
        <v>440</v>
      </c>
    </row>
    <row r="333" spans="1:6" s="1515" customFormat="1" ht="14.25" customHeight="1" thickBot="1">
      <c r="A333" s="1527" t="s">
        <v>1335</v>
      </c>
      <c r="B333" s="1521" t="s">
        <v>1376</v>
      </c>
      <c r="C333" s="1521">
        <v>1370</v>
      </c>
      <c r="D333" s="1521">
        <v>1320</v>
      </c>
      <c r="E333" s="1521">
        <v>1300</v>
      </c>
      <c r="F333" s="1535">
        <v>460</v>
      </c>
    </row>
    <row r="334" spans="1:6" s="1515" customFormat="1" ht="14.25" customHeight="1" thickBot="1">
      <c r="A334" s="1527" t="s">
        <v>1335</v>
      </c>
      <c r="B334" s="1521" t="s">
        <v>1386</v>
      </c>
      <c r="C334" s="1521">
        <v>1410</v>
      </c>
      <c r="D334" s="1521">
        <v>1340</v>
      </c>
      <c r="E334" s="1521">
        <v>1310</v>
      </c>
      <c r="F334" s="1535">
        <v>410</v>
      </c>
    </row>
    <row r="335" spans="1:6" s="1515" customFormat="1" ht="14.25" customHeight="1" thickBot="1">
      <c r="A335" s="1527" t="s">
        <v>1335</v>
      </c>
      <c r="B335" s="1521" t="s">
        <v>1396</v>
      </c>
      <c r="C335" s="1521">
        <v>1260</v>
      </c>
      <c r="D335" s="1521">
        <v>1220</v>
      </c>
      <c r="E335" s="1521">
        <v>1200</v>
      </c>
      <c r="F335" s="1539"/>
    </row>
    <row r="336" spans="1:6" s="1515" customFormat="1" ht="14.25" customHeight="1" thickBot="1">
      <c r="A336" s="1527" t="s">
        <v>1335</v>
      </c>
      <c r="B336" s="1521" t="s">
        <v>1405</v>
      </c>
      <c r="C336" s="1521">
        <v>1160</v>
      </c>
      <c r="D336" s="1521">
        <v>1140</v>
      </c>
      <c r="E336" s="1521">
        <v>1120</v>
      </c>
      <c r="F336" s="1535">
        <v>430</v>
      </c>
    </row>
    <row r="337" spans="1:6" s="1515" customFormat="1" ht="14.25" customHeight="1" thickBot="1">
      <c r="A337" s="1527" t="s">
        <v>1335</v>
      </c>
      <c r="B337" s="1533" t="s">
        <v>1414</v>
      </c>
      <c r="C337" s="1533"/>
      <c r="D337" s="1533"/>
      <c r="E337" s="1533"/>
      <c r="F337" s="1538">
        <v>380</v>
      </c>
    </row>
    <row r="338" spans="1:6" s="1515" customFormat="1" ht="14.25" customHeight="1" thickBot="1">
      <c r="A338" s="1527" t="s">
        <v>1346</v>
      </c>
      <c r="B338" s="1528" t="s">
        <v>1556</v>
      </c>
      <c r="C338" s="1528">
        <v>880</v>
      </c>
      <c r="D338" s="1528">
        <v>850</v>
      </c>
      <c r="E338" s="1528">
        <v>830</v>
      </c>
      <c r="F338" s="1541"/>
    </row>
    <row r="339" spans="1:6" s="1515" customFormat="1" ht="14.25" customHeight="1" thickBot="1">
      <c r="A339" s="1527" t="s">
        <v>1346</v>
      </c>
      <c r="B339" s="1521" t="s">
        <v>1557</v>
      </c>
      <c r="C339" s="1521">
        <v>830</v>
      </c>
      <c r="D339" s="1521">
        <v>800</v>
      </c>
      <c r="E339" s="1521">
        <v>780</v>
      </c>
      <c r="F339" s="1539"/>
    </row>
    <row r="340" spans="1:6" s="1515" customFormat="1" ht="14.25" customHeight="1" thickBot="1">
      <c r="A340" s="1527" t="s">
        <v>1346</v>
      </c>
      <c r="B340" s="1521" t="s">
        <v>1558</v>
      </c>
      <c r="C340" s="1521">
        <v>980</v>
      </c>
      <c r="D340" s="1521">
        <v>950</v>
      </c>
      <c r="E340" s="1521">
        <v>920</v>
      </c>
      <c r="F340" s="1539"/>
    </row>
    <row r="341" spans="1:6" s="1515" customFormat="1" ht="14.25" customHeight="1" thickBot="1">
      <c r="A341" s="1527" t="s">
        <v>1346</v>
      </c>
      <c r="B341" s="1521" t="s">
        <v>1559</v>
      </c>
      <c r="C341" s="1521">
        <v>760</v>
      </c>
      <c r="D341" s="1521">
        <v>720</v>
      </c>
      <c r="E341" s="1521">
        <v>690</v>
      </c>
      <c r="F341" s="1535">
        <v>350</v>
      </c>
    </row>
    <row r="342" spans="1:6" s="1515" customFormat="1" ht="14.25" customHeight="1" thickBot="1">
      <c r="A342" s="1527" t="s">
        <v>1346</v>
      </c>
      <c r="B342" s="1521" t="s">
        <v>1250</v>
      </c>
      <c r="C342" s="1521">
        <v>910</v>
      </c>
      <c r="D342" s="1521">
        <v>870</v>
      </c>
      <c r="E342" s="1521">
        <v>850</v>
      </c>
      <c r="F342" s="1535">
        <v>370</v>
      </c>
    </row>
    <row r="343" spans="1:6" s="1515" customFormat="1" ht="14.25" customHeight="1" thickBot="1">
      <c r="A343" s="1527" t="s">
        <v>1346</v>
      </c>
      <c r="B343" s="1521" t="s">
        <v>1261</v>
      </c>
      <c r="C343" s="1521">
        <v>800</v>
      </c>
      <c r="D343" s="1521">
        <v>760</v>
      </c>
      <c r="E343" s="1521">
        <v>730</v>
      </c>
      <c r="F343" s="1535">
        <v>340</v>
      </c>
    </row>
    <row r="344" spans="1:6" s="1515" customFormat="1" ht="14.25" customHeight="1" thickBot="1">
      <c r="A344" s="1527" t="s">
        <v>1346</v>
      </c>
      <c r="B344" s="1533" t="s">
        <v>1272</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931" t="s">
        <v>2131</v>
      </c>
      <c r="B1" s="3931"/>
    </row>
    <row r="2" spans="1:6" ht="14.25" thickBot="1">
      <c r="A2" s="2108"/>
      <c r="B2" s="2108"/>
    </row>
    <row r="3" spans="1:6" ht="14.25" thickBot="1">
      <c r="A3" s="2108"/>
      <c r="B3" s="2108"/>
      <c r="C3" s="2112" t="s">
        <v>2134</v>
      </c>
      <c r="D3" s="2112" t="s">
        <v>2135</v>
      </c>
      <c r="E3" s="2112" t="s">
        <v>2136</v>
      </c>
      <c r="F3" s="2112" t="s">
        <v>2137</v>
      </c>
    </row>
    <row r="4" spans="1:6" ht="14.25" thickBot="1">
      <c r="A4" s="2110" t="s">
        <v>2132</v>
      </c>
      <c r="B4" s="2111" t="s">
        <v>2133</v>
      </c>
      <c r="C4" s="2112"/>
      <c r="D4" s="2112"/>
      <c r="E4" s="2112"/>
      <c r="F4" s="2112"/>
    </row>
    <row r="5" spans="1:6" ht="14.25" thickBot="1">
      <c r="A5" s="1527" t="s">
        <v>2138</v>
      </c>
      <c r="B5" s="1528" t="s">
        <v>2139</v>
      </c>
      <c r="C5" s="2113">
        <v>8.8999999999999996E-2</v>
      </c>
      <c r="D5" s="2113">
        <v>7.3999999999999996E-2</v>
      </c>
      <c r="E5" s="2113">
        <v>7.4999999999999997E-2</v>
      </c>
      <c r="F5" s="2114">
        <v>0.1</v>
      </c>
    </row>
    <row r="6" spans="1:6" ht="14.25" thickBot="1">
      <c r="A6" s="1527" t="s">
        <v>1226</v>
      </c>
      <c r="B6" s="1521" t="s">
        <v>2140</v>
      </c>
      <c r="C6" s="2115">
        <v>0.1</v>
      </c>
      <c r="D6" s="2115">
        <v>9.0999999999999998E-2</v>
      </c>
      <c r="E6" s="2115">
        <v>9.0999999999999998E-2</v>
      </c>
      <c r="F6" s="2116">
        <v>0.1</v>
      </c>
    </row>
    <row r="7" spans="1:6" ht="14.25" thickBot="1">
      <c r="A7" s="1527" t="s">
        <v>1226</v>
      </c>
      <c r="B7" s="1531" t="s">
        <v>1215</v>
      </c>
      <c r="C7" s="2115">
        <v>8.5999999999999993E-2</v>
      </c>
      <c r="D7" s="2115">
        <v>9.6000000000000002E-2</v>
      </c>
      <c r="E7" s="2115">
        <v>7.5999999999999998E-2</v>
      </c>
      <c r="F7" s="2116">
        <v>0.1</v>
      </c>
    </row>
    <row r="8" spans="1:6" ht="14.25" thickBot="1">
      <c r="A8" s="1527" t="s">
        <v>1226</v>
      </c>
      <c r="B8" s="1521" t="s">
        <v>1227</v>
      </c>
      <c r="C8" s="2115">
        <v>9.9000000000000005E-2</v>
      </c>
      <c r="D8" s="2115">
        <v>9.8000000000000004E-2</v>
      </c>
      <c r="E8" s="2115">
        <v>9.8000000000000004E-2</v>
      </c>
      <c r="F8" s="2116">
        <v>0.1</v>
      </c>
    </row>
    <row r="9" spans="1:6" ht="14.25" thickBot="1">
      <c r="A9" s="1537" t="s">
        <v>1226</v>
      </c>
      <c r="B9" s="1532" t="s">
        <v>1239</v>
      </c>
      <c r="C9" s="2117">
        <v>0.05</v>
      </c>
      <c r="D9" s="2125"/>
      <c r="E9" s="2125"/>
      <c r="F9" s="2126"/>
    </row>
    <row r="10" spans="1:6" ht="14.25" thickBot="1">
      <c r="A10" s="1527" t="s">
        <v>1283</v>
      </c>
      <c r="B10" s="1528" t="s">
        <v>2141</v>
      </c>
      <c r="C10" s="2113">
        <v>8.8999999999999996E-2</v>
      </c>
      <c r="D10" s="2113">
        <v>7.2999999999999995E-2</v>
      </c>
      <c r="E10" s="2113">
        <v>8.2000000000000003E-2</v>
      </c>
      <c r="F10" s="2114">
        <v>0.1</v>
      </c>
    </row>
    <row r="11" spans="1:6" ht="14.25" thickBot="1">
      <c r="A11" s="1527" t="s">
        <v>1283</v>
      </c>
      <c r="B11" s="1531" t="s">
        <v>1202</v>
      </c>
      <c r="C11" s="2115">
        <v>8.8999999999999996E-2</v>
      </c>
      <c r="D11" s="2115">
        <v>7.2999999999999995E-2</v>
      </c>
      <c r="E11" s="2115">
        <v>8.2000000000000003E-2</v>
      </c>
      <c r="F11" s="2116">
        <v>0.1</v>
      </c>
    </row>
    <row r="12" spans="1:6" ht="14.25" thickBot="1">
      <c r="A12" s="1527" t="s">
        <v>1283</v>
      </c>
      <c r="B12" s="1531" t="s">
        <v>1138</v>
      </c>
      <c r="C12" s="2115">
        <v>6.0999999999999999E-2</v>
      </c>
      <c r="D12" s="2115">
        <v>7.0999999999999994E-2</v>
      </c>
      <c r="E12" s="2115">
        <v>9.6000000000000002E-2</v>
      </c>
      <c r="F12" s="2116">
        <v>0.1</v>
      </c>
    </row>
    <row r="13" spans="1:6" ht="14.25" thickBot="1">
      <c r="A13" s="1527" t="s">
        <v>1283</v>
      </c>
      <c r="B13" s="1531" t="s">
        <v>1228</v>
      </c>
      <c r="C13" s="2115">
        <v>6.9000000000000006E-2</v>
      </c>
      <c r="D13" s="2115">
        <v>6.5000000000000002E-2</v>
      </c>
      <c r="E13" s="2115">
        <v>6.6000000000000003E-2</v>
      </c>
      <c r="F13" s="2116">
        <v>0.1</v>
      </c>
    </row>
    <row r="14" spans="1:6" ht="14.25" thickBot="1">
      <c r="A14" s="1527" t="s">
        <v>1283</v>
      </c>
      <c r="B14" s="1531" t="s">
        <v>1240</v>
      </c>
      <c r="C14" s="2115">
        <v>0.1</v>
      </c>
      <c r="D14" s="2115">
        <v>6.5000000000000002E-2</v>
      </c>
      <c r="E14" s="2115">
        <v>7.0000000000000007E-2</v>
      </c>
      <c r="F14" s="2116">
        <v>0.1</v>
      </c>
    </row>
    <row r="15" spans="1:6" ht="14.25" thickBot="1">
      <c r="A15" s="1527" t="s">
        <v>1283</v>
      </c>
      <c r="B15" s="1531" t="s">
        <v>1251</v>
      </c>
      <c r="C15" s="2115">
        <v>9.8000000000000004E-2</v>
      </c>
      <c r="D15" s="2115">
        <v>8.8999999999999996E-2</v>
      </c>
      <c r="E15" s="2115">
        <v>8.8999999999999996E-2</v>
      </c>
      <c r="F15" s="2116">
        <v>0.1</v>
      </c>
    </row>
    <row r="16" spans="1:6" ht="14.25" thickBot="1">
      <c r="A16" s="1527" t="s">
        <v>1283</v>
      </c>
      <c r="B16" s="1531" t="s">
        <v>1262</v>
      </c>
      <c r="C16" s="2115">
        <v>7.0000000000000007E-2</v>
      </c>
      <c r="D16" s="2115">
        <v>9.2999999999999999E-2</v>
      </c>
      <c r="E16" s="2115">
        <v>9.6000000000000002E-2</v>
      </c>
      <c r="F16" s="2116">
        <v>0.1</v>
      </c>
    </row>
    <row r="17" spans="1:6" ht="14.25" thickBot="1">
      <c r="A17" s="1527" t="s">
        <v>1283</v>
      </c>
      <c r="B17" s="1531" t="s">
        <v>1273</v>
      </c>
      <c r="C17" s="2115">
        <v>9.5000000000000001E-2</v>
      </c>
      <c r="D17" s="2115">
        <v>0.1</v>
      </c>
      <c r="E17" s="2115">
        <v>0.1</v>
      </c>
      <c r="F17" s="2127"/>
    </row>
    <row r="18" spans="1:6" ht="14.25" thickBot="1">
      <c r="A18" s="1527" t="s">
        <v>1283</v>
      </c>
      <c r="B18" s="1531" t="s">
        <v>1285</v>
      </c>
      <c r="C18" s="2115">
        <v>7.3999999999999996E-2</v>
      </c>
      <c r="D18" s="2115">
        <v>9.9000000000000005E-2</v>
      </c>
      <c r="E18" s="2115">
        <v>0.1</v>
      </c>
      <c r="F18" s="2127"/>
    </row>
    <row r="19" spans="1:6" ht="14.25" thickBot="1">
      <c r="A19" s="1527" t="s">
        <v>1283</v>
      </c>
      <c r="B19" s="1531" t="s">
        <v>1295</v>
      </c>
      <c r="C19" s="2115">
        <v>9.9000000000000005E-2</v>
      </c>
      <c r="D19" s="2115">
        <v>7.5999999999999998E-2</v>
      </c>
      <c r="E19" s="2115">
        <v>8.6999999999999994E-2</v>
      </c>
      <c r="F19" s="2127"/>
    </row>
    <row r="20" spans="1:6" ht="14.25" thickBot="1">
      <c r="A20" s="1527" t="s">
        <v>1283</v>
      </c>
      <c r="B20" s="1531" t="s">
        <v>1305</v>
      </c>
      <c r="C20" s="2115">
        <v>9.8000000000000004E-2</v>
      </c>
      <c r="D20" s="2115">
        <v>8.5000000000000006E-2</v>
      </c>
      <c r="E20" s="2115">
        <v>8.2000000000000003E-2</v>
      </c>
      <c r="F20" s="2127"/>
    </row>
    <row r="21" spans="1:6" ht="14.25" thickBot="1">
      <c r="A21" s="1527" t="s">
        <v>1283</v>
      </c>
      <c r="B21" s="1531" t="s">
        <v>1315</v>
      </c>
      <c r="C21" s="2115">
        <v>6.6000000000000003E-2</v>
      </c>
      <c r="D21" s="2115">
        <v>6.4000000000000001E-2</v>
      </c>
      <c r="E21" s="2115">
        <v>6.5000000000000002E-2</v>
      </c>
      <c r="F21" s="2127"/>
    </row>
    <row r="22" spans="1:6" ht="14.25" thickBot="1">
      <c r="A22" s="1527" t="s">
        <v>1283</v>
      </c>
      <c r="B22" s="1531" t="s">
        <v>2142</v>
      </c>
      <c r="C22" s="2115">
        <v>0.08</v>
      </c>
      <c r="D22" s="2115">
        <v>9.8000000000000004E-2</v>
      </c>
      <c r="E22" s="2115">
        <v>9.8000000000000004E-2</v>
      </c>
      <c r="F22" s="2127"/>
    </row>
    <row r="23" spans="1:6" ht="14.25" thickBot="1">
      <c r="A23" s="1527" t="s">
        <v>1283</v>
      </c>
      <c r="B23" s="1531" t="s">
        <v>1336</v>
      </c>
      <c r="C23" s="2115">
        <v>9.9000000000000005E-2</v>
      </c>
      <c r="D23" s="2115">
        <v>9.8000000000000004E-2</v>
      </c>
      <c r="E23" s="2115">
        <v>9.0999999999999998E-2</v>
      </c>
      <c r="F23" s="2127"/>
    </row>
    <row r="24" spans="1:6" ht="14.25" thickBot="1">
      <c r="A24" s="1527" t="s">
        <v>1283</v>
      </c>
      <c r="B24" s="1531" t="s">
        <v>1347</v>
      </c>
      <c r="C24" s="2115">
        <v>8.8999999999999996E-2</v>
      </c>
      <c r="D24" s="2115">
        <v>9.7000000000000003E-2</v>
      </c>
      <c r="E24" s="2115">
        <v>7.0000000000000007E-2</v>
      </c>
      <c r="F24" s="2127"/>
    </row>
    <row r="25" spans="1:6" ht="14.25" thickBot="1">
      <c r="A25" s="1527" t="s">
        <v>1283</v>
      </c>
      <c r="B25" s="1531" t="s">
        <v>1357</v>
      </c>
      <c r="C25" s="2115">
        <v>8.8999999999999996E-2</v>
      </c>
      <c r="D25" s="2115">
        <v>0.1</v>
      </c>
      <c r="E25" s="2115">
        <v>8.1000000000000003E-2</v>
      </c>
      <c r="F25" s="2127"/>
    </row>
    <row r="26" spans="1:6" ht="14.25" thickBot="1">
      <c r="A26" s="1527" t="s">
        <v>1283</v>
      </c>
      <c r="B26" s="1531" t="s">
        <v>1367</v>
      </c>
      <c r="C26" s="2128"/>
      <c r="D26" s="2115">
        <v>9.6000000000000002E-2</v>
      </c>
      <c r="E26" s="2115">
        <v>9.2999999999999999E-2</v>
      </c>
      <c r="F26" s="2127"/>
    </row>
    <row r="27" spans="1:6" ht="14.25" thickBot="1">
      <c r="A27" s="1527" t="s">
        <v>1283</v>
      </c>
      <c r="B27" s="1531" t="s">
        <v>1377</v>
      </c>
      <c r="C27" s="2128"/>
      <c r="D27" s="2115">
        <v>7.5999999999999998E-2</v>
      </c>
      <c r="E27" s="2115">
        <v>9.1999999999999998E-2</v>
      </c>
      <c r="F27" s="2127"/>
    </row>
    <row r="28" spans="1:6" ht="14.25" thickBot="1">
      <c r="A28" s="1537" t="s">
        <v>1283</v>
      </c>
      <c r="B28" s="1532" t="s">
        <v>1387</v>
      </c>
      <c r="C28" s="2125"/>
      <c r="D28" s="2117">
        <v>7.5999999999999998E-2</v>
      </c>
      <c r="E28" s="2117">
        <v>9.1999999999999998E-2</v>
      </c>
      <c r="F28" s="2126"/>
    </row>
    <row r="29" spans="1:6" ht="14.25" thickBot="1">
      <c r="A29" s="1527" t="s">
        <v>1456</v>
      </c>
      <c r="B29" s="1528" t="s">
        <v>2143</v>
      </c>
      <c r="C29" s="2113">
        <v>6.4000000000000001E-2</v>
      </c>
      <c r="D29" s="2113">
        <v>6.5000000000000002E-2</v>
      </c>
      <c r="E29" s="2113">
        <v>6.9000000000000006E-2</v>
      </c>
      <c r="F29" s="2114">
        <v>0.1</v>
      </c>
    </row>
    <row r="30" spans="1:6" ht="14.25" thickBot="1">
      <c r="A30" s="1527" t="s">
        <v>1456</v>
      </c>
      <c r="B30" s="1531" t="s">
        <v>1203</v>
      </c>
      <c r="C30" s="2115">
        <v>6.4000000000000001E-2</v>
      </c>
      <c r="D30" s="2115">
        <v>9.9000000000000005E-2</v>
      </c>
      <c r="E30" s="2115">
        <v>0.1</v>
      </c>
      <c r="F30" s="2116">
        <v>0.1</v>
      </c>
    </row>
    <row r="31" spans="1:6" ht="14.25" thickBot="1">
      <c r="A31" s="1527" t="s">
        <v>1456</v>
      </c>
      <c r="B31" s="1531" t="s">
        <v>1216</v>
      </c>
      <c r="C31" s="2115">
        <v>0.1</v>
      </c>
      <c r="D31" s="2115">
        <v>9.5000000000000001E-2</v>
      </c>
      <c r="E31" s="2115">
        <v>8.8999999999999996E-2</v>
      </c>
      <c r="F31" s="2116">
        <v>0.1</v>
      </c>
    </row>
    <row r="32" spans="1:6" ht="14.25" thickBot="1">
      <c r="A32" s="1527" t="s">
        <v>1456</v>
      </c>
      <c r="B32" s="1531" t="s">
        <v>1229</v>
      </c>
      <c r="C32" s="2115">
        <v>0.05</v>
      </c>
      <c r="D32" s="2115">
        <v>0.05</v>
      </c>
      <c r="E32" s="2115">
        <v>8.7999999999999995E-2</v>
      </c>
      <c r="F32" s="2116">
        <v>0.1</v>
      </c>
    </row>
    <row r="33" spans="1:6" ht="14.25" thickBot="1">
      <c r="A33" s="1527" t="s">
        <v>1456</v>
      </c>
      <c r="B33" s="1531" t="s">
        <v>1241</v>
      </c>
      <c r="C33" s="2115">
        <v>7.4999999999999997E-2</v>
      </c>
      <c r="D33" s="2115">
        <v>9.4E-2</v>
      </c>
      <c r="E33" s="2115">
        <v>9.7000000000000003E-2</v>
      </c>
      <c r="F33" s="2116">
        <v>0.1</v>
      </c>
    </row>
    <row r="34" spans="1:6" ht="14.25" thickBot="1">
      <c r="A34" s="1527" t="s">
        <v>1456</v>
      </c>
      <c r="B34" s="1531" t="s">
        <v>1252</v>
      </c>
      <c r="C34" s="2115">
        <v>9.8000000000000004E-2</v>
      </c>
      <c r="D34" s="2115">
        <v>8.5999999999999993E-2</v>
      </c>
      <c r="E34" s="2115">
        <v>9.7000000000000003E-2</v>
      </c>
      <c r="F34" s="2116">
        <v>0.1</v>
      </c>
    </row>
    <row r="35" spans="1:6" ht="14.25" thickBot="1">
      <c r="A35" s="1527" t="s">
        <v>1456</v>
      </c>
      <c r="B35" s="1531" t="s">
        <v>1263</v>
      </c>
      <c r="C35" s="2115">
        <v>5.8999999999999997E-2</v>
      </c>
      <c r="D35" s="2115">
        <v>6.5000000000000002E-2</v>
      </c>
      <c r="E35" s="2115">
        <v>7.0000000000000007E-2</v>
      </c>
      <c r="F35" s="2116">
        <v>0.1</v>
      </c>
    </row>
    <row r="36" spans="1:6" ht="14.25" thickBot="1">
      <c r="A36" s="1527" t="s">
        <v>1456</v>
      </c>
      <c r="B36" s="1531" t="s">
        <v>1274</v>
      </c>
      <c r="C36" s="2115">
        <v>6.3E-2</v>
      </c>
      <c r="D36" s="2115">
        <v>0.1</v>
      </c>
      <c r="E36" s="2115">
        <v>0.1</v>
      </c>
      <c r="F36" s="2116">
        <v>0.1</v>
      </c>
    </row>
    <row r="37" spans="1:6" ht="14.25" thickBot="1">
      <c r="A37" s="1527" t="s">
        <v>1456</v>
      </c>
      <c r="B37" s="1531" t="s">
        <v>1286</v>
      </c>
      <c r="C37" s="2115">
        <v>7.3999999999999996E-2</v>
      </c>
      <c r="D37" s="2115">
        <v>0.1</v>
      </c>
      <c r="E37" s="2115">
        <v>0.1</v>
      </c>
      <c r="F37" s="2116">
        <v>0.1</v>
      </c>
    </row>
    <row r="38" spans="1:6" ht="14.25" thickBot="1">
      <c r="A38" s="1527" t="s">
        <v>1456</v>
      </c>
      <c r="B38" s="1531" t="s">
        <v>1296</v>
      </c>
      <c r="C38" s="2115">
        <v>0.1</v>
      </c>
      <c r="D38" s="2115">
        <v>9.6000000000000002E-2</v>
      </c>
      <c r="E38" s="2115">
        <v>9.6000000000000002E-2</v>
      </c>
      <c r="F38" s="2127"/>
    </row>
    <row r="39" spans="1:6" ht="14.25" thickBot="1">
      <c r="A39" s="1527" t="s">
        <v>1456</v>
      </c>
      <c r="B39" s="1531" t="s">
        <v>1306</v>
      </c>
      <c r="C39" s="2115">
        <v>0.1</v>
      </c>
      <c r="D39" s="2115">
        <v>9.6000000000000002E-2</v>
      </c>
      <c r="E39" s="2115">
        <v>9.6000000000000002E-2</v>
      </c>
      <c r="F39" s="2127"/>
    </row>
    <row r="40" spans="1:6" ht="14.25" thickBot="1">
      <c r="A40" s="1527" t="s">
        <v>1456</v>
      </c>
      <c r="B40" s="1531" t="s">
        <v>1316</v>
      </c>
      <c r="C40" s="2115">
        <v>9.6000000000000002E-2</v>
      </c>
      <c r="D40" s="2115">
        <v>0.1</v>
      </c>
      <c r="E40" s="2115">
        <v>9.9000000000000005E-2</v>
      </c>
      <c r="F40" s="2127"/>
    </row>
    <row r="41" spans="1:6" ht="14.25" thickBot="1">
      <c r="A41" s="1527" t="s">
        <v>1456</v>
      </c>
      <c r="B41" s="1531" t="s">
        <v>1326</v>
      </c>
      <c r="C41" s="2115">
        <v>9.6000000000000002E-2</v>
      </c>
      <c r="D41" s="2115">
        <v>9.8000000000000004E-2</v>
      </c>
      <c r="E41" s="2115">
        <v>9.8000000000000004E-2</v>
      </c>
      <c r="F41" s="2127"/>
    </row>
    <row r="42" spans="1:6" ht="14.25" thickBot="1">
      <c r="A42" s="1527" t="s">
        <v>1456</v>
      </c>
      <c r="B42" s="1531" t="s">
        <v>1337</v>
      </c>
      <c r="C42" s="2115">
        <v>0.1</v>
      </c>
      <c r="D42" s="2115">
        <v>8.7999999999999995E-2</v>
      </c>
      <c r="E42" s="2115">
        <v>0.1</v>
      </c>
      <c r="F42" s="2127"/>
    </row>
    <row r="43" spans="1:6" ht="14.25" thickBot="1">
      <c r="A43" s="1527" t="s">
        <v>1456</v>
      </c>
      <c r="B43" s="1531" t="s">
        <v>1348</v>
      </c>
      <c r="C43" s="2115">
        <v>9.8000000000000004E-2</v>
      </c>
      <c r="D43" s="2115">
        <v>9.7000000000000003E-2</v>
      </c>
      <c r="E43" s="2115">
        <v>9.6000000000000002E-2</v>
      </c>
      <c r="F43" s="2127"/>
    </row>
    <row r="44" spans="1:6" ht="14.25" thickBot="1">
      <c r="A44" s="1527" t="s">
        <v>1456</v>
      </c>
      <c r="B44" s="1531" t="s">
        <v>1358</v>
      </c>
      <c r="C44" s="2115">
        <v>8.5999999999999993E-2</v>
      </c>
      <c r="D44" s="2115">
        <v>7.9000000000000001E-2</v>
      </c>
      <c r="E44" s="2115">
        <v>7.0999999999999994E-2</v>
      </c>
      <c r="F44" s="2127"/>
    </row>
    <row r="45" spans="1:6" ht="14.25" thickBot="1">
      <c r="A45" s="1527" t="s">
        <v>1456</v>
      </c>
      <c r="B45" s="1531" t="s">
        <v>1368</v>
      </c>
      <c r="C45" s="2115">
        <v>9.8000000000000004E-2</v>
      </c>
      <c r="D45" s="2115">
        <v>9.6000000000000002E-2</v>
      </c>
      <c r="E45" s="2115">
        <v>9.6000000000000002E-2</v>
      </c>
      <c r="F45" s="2127"/>
    </row>
    <row r="46" spans="1:6" ht="14.25" thickBot="1">
      <c r="A46" s="1527" t="s">
        <v>1456</v>
      </c>
      <c r="B46" s="1531" t="s">
        <v>1378</v>
      </c>
      <c r="C46" s="2115">
        <v>8.5999999999999993E-2</v>
      </c>
      <c r="D46" s="2115">
        <v>9.8000000000000004E-2</v>
      </c>
      <c r="E46" s="2115">
        <v>8.7999999999999995E-2</v>
      </c>
      <c r="F46" s="2127"/>
    </row>
    <row r="47" spans="1:6" ht="14.25" thickBot="1">
      <c r="A47" s="1527" t="s">
        <v>1456</v>
      </c>
      <c r="B47" s="1531" t="s">
        <v>1388</v>
      </c>
      <c r="C47" s="2115">
        <v>9.6000000000000002E-2</v>
      </c>
      <c r="D47" s="2128"/>
      <c r="E47" s="2115">
        <v>6.9000000000000006E-2</v>
      </c>
      <c r="F47" s="2127"/>
    </row>
    <row r="48" spans="1:6" ht="14.25" thickBot="1">
      <c r="A48" s="1537" t="s">
        <v>1456</v>
      </c>
      <c r="B48" s="1532" t="s">
        <v>1397</v>
      </c>
      <c r="C48" s="2117">
        <v>9.8000000000000004E-2</v>
      </c>
      <c r="D48" s="2125"/>
      <c r="E48" s="2117">
        <v>9.5000000000000001E-2</v>
      </c>
      <c r="F48" s="2126"/>
    </row>
    <row r="49" spans="1:6" ht="14.25" thickBot="1">
      <c r="A49" s="1527" t="s">
        <v>1137</v>
      </c>
      <c r="B49" s="1528" t="s">
        <v>2144</v>
      </c>
      <c r="C49" s="2113">
        <v>9.7000000000000003E-2</v>
      </c>
      <c r="D49" s="2113">
        <v>9.5000000000000001E-2</v>
      </c>
      <c r="E49" s="2113">
        <v>9.7000000000000003E-2</v>
      </c>
      <c r="F49" s="2114">
        <v>0.1</v>
      </c>
    </row>
    <row r="50" spans="1:6" ht="14.25" thickBot="1">
      <c r="A50" s="1527" t="s">
        <v>1137</v>
      </c>
      <c r="B50" s="1521" t="s">
        <v>1204</v>
      </c>
      <c r="C50" s="2115">
        <v>7.4999999999999997E-2</v>
      </c>
      <c r="D50" s="2115">
        <v>9.5000000000000001E-2</v>
      </c>
      <c r="E50" s="2115">
        <v>0.1</v>
      </c>
      <c r="F50" s="2116">
        <v>0.1</v>
      </c>
    </row>
    <row r="51" spans="1:6" ht="14.25" thickBot="1">
      <c r="A51" s="1527" t="s">
        <v>1137</v>
      </c>
      <c r="B51" s="1521" t="s">
        <v>1217</v>
      </c>
      <c r="C51" s="2115">
        <v>9.8000000000000004E-2</v>
      </c>
      <c r="D51" s="2115">
        <v>8.8999999999999996E-2</v>
      </c>
      <c r="E51" s="2115">
        <v>0.1</v>
      </c>
      <c r="F51" s="2116">
        <v>0.1</v>
      </c>
    </row>
    <row r="52" spans="1:6" ht="14.25" thickBot="1">
      <c r="A52" s="1527" t="s">
        <v>1137</v>
      </c>
      <c r="B52" s="1521" t="s">
        <v>1230</v>
      </c>
      <c r="C52" s="2115">
        <v>9.8000000000000004E-2</v>
      </c>
      <c r="D52" s="2115">
        <v>9.7000000000000003E-2</v>
      </c>
      <c r="E52" s="2115">
        <v>8.1000000000000003E-2</v>
      </c>
      <c r="F52" s="2116">
        <v>0.1</v>
      </c>
    </row>
    <row r="53" spans="1:6" ht="14.25" thickBot="1">
      <c r="A53" s="1527" t="s">
        <v>1137</v>
      </c>
      <c r="B53" s="1521" t="s">
        <v>1242</v>
      </c>
      <c r="C53" s="2115">
        <v>9.7000000000000003E-2</v>
      </c>
      <c r="D53" s="2115">
        <v>7.5999999999999998E-2</v>
      </c>
      <c r="E53" s="2115">
        <v>7.0999999999999994E-2</v>
      </c>
      <c r="F53" s="2116">
        <v>0.1</v>
      </c>
    </row>
    <row r="54" spans="1:6" ht="14.25" thickBot="1">
      <c r="A54" s="1527" t="s">
        <v>1137</v>
      </c>
      <c r="B54" s="1521" t="s">
        <v>1253</v>
      </c>
      <c r="C54" s="2115">
        <v>7.5999999999999998E-2</v>
      </c>
      <c r="D54" s="2115">
        <v>0.1</v>
      </c>
      <c r="E54" s="2115">
        <v>9.9000000000000005E-2</v>
      </c>
      <c r="F54" s="2116">
        <v>0.1</v>
      </c>
    </row>
    <row r="55" spans="1:6" ht="14.25" thickBot="1">
      <c r="A55" s="1527" t="s">
        <v>1137</v>
      </c>
      <c r="B55" s="1521" t="s">
        <v>1264</v>
      </c>
      <c r="C55" s="2115">
        <v>0.1</v>
      </c>
      <c r="D55" s="2115">
        <v>0.1</v>
      </c>
      <c r="E55" s="2115">
        <v>9.6000000000000002E-2</v>
      </c>
      <c r="F55" s="2116">
        <v>0.1</v>
      </c>
    </row>
    <row r="56" spans="1:6" ht="14.25" thickBot="1">
      <c r="A56" s="1527" t="s">
        <v>1137</v>
      </c>
      <c r="B56" s="1521" t="s">
        <v>1275</v>
      </c>
      <c r="C56" s="2115">
        <v>0.1</v>
      </c>
      <c r="D56" s="2115">
        <v>9.6000000000000002E-2</v>
      </c>
      <c r="E56" s="2115">
        <v>5.1999999999999998E-2</v>
      </c>
      <c r="F56" s="2116">
        <v>0.1</v>
      </c>
    </row>
    <row r="57" spans="1:6" ht="14.25" thickBot="1">
      <c r="A57" s="1527" t="s">
        <v>1137</v>
      </c>
      <c r="B57" s="1521" t="s">
        <v>1287</v>
      </c>
      <c r="C57" s="2115">
        <v>9.7000000000000003E-2</v>
      </c>
      <c r="D57" s="2115">
        <v>9.6000000000000002E-2</v>
      </c>
      <c r="E57" s="2115">
        <v>9.6000000000000002E-2</v>
      </c>
      <c r="F57" s="2116">
        <v>0.1</v>
      </c>
    </row>
    <row r="58" spans="1:6" ht="14.25" thickBot="1">
      <c r="A58" s="1527" t="s">
        <v>1137</v>
      </c>
      <c r="B58" s="1521" t="s">
        <v>1297</v>
      </c>
      <c r="C58" s="2115">
        <v>9.6000000000000002E-2</v>
      </c>
      <c r="D58" s="2115">
        <v>9.9000000000000005E-2</v>
      </c>
      <c r="E58" s="2115">
        <v>9.6000000000000002E-2</v>
      </c>
      <c r="F58" s="2116">
        <v>0.1</v>
      </c>
    </row>
    <row r="59" spans="1:6" ht="14.25" thickBot="1">
      <c r="A59" s="1527" t="s">
        <v>1137</v>
      </c>
      <c r="B59" s="1521" t="s">
        <v>1307</v>
      </c>
      <c r="C59" s="2115">
        <v>7.1999999999999995E-2</v>
      </c>
      <c r="D59" s="2115">
        <v>9.6000000000000002E-2</v>
      </c>
      <c r="E59" s="2115">
        <v>7.0999999999999994E-2</v>
      </c>
      <c r="F59" s="2116">
        <v>0.1</v>
      </c>
    </row>
    <row r="60" spans="1:6" ht="14.25" thickBot="1">
      <c r="A60" s="1527" t="s">
        <v>1137</v>
      </c>
      <c r="B60" s="1521" t="s">
        <v>1317</v>
      </c>
      <c r="C60" s="2115">
        <v>9.6000000000000002E-2</v>
      </c>
      <c r="D60" s="2115">
        <v>8.8999999999999996E-2</v>
      </c>
      <c r="E60" s="2115">
        <v>9.6000000000000002E-2</v>
      </c>
      <c r="F60" s="2116">
        <v>0.1</v>
      </c>
    </row>
    <row r="61" spans="1:6" ht="14.25" thickBot="1">
      <c r="A61" s="1527" t="s">
        <v>1137</v>
      </c>
      <c r="B61" s="1521" t="s">
        <v>1327</v>
      </c>
      <c r="C61" s="2115">
        <v>8.8999999999999996E-2</v>
      </c>
      <c r="D61" s="2115">
        <v>9.8000000000000004E-2</v>
      </c>
      <c r="E61" s="2115">
        <v>8.7999999999999995E-2</v>
      </c>
      <c r="F61" s="2127"/>
    </row>
    <row r="62" spans="1:6" ht="14.25" thickBot="1">
      <c r="A62" s="1527" t="s">
        <v>1137</v>
      </c>
      <c r="B62" s="1521" t="s">
        <v>1338</v>
      </c>
      <c r="C62" s="2115">
        <v>9.8000000000000004E-2</v>
      </c>
      <c r="D62" s="2115">
        <v>9.2999999999999999E-2</v>
      </c>
      <c r="E62" s="2115">
        <v>9.7000000000000003E-2</v>
      </c>
      <c r="F62" s="2127"/>
    </row>
    <row r="63" spans="1:6" ht="14.25" thickBot="1">
      <c r="A63" s="1527" t="s">
        <v>1137</v>
      </c>
      <c r="B63" s="1521" t="s">
        <v>1349</v>
      </c>
      <c r="C63" s="2115">
        <v>9.6000000000000002E-2</v>
      </c>
      <c r="D63" s="2115">
        <v>9.8000000000000004E-2</v>
      </c>
      <c r="E63" s="2115">
        <v>0.09</v>
      </c>
      <c r="F63" s="2127"/>
    </row>
    <row r="64" spans="1:6" ht="14.25" thickBot="1">
      <c r="A64" s="1527" t="s">
        <v>1137</v>
      </c>
      <c r="B64" s="1521" t="s">
        <v>1359</v>
      </c>
      <c r="C64" s="2115">
        <v>9.9000000000000005E-2</v>
      </c>
      <c r="D64" s="2115">
        <v>9.7000000000000003E-2</v>
      </c>
      <c r="E64" s="2115">
        <v>9.9000000000000005E-2</v>
      </c>
      <c r="F64" s="2127"/>
    </row>
    <row r="65" spans="1:6" ht="14.25" thickBot="1">
      <c r="A65" s="1527" t="s">
        <v>1137</v>
      </c>
      <c r="B65" s="1521" t="s">
        <v>1369</v>
      </c>
      <c r="C65" s="2115">
        <v>9.8000000000000004E-2</v>
      </c>
      <c r="D65" s="2115">
        <v>9.6000000000000002E-2</v>
      </c>
      <c r="E65" s="2115">
        <v>9.6000000000000002E-2</v>
      </c>
      <c r="F65" s="2127"/>
    </row>
    <row r="66" spans="1:6" ht="14.25" thickBot="1">
      <c r="A66" s="1527" t="s">
        <v>1137</v>
      </c>
      <c r="B66" s="1521" t="s">
        <v>1379</v>
      </c>
      <c r="C66" s="2115">
        <v>9.6000000000000002E-2</v>
      </c>
      <c r="D66" s="2115">
        <v>9.1999999999999998E-2</v>
      </c>
      <c r="E66" s="2115">
        <v>9.6000000000000002E-2</v>
      </c>
      <c r="F66" s="2127"/>
    </row>
    <row r="67" spans="1:6" ht="14.25" thickBot="1">
      <c r="A67" s="1527" t="s">
        <v>1137</v>
      </c>
      <c r="B67" s="1521" t="s">
        <v>1389</v>
      </c>
      <c r="C67" s="2115">
        <v>9.4E-2</v>
      </c>
      <c r="D67" s="2115">
        <v>0.1</v>
      </c>
      <c r="E67" s="2115">
        <v>8.7999999999999995E-2</v>
      </c>
      <c r="F67" s="2127"/>
    </row>
    <row r="68" spans="1:6" ht="14.25" thickBot="1">
      <c r="A68" s="1527" t="s">
        <v>1137</v>
      </c>
      <c r="B68" s="1521" t="s">
        <v>1398</v>
      </c>
      <c r="C68" s="2115">
        <v>0.1</v>
      </c>
      <c r="D68" s="2115">
        <v>8.7999999999999995E-2</v>
      </c>
      <c r="E68" s="2115">
        <v>9.7000000000000003E-2</v>
      </c>
      <c r="F68" s="2127"/>
    </row>
    <row r="69" spans="1:6" ht="14.25" thickBot="1">
      <c r="A69" s="1527" t="s">
        <v>1137</v>
      </c>
      <c r="B69" s="1521" t="s">
        <v>1407</v>
      </c>
      <c r="C69" s="2115">
        <v>6.4000000000000001E-2</v>
      </c>
      <c r="D69" s="2115">
        <v>0.1</v>
      </c>
      <c r="E69" s="2115">
        <v>0.1</v>
      </c>
      <c r="F69" s="2127"/>
    </row>
    <row r="70" spans="1:6" ht="14.25" thickBot="1">
      <c r="A70" s="1527" t="s">
        <v>1137</v>
      </c>
      <c r="B70" s="1521" t="s">
        <v>1415</v>
      </c>
      <c r="C70" s="2115">
        <v>9.0999999999999998E-2</v>
      </c>
      <c r="D70" s="2128"/>
      <c r="E70" s="2128"/>
      <c r="F70" s="2127"/>
    </row>
    <row r="71" spans="1:6" ht="14.25" thickBot="1">
      <c r="A71" s="1527" t="s">
        <v>1137</v>
      </c>
      <c r="B71" s="1521" t="s">
        <v>1422</v>
      </c>
      <c r="C71" s="2115">
        <v>0.1</v>
      </c>
      <c r="D71" s="2128"/>
      <c r="E71" s="2128"/>
      <c r="F71" s="2127"/>
    </row>
    <row r="72" spans="1:6" ht="14.25" thickBot="1">
      <c r="A72" s="1527" t="s">
        <v>1137</v>
      </c>
      <c r="B72" s="1521" t="s">
        <v>2145</v>
      </c>
      <c r="C72" s="2128"/>
      <c r="D72" s="2128"/>
      <c r="E72" s="2128"/>
      <c r="F72" s="2116">
        <v>0.05</v>
      </c>
    </row>
    <row r="73" spans="1:6" ht="14.25" thickBot="1">
      <c r="A73" s="1527" t="s">
        <v>1137</v>
      </c>
      <c r="B73" s="1521" t="s">
        <v>2146</v>
      </c>
      <c r="C73" s="2128"/>
      <c r="D73" s="2128"/>
      <c r="E73" s="2128"/>
      <c r="F73" s="2116">
        <v>0.05</v>
      </c>
    </row>
    <row r="74" spans="1:6" ht="14.25" thickBot="1">
      <c r="A74" s="1527" t="s">
        <v>1137</v>
      </c>
      <c r="B74" s="1521" t="s">
        <v>2147</v>
      </c>
      <c r="C74" s="2128"/>
      <c r="D74" s="2128"/>
      <c r="E74" s="2128"/>
      <c r="F74" s="2116">
        <v>0.05</v>
      </c>
    </row>
    <row r="75" spans="1:6" ht="14.25" thickBot="1">
      <c r="A75" s="1537" t="s">
        <v>1137</v>
      </c>
      <c r="B75" s="1533" t="s">
        <v>2148</v>
      </c>
      <c r="C75" s="2125"/>
      <c r="D75" s="2125"/>
      <c r="E75" s="2125"/>
      <c r="F75" s="2118">
        <v>0.05</v>
      </c>
    </row>
    <row r="76" spans="1:6" ht="14.25" thickBot="1">
      <c r="A76" s="1527" t="s">
        <v>1537</v>
      </c>
      <c r="B76" s="1528" t="s">
        <v>2149</v>
      </c>
      <c r="C76" s="2113">
        <v>0.1</v>
      </c>
      <c r="D76" s="2113">
        <v>0.1</v>
      </c>
      <c r="E76" s="2113">
        <v>0.1</v>
      </c>
      <c r="F76" s="2114">
        <v>0.1</v>
      </c>
    </row>
    <row r="77" spans="1:6" ht="14.25" thickBot="1">
      <c r="A77" s="1527" t="s">
        <v>1537</v>
      </c>
      <c r="B77" s="1521" t="s">
        <v>1205</v>
      </c>
      <c r="C77" s="2115">
        <v>8.7999999999999995E-2</v>
      </c>
      <c r="D77" s="2115">
        <v>8.6999999999999994E-2</v>
      </c>
      <c r="E77" s="2115">
        <v>7.9000000000000001E-2</v>
      </c>
      <c r="F77" s="2116">
        <v>0.1</v>
      </c>
    </row>
    <row r="78" spans="1:6" ht="14.25" thickBot="1">
      <c r="A78" s="1527" t="s">
        <v>1537</v>
      </c>
      <c r="B78" s="1521" t="s">
        <v>1218</v>
      </c>
      <c r="C78" s="2115">
        <v>8.6999999999999994E-2</v>
      </c>
      <c r="D78" s="2115">
        <v>8.4000000000000005E-2</v>
      </c>
      <c r="E78" s="2115">
        <v>9.6000000000000002E-2</v>
      </c>
      <c r="F78" s="2116">
        <v>0.1</v>
      </c>
    </row>
    <row r="79" spans="1:6" ht="14.25" thickBot="1">
      <c r="A79" s="1527" t="s">
        <v>1537</v>
      </c>
      <c r="B79" s="1521" t="s">
        <v>1231</v>
      </c>
      <c r="C79" s="2115">
        <v>9.8000000000000004E-2</v>
      </c>
      <c r="D79" s="2115">
        <v>9.8000000000000004E-2</v>
      </c>
      <c r="E79" s="2115">
        <v>9.0999999999999998E-2</v>
      </c>
      <c r="F79" s="2116">
        <v>0.1</v>
      </c>
    </row>
    <row r="80" spans="1:6" ht="14.25" thickBot="1">
      <c r="A80" s="1527" t="s">
        <v>1537</v>
      </c>
      <c r="B80" s="1521" t="s">
        <v>1243</v>
      </c>
      <c r="C80" s="2115">
        <v>9.6000000000000002E-2</v>
      </c>
      <c r="D80" s="2115">
        <v>9.6000000000000002E-2</v>
      </c>
      <c r="E80" s="2115">
        <v>0.1</v>
      </c>
      <c r="F80" s="2116">
        <v>0.1</v>
      </c>
    </row>
    <row r="81" spans="1:6" ht="14.25" thickBot="1">
      <c r="A81" s="1527" t="s">
        <v>1537</v>
      </c>
      <c r="B81" s="1521" t="s">
        <v>1254</v>
      </c>
      <c r="C81" s="2115">
        <v>9.9000000000000005E-2</v>
      </c>
      <c r="D81" s="2115">
        <v>9.9000000000000005E-2</v>
      </c>
      <c r="E81" s="2115">
        <v>9.8000000000000004E-2</v>
      </c>
      <c r="F81" s="2116">
        <v>0.1</v>
      </c>
    </row>
    <row r="82" spans="1:6" ht="14.25" thickBot="1">
      <c r="A82" s="1527" t="s">
        <v>1537</v>
      </c>
      <c r="B82" s="1521" t="s">
        <v>1265</v>
      </c>
      <c r="C82" s="2115">
        <v>9.9000000000000005E-2</v>
      </c>
      <c r="D82" s="2115">
        <v>9.9000000000000005E-2</v>
      </c>
      <c r="E82" s="2115">
        <v>9.7000000000000003E-2</v>
      </c>
      <c r="F82" s="2116">
        <v>0.1</v>
      </c>
    </row>
    <row r="83" spans="1:6" ht="14.25" thickBot="1">
      <c r="A83" s="1527" t="s">
        <v>1537</v>
      </c>
      <c r="B83" s="1521" t="s">
        <v>1276</v>
      </c>
      <c r="C83" s="2115">
        <v>9.8000000000000004E-2</v>
      </c>
      <c r="D83" s="2115">
        <v>9.8000000000000004E-2</v>
      </c>
      <c r="E83" s="2115">
        <v>9.8000000000000004E-2</v>
      </c>
      <c r="F83" s="2116">
        <v>0.1</v>
      </c>
    </row>
    <row r="84" spans="1:6" ht="14.25" thickBot="1">
      <c r="A84" s="1527" t="s">
        <v>1537</v>
      </c>
      <c r="B84" s="1521" t="s">
        <v>1288</v>
      </c>
      <c r="C84" s="2115">
        <v>9.9000000000000005E-2</v>
      </c>
      <c r="D84" s="2115">
        <v>9.9000000000000005E-2</v>
      </c>
      <c r="E84" s="2115">
        <v>9.9000000000000005E-2</v>
      </c>
      <c r="F84" s="2116">
        <v>0.1</v>
      </c>
    </row>
    <row r="85" spans="1:6" ht="14.25" thickBot="1">
      <c r="A85" s="1527" t="s">
        <v>1537</v>
      </c>
      <c r="B85" s="1521" t="s">
        <v>1298</v>
      </c>
      <c r="C85" s="2115">
        <v>9.9000000000000005E-2</v>
      </c>
      <c r="D85" s="2115">
        <v>9.9000000000000005E-2</v>
      </c>
      <c r="E85" s="2115">
        <v>9.9000000000000005E-2</v>
      </c>
      <c r="F85" s="2116">
        <v>0.1</v>
      </c>
    </row>
    <row r="86" spans="1:6" ht="14.25" thickBot="1">
      <c r="A86" s="1527" t="s">
        <v>1537</v>
      </c>
      <c r="B86" s="1521" t="s">
        <v>1308</v>
      </c>
      <c r="C86" s="2115">
        <v>0.1</v>
      </c>
      <c r="D86" s="2115">
        <v>0.1</v>
      </c>
      <c r="E86" s="2115">
        <v>7.6999999999999999E-2</v>
      </c>
      <c r="F86" s="2116">
        <v>0.1</v>
      </c>
    </row>
    <row r="87" spans="1:6" ht="14.25" thickBot="1">
      <c r="A87" s="1527" t="s">
        <v>1537</v>
      </c>
      <c r="B87" s="1521" t="s">
        <v>1318</v>
      </c>
      <c r="C87" s="2115">
        <v>0.1</v>
      </c>
      <c r="D87" s="2115">
        <v>0.1</v>
      </c>
      <c r="E87" s="2115">
        <v>9.8000000000000004E-2</v>
      </c>
      <c r="F87" s="2127"/>
    </row>
    <row r="88" spans="1:6" ht="14.25" thickBot="1">
      <c r="A88" s="1527" t="s">
        <v>1537</v>
      </c>
      <c r="B88" s="1521" t="s">
        <v>1328</v>
      </c>
      <c r="C88" s="2115">
        <v>9.1999999999999998E-2</v>
      </c>
      <c r="D88" s="2115">
        <v>8.5000000000000006E-2</v>
      </c>
      <c r="E88" s="2115">
        <v>9.6000000000000002E-2</v>
      </c>
      <c r="F88" s="2127"/>
    </row>
    <row r="89" spans="1:6" ht="14.25" thickBot="1">
      <c r="A89" s="1527" t="s">
        <v>1537</v>
      </c>
      <c r="B89" s="1521" t="s">
        <v>1339</v>
      </c>
      <c r="C89" s="2115">
        <v>0.1</v>
      </c>
      <c r="D89" s="2115">
        <v>0.1</v>
      </c>
      <c r="E89" s="2115">
        <v>9.7000000000000003E-2</v>
      </c>
      <c r="F89" s="2127"/>
    </row>
    <row r="90" spans="1:6" ht="14.25" thickBot="1">
      <c r="A90" s="1527" t="s">
        <v>1537</v>
      </c>
      <c r="B90" s="1521" t="s">
        <v>1350</v>
      </c>
      <c r="C90" s="2115">
        <v>9.8000000000000004E-2</v>
      </c>
      <c r="D90" s="2115">
        <v>9.8000000000000004E-2</v>
      </c>
      <c r="E90" s="2115">
        <v>8.7999999999999995E-2</v>
      </c>
      <c r="F90" s="2127"/>
    </row>
    <row r="91" spans="1:6" ht="14.25" thickBot="1">
      <c r="A91" s="1527" t="s">
        <v>1537</v>
      </c>
      <c r="B91" s="1521" t="s">
        <v>1360</v>
      </c>
      <c r="C91" s="2115">
        <v>9.9000000000000005E-2</v>
      </c>
      <c r="D91" s="2115">
        <v>9.9000000000000005E-2</v>
      </c>
      <c r="E91" s="2115">
        <v>9.0999999999999998E-2</v>
      </c>
      <c r="F91" s="2127"/>
    </row>
    <row r="92" spans="1:6" ht="14.25" thickBot="1">
      <c r="A92" s="1527" t="s">
        <v>1537</v>
      </c>
      <c r="B92" s="1521" t="s">
        <v>1370</v>
      </c>
      <c r="C92" s="2115">
        <v>9.6000000000000002E-2</v>
      </c>
      <c r="D92" s="2115">
        <v>9.6000000000000002E-2</v>
      </c>
      <c r="E92" s="2115">
        <v>7.2999999999999995E-2</v>
      </c>
      <c r="F92" s="2127"/>
    </row>
    <row r="93" spans="1:6" ht="14.25" thickBot="1">
      <c r="A93" s="1527" t="s">
        <v>1537</v>
      </c>
      <c r="B93" s="1521" t="s">
        <v>1380</v>
      </c>
      <c r="C93" s="2115">
        <v>9.6000000000000002E-2</v>
      </c>
      <c r="D93" s="2115">
        <v>9.6000000000000002E-2</v>
      </c>
      <c r="E93" s="2115">
        <v>9.9000000000000005E-2</v>
      </c>
      <c r="F93" s="2127"/>
    </row>
    <row r="94" spans="1:6" ht="14.25" thickBot="1">
      <c r="A94" s="1527" t="s">
        <v>1537</v>
      </c>
      <c r="B94" s="1521" t="s">
        <v>1390</v>
      </c>
      <c r="C94" s="2115">
        <v>7.5999999999999998E-2</v>
      </c>
      <c r="D94" s="2115">
        <v>7.3999999999999996E-2</v>
      </c>
      <c r="E94" s="2115">
        <v>9.7000000000000003E-2</v>
      </c>
      <c r="F94" s="2127"/>
    </row>
    <row r="95" spans="1:6" ht="14.25" thickBot="1">
      <c r="A95" s="1527" t="s">
        <v>1537</v>
      </c>
      <c r="B95" s="1521" t="s">
        <v>1399</v>
      </c>
      <c r="C95" s="2115">
        <v>9.9000000000000005E-2</v>
      </c>
      <c r="D95" s="2115">
        <v>9.4E-2</v>
      </c>
      <c r="E95" s="2115">
        <v>9.6000000000000002E-2</v>
      </c>
      <c r="F95" s="2127"/>
    </row>
    <row r="96" spans="1:6" ht="14.25" thickBot="1">
      <c r="A96" s="1527" t="s">
        <v>1537</v>
      </c>
      <c r="B96" s="1521" t="s">
        <v>1408</v>
      </c>
      <c r="C96" s="2115">
        <v>9.9000000000000005E-2</v>
      </c>
      <c r="D96" s="2115">
        <v>9.9000000000000005E-2</v>
      </c>
      <c r="E96" s="2115">
        <v>9.9000000000000005E-2</v>
      </c>
      <c r="F96" s="2127"/>
    </row>
    <row r="97" spans="1:6" ht="14.25" thickBot="1">
      <c r="A97" s="1527" t="s">
        <v>1537</v>
      </c>
      <c r="B97" s="1521" t="s">
        <v>1416</v>
      </c>
      <c r="C97" s="2115">
        <v>9.8000000000000004E-2</v>
      </c>
      <c r="D97" s="2115">
        <v>9.8000000000000004E-2</v>
      </c>
      <c r="E97" s="2115">
        <v>9.7000000000000003E-2</v>
      </c>
      <c r="F97" s="2127"/>
    </row>
    <row r="98" spans="1:6" ht="14.25" thickBot="1">
      <c r="A98" s="1527" t="s">
        <v>1537</v>
      </c>
      <c r="B98" s="1521" t="s">
        <v>1423</v>
      </c>
      <c r="C98" s="2115">
        <v>0.1</v>
      </c>
      <c r="D98" s="2115">
        <v>0.1</v>
      </c>
      <c r="E98" s="2115">
        <v>9.7000000000000003E-2</v>
      </c>
      <c r="F98" s="2127"/>
    </row>
    <row r="99" spans="1:6" ht="14.25" thickBot="1">
      <c r="A99" s="1527" t="s">
        <v>1537</v>
      </c>
      <c r="B99" s="1521" t="s">
        <v>1430</v>
      </c>
      <c r="C99" s="2115">
        <v>0.1</v>
      </c>
      <c r="D99" s="2115">
        <v>0.1</v>
      </c>
      <c r="E99" s="2128"/>
      <c r="F99" s="2127"/>
    </row>
    <row r="100" spans="1:6" ht="14.25" thickBot="1">
      <c r="A100" s="1527" t="s">
        <v>1537</v>
      </c>
      <c r="B100" s="1521" t="s">
        <v>1437</v>
      </c>
      <c r="C100" s="2115">
        <v>0.09</v>
      </c>
      <c r="D100" s="2115">
        <v>8.8999999999999996E-2</v>
      </c>
      <c r="E100" s="2128"/>
      <c r="F100" s="2127"/>
    </row>
    <row r="101" spans="1:6" ht="14.25" thickBot="1">
      <c r="A101" s="1527" t="s">
        <v>1537</v>
      </c>
      <c r="B101" s="1521" t="s">
        <v>1444</v>
      </c>
      <c r="C101" s="2115">
        <v>9.8000000000000004E-2</v>
      </c>
      <c r="D101" s="2115">
        <v>9.7000000000000003E-2</v>
      </c>
      <c r="E101" s="2128"/>
      <c r="F101" s="2127"/>
    </row>
    <row r="102" spans="1:6" ht="14.25" thickBot="1">
      <c r="A102" s="1527" t="s">
        <v>1537</v>
      </c>
      <c r="B102" s="1521" t="s">
        <v>2150</v>
      </c>
      <c r="C102" s="2128"/>
      <c r="D102" s="2128"/>
      <c r="E102" s="2128"/>
      <c r="F102" s="2116">
        <v>0.05</v>
      </c>
    </row>
    <row r="103" spans="1:6" ht="24.75" thickBot="1">
      <c r="A103" s="1527" t="s">
        <v>1537</v>
      </c>
      <c r="B103" s="1521" t="s">
        <v>2151</v>
      </c>
      <c r="C103" s="2128"/>
      <c r="D103" s="2128"/>
      <c r="E103" s="2128"/>
      <c r="F103" s="2116">
        <v>0.05</v>
      </c>
    </row>
    <row r="104" spans="1:6" ht="14.25" thickBot="1">
      <c r="A104" s="1527" t="s">
        <v>1537</v>
      </c>
      <c r="B104" s="1521" t="s">
        <v>2152</v>
      </c>
      <c r="C104" s="2128"/>
      <c r="D104" s="2128"/>
      <c r="E104" s="2128"/>
      <c r="F104" s="2116">
        <v>0.05</v>
      </c>
    </row>
    <row r="105" spans="1:6" ht="14.25" thickBot="1">
      <c r="A105" s="1527" t="s">
        <v>1537</v>
      </c>
      <c r="B105" s="1521" t="s">
        <v>2153</v>
      </c>
      <c r="C105" s="2128"/>
      <c r="D105" s="2128"/>
      <c r="E105" s="2128"/>
      <c r="F105" s="2116">
        <v>0.05</v>
      </c>
    </row>
    <row r="106" spans="1:6" ht="14.25" thickBot="1">
      <c r="A106" s="1527" t="s">
        <v>1537</v>
      </c>
      <c r="B106" s="1521" t="s">
        <v>2154</v>
      </c>
      <c r="C106" s="2128"/>
      <c r="D106" s="2128"/>
      <c r="E106" s="2128"/>
      <c r="F106" s="2116">
        <v>0.05</v>
      </c>
    </row>
    <row r="107" spans="1:6" ht="24.75" thickBot="1">
      <c r="A107" s="1527" t="s">
        <v>1537</v>
      </c>
      <c r="B107" s="1521" t="s">
        <v>2155</v>
      </c>
      <c r="C107" s="2128"/>
      <c r="D107" s="2128"/>
      <c r="E107" s="2128"/>
      <c r="F107" s="2116">
        <v>0.05</v>
      </c>
    </row>
    <row r="108" spans="1:6" ht="24.75" thickBot="1">
      <c r="A108" s="1527" t="s">
        <v>1537</v>
      </c>
      <c r="B108" s="1521" t="s">
        <v>2156</v>
      </c>
      <c r="C108" s="2128"/>
      <c r="D108" s="2128"/>
      <c r="E108" s="2128"/>
      <c r="F108" s="2116">
        <v>0.05</v>
      </c>
    </row>
    <row r="109" spans="1:6" ht="24.75" thickBot="1">
      <c r="A109" s="1537" t="s">
        <v>1537</v>
      </c>
      <c r="B109" s="1533" t="s">
        <v>2157</v>
      </c>
      <c r="C109" s="2125"/>
      <c r="D109" s="2125"/>
      <c r="E109" s="2125"/>
      <c r="F109" s="2118">
        <v>0.05</v>
      </c>
    </row>
    <row r="110" spans="1:6" ht="14.25" thickBot="1">
      <c r="A110" s="1527" t="s">
        <v>201</v>
      </c>
      <c r="B110" s="1528" t="s">
        <v>2158</v>
      </c>
      <c r="C110" s="2113">
        <v>0.129</v>
      </c>
      <c r="D110" s="2113">
        <v>0.129</v>
      </c>
      <c r="E110" s="2113">
        <v>0.126</v>
      </c>
      <c r="F110" s="2114">
        <v>0.13</v>
      </c>
    </row>
    <row r="111" spans="1:6" ht="14.25" thickBot="1">
      <c r="A111" s="1527" t="s">
        <v>201</v>
      </c>
      <c r="B111" s="1521" t="s">
        <v>1206</v>
      </c>
      <c r="C111" s="2115">
        <v>0.11</v>
      </c>
      <c r="D111" s="2115">
        <v>0.11</v>
      </c>
      <c r="E111" s="2115">
        <v>9.9000000000000005E-2</v>
      </c>
      <c r="F111" s="2116">
        <v>0.128</v>
      </c>
    </row>
    <row r="112" spans="1:6" ht="14.25" thickBot="1">
      <c r="A112" s="1527" t="s">
        <v>201</v>
      </c>
      <c r="B112" s="1521" t="s">
        <v>1219</v>
      </c>
      <c r="C112" s="2115">
        <v>0.125</v>
      </c>
      <c r="D112" s="2115">
        <v>0.125</v>
      </c>
      <c r="E112" s="2115">
        <v>0.12</v>
      </c>
      <c r="F112" s="2116">
        <v>0.125</v>
      </c>
    </row>
    <row r="113" spans="1:6" ht="14.25" thickBot="1">
      <c r="A113" s="1527" t="s">
        <v>201</v>
      </c>
      <c r="B113" s="1521" t="s">
        <v>1232</v>
      </c>
      <c r="C113" s="2115">
        <v>0.13</v>
      </c>
      <c r="D113" s="2115">
        <v>0.13</v>
      </c>
      <c r="E113" s="2115">
        <v>0.13</v>
      </c>
      <c r="F113" s="2116">
        <v>0.13</v>
      </c>
    </row>
    <row r="114" spans="1:6" ht="14.25" thickBot="1">
      <c r="A114" s="1527" t="s">
        <v>201</v>
      </c>
      <c r="B114" s="1521" t="s">
        <v>1244</v>
      </c>
      <c r="C114" s="2115">
        <v>0.123</v>
      </c>
      <c r="D114" s="2115">
        <v>0.123</v>
      </c>
      <c r="E114" s="2115">
        <v>0.12</v>
      </c>
      <c r="F114" s="2116">
        <v>0.13</v>
      </c>
    </row>
    <row r="115" spans="1:6" ht="14.25" thickBot="1">
      <c r="A115" s="1527" t="s">
        <v>201</v>
      </c>
      <c r="B115" s="1521" t="s">
        <v>1255</v>
      </c>
      <c r="C115" s="2115">
        <v>0.125</v>
      </c>
      <c r="D115" s="2115">
        <v>0.125</v>
      </c>
      <c r="E115" s="2115">
        <v>0.11700000000000001</v>
      </c>
      <c r="F115" s="2116">
        <v>0.13</v>
      </c>
    </row>
    <row r="116" spans="1:6" ht="14.25" thickBot="1">
      <c r="A116" s="1527" t="s">
        <v>201</v>
      </c>
      <c r="B116" s="1521" t="s">
        <v>1266</v>
      </c>
      <c r="C116" s="2115">
        <v>0.11700000000000001</v>
      </c>
      <c r="D116" s="2115">
        <v>0.11700000000000001</v>
      </c>
      <c r="E116" s="2115">
        <v>8.7999999999999995E-2</v>
      </c>
      <c r="F116" s="2116">
        <v>0.13</v>
      </c>
    </row>
    <row r="117" spans="1:6" ht="14.25" thickBot="1">
      <c r="A117" s="1527" t="s">
        <v>201</v>
      </c>
      <c r="B117" s="1521" t="s">
        <v>1277</v>
      </c>
      <c r="C117" s="2115">
        <v>0.13</v>
      </c>
      <c r="D117" s="2115">
        <v>0.13</v>
      </c>
      <c r="E117" s="2115">
        <v>0.129</v>
      </c>
      <c r="F117" s="2116">
        <v>0.13</v>
      </c>
    </row>
    <row r="118" spans="1:6" ht="14.25" thickBot="1">
      <c r="A118" s="1527" t="s">
        <v>201</v>
      </c>
      <c r="B118" s="1521" t="s">
        <v>1289</v>
      </c>
      <c r="C118" s="2115">
        <v>0.123</v>
      </c>
      <c r="D118" s="2115">
        <v>0.123</v>
      </c>
      <c r="E118" s="2115">
        <v>0.11600000000000001</v>
      </c>
      <c r="F118" s="2116">
        <v>0.13</v>
      </c>
    </row>
    <row r="119" spans="1:6" ht="14.25" thickBot="1">
      <c r="A119" s="1527" t="s">
        <v>201</v>
      </c>
      <c r="B119" s="1521" t="s">
        <v>1299</v>
      </c>
      <c r="C119" s="2115">
        <v>0.127</v>
      </c>
      <c r="D119" s="2115">
        <v>0.127</v>
      </c>
      <c r="E119" s="2115">
        <v>0.124</v>
      </c>
      <c r="F119" s="2116">
        <v>0.13</v>
      </c>
    </row>
    <row r="120" spans="1:6" ht="14.25" thickBot="1">
      <c r="A120" s="1527" t="s">
        <v>201</v>
      </c>
      <c r="B120" s="1521" t="s">
        <v>1309</v>
      </c>
      <c r="C120" s="2115">
        <v>0.125</v>
      </c>
      <c r="D120" s="2115">
        <v>0.125</v>
      </c>
      <c r="E120" s="2115">
        <v>0.122</v>
      </c>
      <c r="F120" s="2116">
        <v>0.13</v>
      </c>
    </row>
    <row r="121" spans="1:6" ht="14.25" thickBot="1">
      <c r="A121" s="1527" t="s">
        <v>201</v>
      </c>
      <c r="B121" s="1521" t="s">
        <v>1319</v>
      </c>
      <c r="C121" s="2115">
        <v>0.13</v>
      </c>
      <c r="D121" s="2115">
        <v>0.13</v>
      </c>
      <c r="E121" s="2115">
        <v>0.13</v>
      </c>
      <c r="F121" s="2116">
        <v>0.13</v>
      </c>
    </row>
    <row r="122" spans="1:6" ht="14.25" thickBot="1">
      <c r="A122" s="1527" t="s">
        <v>201</v>
      </c>
      <c r="B122" s="1521" t="s">
        <v>1329</v>
      </c>
      <c r="C122" s="2115">
        <v>0.13</v>
      </c>
      <c r="D122" s="2115">
        <v>0.13</v>
      </c>
      <c r="E122" s="2115">
        <v>0.125</v>
      </c>
      <c r="F122" s="2116">
        <v>0.13</v>
      </c>
    </row>
    <row r="123" spans="1:6" ht="14.25" thickBot="1">
      <c r="A123" s="1527" t="s">
        <v>201</v>
      </c>
      <c r="B123" s="1521" t="s">
        <v>1340</v>
      </c>
      <c r="C123" s="2115">
        <v>0.129</v>
      </c>
      <c r="D123" s="2115">
        <v>0.129</v>
      </c>
      <c r="E123" s="2115">
        <v>0.123</v>
      </c>
      <c r="F123" s="2116">
        <v>0.13</v>
      </c>
    </row>
    <row r="124" spans="1:6" ht="14.25" thickBot="1">
      <c r="A124" s="1527" t="s">
        <v>201</v>
      </c>
      <c r="B124" s="1521" t="s">
        <v>1351</v>
      </c>
      <c r="C124" s="2115">
        <v>0.10199999999999999</v>
      </c>
      <c r="D124" s="2115">
        <v>0.10100000000000001</v>
      </c>
      <c r="E124" s="2115">
        <v>0.08</v>
      </c>
      <c r="F124" s="2127"/>
    </row>
    <row r="125" spans="1:6" ht="14.25" thickBot="1">
      <c r="A125" s="1527" t="s">
        <v>201</v>
      </c>
      <c r="B125" s="1521" t="s">
        <v>1361</v>
      </c>
      <c r="C125" s="2115">
        <v>0.13</v>
      </c>
      <c r="D125" s="2115">
        <v>0.13</v>
      </c>
      <c r="E125" s="2115">
        <v>0.129</v>
      </c>
      <c r="F125" s="2127"/>
    </row>
    <row r="126" spans="1:6" ht="14.25" thickBot="1">
      <c r="A126" s="1527" t="s">
        <v>201</v>
      </c>
      <c r="B126" s="1521" t="s">
        <v>1371</v>
      </c>
      <c r="C126" s="2115">
        <v>0.13</v>
      </c>
      <c r="D126" s="2115">
        <v>0.13</v>
      </c>
      <c r="E126" s="2115">
        <v>0.126</v>
      </c>
      <c r="F126" s="2127"/>
    </row>
    <row r="127" spans="1:6" ht="14.25" thickBot="1">
      <c r="A127" s="1527" t="s">
        <v>201</v>
      </c>
      <c r="B127" s="1521" t="s">
        <v>1381</v>
      </c>
      <c r="C127" s="2115">
        <v>0.125</v>
      </c>
      <c r="D127" s="2115">
        <v>0.125</v>
      </c>
      <c r="E127" s="2115">
        <v>0.121</v>
      </c>
      <c r="F127" s="2127"/>
    </row>
    <row r="128" spans="1:6" ht="14.25" thickBot="1">
      <c r="A128" s="1527" t="s">
        <v>201</v>
      </c>
      <c r="B128" s="1521" t="s">
        <v>1391</v>
      </c>
      <c r="C128" s="2115">
        <v>0.12</v>
      </c>
      <c r="D128" s="2115">
        <v>0.12</v>
      </c>
      <c r="E128" s="2115">
        <v>0.105</v>
      </c>
      <c r="F128" s="2127"/>
    </row>
    <row r="129" spans="1:6" ht="14.25" thickBot="1">
      <c r="A129" s="1527" t="s">
        <v>201</v>
      </c>
      <c r="B129" s="1521" t="s">
        <v>1400</v>
      </c>
      <c r="C129" s="2115">
        <v>0.13</v>
      </c>
      <c r="D129" s="2115">
        <v>0.13</v>
      </c>
      <c r="E129" s="2115">
        <v>0.126</v>
      </c>
      <c r="F129" s="2127"/>
    </row>
    <row r="130" spans="1:6" ht="14.25" thickBot="1">
      <c r="A130" s="1527" t="s">
        <v>201</v>
      </c>
      <c r="B130" s="1521" t="s">
        <v>1409</v>
      </c>
      <c r="C130" s="2115">
        <v>0.125</v>
      </c>
      <c r="D130" s="2115">
        <v>0.125</v>
      </c>
      <c r="E130" s="2115">
        <v>0.122</v>
      </c>
      <c r="F130" s="2127"/>
    </row>
    <row r="131" spans="1:6" ht="14.25" thickBot="1">
      <c r="A131" s="1527" t="s">
        <v>201</v>
      </c>
      <c r="B131" s="1521" t="s">
        <v>1417</v>
      </c>
      <c r="C131" s="2115">
        <v>0.127</v>
      </c>
      <c r="D131" s="2115">
        <v>0.126</v>
      </c>
      <c r="E131" s="2115">
        <v>0.123</v>
      </c>
      <c r="F131" s="2127"/>
    </row>
    <row r="132" spans="1:6" ht="14.25" thickBot="1">
      <c r="A132" s="1527" t="s">
        <v>201</v>
      </c>
      <c r="B132" s="1521" t="s">
        <v>1424</v>
      </c>
      <c r="C132" s="2115">
        <v>9.0999999999999998E-2</v>
      </c>
      <c r="D132" s="2115">
        <v>0.121</v>
      </c>
      <c r="E132" s="2115">
        <v>9.9000000000000005E-2</v>
      </c>
      <c r="F132" s="2127"/>
    </row>
    <row r="133" spans="1:6" ht="14.25" thickBot="1">
      <c r="A133" s="1527" t="s">
        <v>201</v>
      </c>
      <c r="B133" s="1521" t="s">
        <v>1431</v>
      </c>
      <c r="C133" s="2115">
        <v>0.13</v>
      </c>
      <c r="D133" s="2115">
        <v>0.13</v>
      </c>
      <c r="E133" s="2115">
        <v>0.129</v>
      </c>
      <c r="F133" s="2127"/>
    </row>
    <row r="134" spans="1:6" ht="14.25" thickBot="1">
      <c r="A134" s="1527" t="s">
        <v>201</v>
      </c>
      <c r="B134" s="1521" t="s">
        <v>2159</v>
      </c>
      <c r="C134" s="2115">
        <v>6.8000000000000005E-2</v>
      </c>
      <c r="D134" s="2115">
        <v>6.5000000000000002E-2</v>
      </c>
      <c r="E134" s="2115">
        <v>6.5000000000000002E-2</v>
      </c>
      <c r="F134" s="2116">
        <v>0.13</v>
      </c>
    </row>
    <row r="135" spans="1:6" ht="14.25" thickBot="1">
      <c r="A135" s="1527" t="s">
        <v>201</v>
      </c>
      <c r="B135" s="1521" t="s">
        <v>1445</v>
      </c>
      <c r="C135" s="2115">
        <v>0.123</v>
      </c>
      <c r="D135" s="2115">
        <v>0.123</v>
      </c>
      <c r="E135" s="2115">
        <v>0.11</v>
      </c>
      <c r="F135" s="2127"/>
    </row>
    <row r="136" spans="1:6" ht="14.25" thickBot="1">
      <c r="A136" s="1527" t="s">
        <v>201</v>
      </c>
      <c r="B136" s="1521" t="s">
        <v>1452</v>
      </c>
      <c r="C136" s="2115">
        <v>0.13</v>
      </c>
      <c r="D136" s="2115">
        <v>0.13</v>
      </c>
      <c r="E136" s="2115">
        <v>0.125</v>
      </c>
      <c r="F136" s="2127"/>
    </row>
    <row r="137" spans="1:6" ht="14.25" thickBot="1">
      <c r="A137" s="1527" t="s">
        <v>201</v>
      </c>
      <c r="B137" s="1521" t="s">
        <v>1459</v>
      </c>
      <c r="C137" s="2115">
        <v>0.121</v>
      </c>
      <c r="D137" s="2115">
        <v>0.122</v>
      </c>
      <c r="E137" s="2115">
        <v>0.115</v>
      </c>
      <c r="F137" s="2127"/>
    </row>
    <row r="138" spans="1:6" ht="14.25" thickBot="1">
      <c r="A138" s="1527" t="s">
        <v>201</v>
      </c>
      <c r="B138" s="1521" t="s">
        <v>2160</v>
      </c>
      <c r="C138" s="2115">
        <v>0.105</v>
      </c>
      <c r="D138" s="2115">
        <v>0.125</v>
      </c>
      <c r="E138" s="2115">
        <v>0.112</v>
      </c>
      <c r="F138" s="2127"/>
    </row>
    <row r="139" spans="1:6" ht="14.25" thickBot="1">
      <c r="A139" s="1527" t="s">
        <v>201</v>
      </c>
      <c r="B139" s="1521" t="s">
        <v>2161</v>
      </c>
      <c r="C139" s="2115">
        <v>0.127</v>
      </c>
      <c r="D139" s="2115">
        <v>0.127</v>
      </c>
      <c r="E139" s="2115">
        <v>0.122</v>
      </c>
      <c r="F139" s="2116">
        <v>0.13</v>
      </c>
    </row>
    <row r="140" spans="1:6" ht="14.25" thickBot="1">
      <c r="A140" s="1527" t="s">
        <v>201</v>
      </c>
      <c r="B140" s="1521" t="s">
        <v>2162</v>
      </c>
      <c r="C140" s="2115">
        <v>0.125</v>
      </c>
      <c r="D140" s="2115">
        <v>0.125</v>
      </c>
      <c r="E140" s="2115">
        <v>0.11899999999999999</v>
      </c>
      <c r="F140" s="2116">
        <v>0.13</v>
      </c>
    </row>
    <row r="141" spans="1:6" ht="14.25" thickBot="1">
      <c r="A141" s="1527" t="s">
        <v>201</v>
      </c>
      <c r="B141" s="1521" t="s">
        <v>1478</v>
      </c>
      <c r="C141" s="2115">
        <v>0.125</v>
      </c>
      <c r="D141" s="2115">
        <v>0.125</v>
      </c>
      <c r="E141" s="2115">
        <v>0.11700000000000001</v>
      </c>
      <c r="F141" s="2127"/>
    </row>
    <row r="142" spans="1:6" ht="14.25" thickBot="1">
      <c r="A142" s="1527" t="s">
        <v>201</v>
      </c>
      <c r="B142" s="1521" t="s">
        <v>1483</v>
      </c>
      <c r="C142" s="2115">
        <v>0.125</v>
      </c>
      <c r="D142" s="2115">
        <v>0.125</v>
      </c>
      <c r="E142" s="2115">
        <v>0.115</v>
      </c>
      <c r="F142" s="2127"/>
    </row>
    <row r="143" spans="1:6" ht="14.25" thickBot="1">
      <c r="A143" s="1527" t="s">
        <v>201</v>
      </c>
      <c r="B143" s="1521" t="s">
        <v>1488</v>
      </c>
      <c r="C143" s="2115">
        <v>0.121</v>
      </c>
      <c r="D143" s="2115">
        <v>0.121</v>
      </c>
      <c r="E143" s="2115">
        <v>0.108</v>
      </c>
      <c r="F143" s="2127"/>
    </row>
    <row r="144" spans="1:6" ht="14.25" thickBot="1">
      <c r="A144" s="1527" t="s">
        <v>201</v>
      </c>
      <c r="B144" s="2119" t="s">
        <v>2163</v>
      </c>
      <c r="C144" s="2120">
        <v>0.126</v>
      </c>
      <c r="D144" s="2120">
        <v>0.126</v>
      </c>
      <c r="E144" s="2120">
        <v>0.121</v>
      </c>
      <c r="F144" s="2127"/>
    </row>
    <row r="145" spans="1:6" ht="14.25" thickBot="1">
      <c r="A145" s="1537" t="s">
        <v>201</v>
      </c>
      <c r="B145" s="2121" t="s">
        <v>2164</v>
      </c>
      <c r="C145" s="2129"/>
      <c r="D145" s="2129"/>
      <c r="E145" s="2129"/>
      <c r="F145" s="2122">
        <v>0.05</v>
      </c>
    </row>
    <row r="146" spans="1:6" ht="24.75" thickBot="1">
      <c r="A146" s="2123" t="s">
        <v>201</v>
      </c>
      <c r="B146" s="1531" t="s">
        <v>2165</v>
      </c>
      <c r="C146" s="2128"/>
      <c r="D146" s="2128"/>
      <c r="E146" s="2128"/>
      <c r="F146" s="2124">
        <v>0.05</v>
      </c>
    </row>
    <row r="147" spans="1:6" ht="24.75" thickBot="1">
      <c r="A147" s="1527" t="s">
        <v>201</v>
      </c>
      <c r="B147" s="1521" t="s">
        <v>2166</v>
      </c>
      <c r="C147" s="2128"/>
      <c r="D147" s="2128"/>
      <c r="E147" s="2128"/>
      <c r="F147" s="2116">
        <v>0.05</v>
      </c>
    </row>
    <row r="148" spans="1:6" ht="24.75" thickBot="1">
      <c r="A148" s="1527" t="s">
        <v>201</v>
      </c>
      <c r="B148" s="1521" t="s">
        <v>2167</v>
      </c>
      <c r="C148" s="2128"/>
      <c r="D148" s="2128"/>
      <c r="E148" s="2128"/>
      <c r="F148" s="2116">
        <v>0.05</v>
      </c>
    </row>
    <row r="149" spans="1:6" ht="24.75" thickBot="1">
      <c r="A149" s="1527" t="s">
        <v>201</v>
      </c>
      <c r="B149" s="1521" t="s">
        <v>2168</v>
      </c>
      <c r="C149" s="2128"/>
      <c r="D149" s="2128"/>
      <c r="E149" s="2128"/>
      <c r="F149" s="2116">
        <v>0.05</v>
      </c>
    </row>
    <row r="150" spans="1:6" ht="24.75" thickBot="1">
      <c r="A150" s="1527" t="s">
        <v>201</v>
      </c>
      <c r="B150" s="1521" t="s">
        <v>2169</v>
      </c>
      <c r="C150" s="2128"/>
      <c r="D150" s="2128"/>
      <c r="E150" s="2128"/>
      <c r="F150" s="2116">
        <v>0.05</v>
      </c>
    </row>
    <row r="151" spans="1:6" ht="24.75" thickBot="1">
      <c r="A151" s="1527" t="s">
        <v>201</v>
      </c>
      <c r="B151" s="1521" t="s">
        <v>2170</v>
      </c>
      <c r="C151" s="2128"/>
      <c r="D151" s="2128"/>
      <c r="E151" s="2128"/>
      <c r="F151" s="2116">
        <v>0.05</v>
      </c>
    </row>
    <row r="152" spans="1:6" ht="24.75" thickBot="1">
      <c r="A152" s="1527" t="s">
        <v>201</v>
      </c>
      <c r="B152" s="1521" t="s">
        <v>1521</v>
      </c>
      <c r="C152" s="2128"/>
      <c r="D152" s="2128"/>
      <c r="E152" s="2128"/>
      <c r="F152" s="2116">
        <v>0.05</v>
      </c>
    </row>
    <row r="153" spans="1:6" ht="14.25" thickBot="1">
      <c r="A153" s="1527" t="s">
        <v>201</v>
      </c>
      <c r="B153" s="1521" t="s">
        <v>2171</v>
      </c>
      <c r="C153" s="2128"/>
      <c r="D153" s="2128"/>
      <c r="E153" s="2128"/>
      <c r="F153" s="2116">
        <v>0.05</v>
      </c>
    </row>
    <row r="154" spans="1:6" ht="14.25" thickBot="1">
      <c r="A154" s="1527" t="s">
        <v>201</v>
      </c>
      <c r="B154" s="1521" t="s">
        <v>2172</v>
      </c>
      <c r="C154" s="2128"/>
      <c r="D154" s="2128"/>
      <c r="E154" s="2128"/>
      <c r="F154" s="2116">
        <v>0.05</v>
      </c>
    </row>
    <row r="155" spans="1:6" ht="24.75" thickBot="1">
      <c r="A155" s="1527" t="s">
        <v>201</v>
      </c>
      <c r="B155" s="1521" t="s">
        <v>2173</v>
      </c>
      <c r="C155" s="2128"/>
      <c r="D155" s="2128"/>
      <c r="E155" s="2128"/>
      <c r="F155" s="2116">
        <v>0.05</v>
      </c>
    </row>
    <row r="156" spans="1:6" ht="24.75" thickBot="1">
      <c r="A156" s="1527" t="s">
        <v>201</v>
      </c>
      <c r="B156" s="1521" t="s">
        <v>2174</v>
      </c>
      <c r="C156" s="2128"/>
      <c r="D156" s="2128"/>
      <c r="E156" s="2128"/>
      <c r="F156" s="2116">
        <v>0.05</v>
      </c>
    </row>
    <row r="157" spans="1:6" ht="14.25" thickBot="1">
      <c r="A157" s="1537" t="s">
        <v>201</v>
      </c>
      <c r="B157" s="1533" t="s">
        <v>2175</v>
      </c>
      <c r="C157" s="2125"/>
      <c r="D157" s="2125"/>
      <c r="E157" s="2125"/>
      <c r="F157" s="2118">
        <v>0.05</v>
      </c>
    </row>
    <row r="158" spans="1:6" ht="14.25" thickBot="1">
      <c r="A158" s="1527" t="s">
        <v>1540</v>
      </c>
      <c r="B158" s="1528" t="s">
        <v>2176</v>
      </c>
      <c r="C158" s="2113">
        <v>0.13</v>
      </c>
      <c r="D158" s="2113">
        <v>0.13</v>
      </c>
      <c r="E158" s="2113">
        <v>0.13</v>
      </c>
      <c r="F158" s="2114">
        <v>0.13</v>
      </c>
    </row>
    <row r="159" spans="1:6" ht="14.25" thickBot="1">
      <c r="A159" s="1527" t="s">
        <v>1540</v>
      </c>
      <c r="B159" s="1521" t="s">
        <v>1207</v>
      </c>
      <c r="C159" s="2115">
        <v>0.13</v>
      </c>
      <c r="D159" s="2115">
        <v>0.13</v>
      </c>
      <c r="E159" s="2115">
        <v>0.13</v>
      </c>
      <c r="F159" s="2116">
        <v>0.13</v>
      </c>
    </row>
    <row r="160" spans="1:6" ht="14.25" thickBot="1">
      <c r="A160" s="1527" t="s">
        <v>1540</v>
      </c>
      <c r="B160" s="1521" t="s">
        <v>1220</v>
      </c>
      <c r="C160" s="2115">
        <v>0.13</v>
      </c>
      <c r="D160" s="2115">
        <v>0.13</v>
      </c>
      <c r="E160" s="2115">
        <v>0.129</v>
      </c>
      <c r="F160" s="2116">
        <v>0.13</v>
      </c>
    </row>
    <row r="161" spans="1:6" ht="14.25" thickBot="1">
      <c r="A161" s="1527" t="s">
        <v>1540</v>
      </c>
      <c r="B161" s="1521" t="s">
        <v>1233</v>
      </c>
      <c r="C161" s="2115">
        <v>0.128</v>
      </c>
      <c r="D161" s="2115">
        <v>0.128</v>
      </c>
      <c r="E161" s="2115">
        <v>0.125</v>
      </c>
      <c r="F161" s="2116">
        <v>0.13</v>
      </c>
    </row>
    <row r="162" spans="1:6" ht="14.25" thickBot="1">
      <c r="A162" s="1527" t="s">
        <v>1540</v>
      </c>
      <c r="B162" s="1521" t="s">
        <v>1245</v>
      </c>
      <c r="C162" s="2115">
        <v>0.122</v>
      </c>
      <c r="D162" s="2115">
        <v>0.122</v>
      </c>
      <c r="E162" s="2115">
        <v>0.126</v>
      </c>
      <c r="F162" s="2116">
        <v>0.122</v>
      </c>
    </row>
    <row r="163" spans="1:6" ht="14.25" thickBot="1">
      <c r="A163" s="1527" t="s">
        <v>1540</v>
      </c>
      <c r="B163" s="1521" t="s">
        <v>1256</v>
      </c>
      <c r="C163" s="2115">
        <v>0.13</v>
      </c>
      <c r="D163" s="2115">
        <v>0.13</v>
      </c>
      <c r="E163" s="2115">
        <v>0.125</v>
      </c>
      <c r="F163" s="2116">
        <v>0.13</v>
      </c>
    </row>
    <row r="164" spans="1:6" ht="14.25" thickBot="1">
      <c r="A164" s="1527" t="s">
        <v>1540</v>
      </c>
      <c r="B164" s="1521" t="s">
        <v>1267</v>
      </c>
      <c r="C164" s="2115">
        <v>0.13</v>
      </c>
      <c r="D164" s="2115">
        <v>0.13</v>
      </c>
      <c r="E164" s="2115">
        <v>0.13</v>
      </c>
      <c r="F164" s="2116">
        <v>0.13</v>
      </c>
    </row>
    <row r="165" spans="1:6" ht="14.25" thickBot="1">
      <c r="A165" s="1527" t="s">
        <v>1540</v>
      </c>
      <c r="B165" s="1521" t="s">
        <v>1278</v>
      </c>
      <c r="C165" s="2115">
        <v>0.13</v>
      </c>
      <c r="D165" s="2115">
        <v>0.13</v>
      </c>
      <c r="E165" s="2115">
        <v>0.124</v>
      </c>
      <c r="F165" s="2116">
        <v>0.13</v>
      </c>
    </row>
    <row r="166" spans="1:6" ht="14.25" thickBot="1">
      <c r="A166" s="1527" t="s">
        <v>1540</v>
      </c>
      <c r="B166" s="1521" t="s">
        <v>1290</v>
      </c>
      <c r="C166" s="2115">
        <v>0.13</v>
      </c>
      <c r="D166" s="2115">
        <v>0.13</v>
      </c>
      <c r="E166" s="2115">
        <v>0.13</v>
      </c>
      <c r="F166" s="2116">
        <v>0.13</v>
      </c>
    </row>
    <row r="167" spans="1:6" ht="14.25" thickBot="1">
      <c r="A167" s="1527" t="s">
        <v>1540</v>
      </c>
      <c r="B167" s="1521" t="s">
        <v>1300</v>
      </c>
      <c r="C167" s="2115">
        <v>0.125</v>
      </c>
      <c r="D167" s="2115">
        <v>0.125</v>
      </c>
      <c r="E167" s="2115">
        <v>0.121</v>
      </c>
      <c r="F167" s="2127"/>
    </row>
    <row r="168" spans="1:6" ht="14.25" thickBot="1">
      <c r="A168" s="1527" t="s">
        <v>1540</v>
      </c>
      <c r="B168" s="1521" t="s">
        <v>1310</v>
      </c>
      <c r="C168" s="2115">
        <v>0.13</v>
      </c>
      <c r="D168" s="2115">
        <v>0.13</v>
      </c>
      <c r="E168" s="2115">
        <v>0.126</v>
      </c>
      <c r="F168" s="2127"/>
    </row>
    <row r="169" spans="1:6" ht="14.25" thickBot="1">
      <c r="A169" s="1527" t="s">
        <v>1540</v>
      </c>
      <c r="B169" s="1521" t="s">
        <v>1320</v>
      </c>
      <c r="C169" s="2115">
        <v>0.128</v>
      </c>
      <c r="D169" s="2115">
        <v>0.129</v>
      </c>
      <c r="E169" s="2115">
        <v>0.13</v>
      </c>
      <c r="F169" s="2127"/>
    </row>
    <row r="170" spans="1:6" ht="14.25" thickBot="1">
      <c r="A170" s="1527" t="s">
        <v>1540</v>
      </c>
      <c r="B170" s="1521" t="s">
        <v>1330</v>
      </c>
      <c r="C170" s="2115">
        <v>0.14099999999999999</v>
      </c>
      <c r="D170" s="2115">
        <v>0.13</v>
      </c>
      <c r="E170" s="2115">
        <v>0.125</v>
      </c>
      <c r="F170" s="2127"/>
    </row>
    <row r="171" spans="1:6" ht="14.25" thickBot="1">
      <c r="A171" s="1527" t="s">
        <v>1540</v>
      </c>
      <c r="B171" s="1521" t="s">
        <v>2177</v>
      </c>
      <c r="C171" s="2115">
        <v>0.127</v>
      </c>
      <c r="D171" s="2115">
        <v>0.126</v>
      </c>
      <c r="E171" s="2115">
        <v>0.126</v>
      </c>
      <c r="F171" s="2116">
        <v>0.11799999999999999</v>
      </c>
    </row>
    <row r="172" spans="1:6" ht="14.25" thickBot="1">
      <c r="A172" s="1527" t="s">
        <v>1540</v>
      </c>
      <c r="B172" s="1521" t="s">
        <v>2178</v>
      </c>
      <c r="C172" s="2115">
        <v>0.13</v>
      </c>
      <c r="D172" s="2115">
        <v>0.13</v>
      </c>
      <c r="E172" s="2115">
        <v>0.13</v>
      </c>
      <c r="F172" s="2127"/>
    </row>
    <row r="173" spans="1:6" ht="14.25" thickBot="1">
      <c r="A173" s="1527" t="s">
        <v>1540</v>
      </c>
      <c r="B173" s="1521" t="s">
        <v>1362</v>
      </c>
      <c r="C173" s="2115">
        <v>0.13</v>
      </c>
      <c r="D173" s="2115">
        <v>0.13</v>
      </c>
      <c r="E173" s="2115">
        <v>0.13</v>
      </c>
      <c r="F173" s="2127"/>
    </row>
    <row r="174" spans="1:6" ht="14.25" thickBot="1">
      <c r="A174" s="1527" t="s">
        <v>1540</v>
      </c>
      <c r="B174" s="1521" t="s">
        <v>2179</v>
      </c>
      <c r="C174" s="2115">
        <v>0.13</v>
      </c>
      <c r="D174" s="2115">
        <v>0.13</v>
      </c>
      <c r="E174" s="2115">
        <v>0.13</v>
      </c>
      <c r="F174" s="2116">
        <v>0.13</v>
      </c>
    </row>
    <row r="175" spans="1:6" ht="14.25" thickBot="1">
      <c r="A175" s="1527" t="s">
        <v>1540</v>
      </c>
      <c r="B175" s="1521" t="s">
        <v>2180</v>
      </c>
      <c r="C175" s="2115">
        <v>0.13</v>
      </c>
      <c r="D175" s="2115">
        <v>0.13</v>
      </c>
      <c r="E175" s="2115">
        <v>0.13</v>
      </c>
      <c r="F175" s="2116">
        <v>0.13</v>
      </c>
    </row>
    <row r="176" spans="1:6" ht="14.25" thickBot="1">
      <c r="A176" s="1527" t="s">
        <v>1540</v>
      </c>
      <c r="B176" s="1521" t="s">
        <v>1392</v>
      </c>
      <c r="C176" s="2115">
        <v>0.13</v>
      </c>
      <c r="D176" s="2115">
        <v>0.13</v>
      </c>
      <c r="E176" s="2115">
        <v>0.13</v>
      </c>
      <c r="F176" s="2116">
        <v>0.13</v>
      </c>
    </row>
    <row r="177" spans="1:6" ht="14.25" thickBot="1">
      <c r="A177" s="1527" t="s">
        <v>1540</v>
      </c>
      <c r="B177" s="1521" t="s">
        <v>2181</v>
      </c>
      <c r="C177" s="2115">
        <v>0.13</v>
      </c>
      <c r="D177" s="2115">
        <v>0.13</v>
      </c>
      <c r="E177" s="2115">
        <v>0.13</v>
      </c>
      <c r="F177" s="2116">
        <v>0.13</v>
      </c>
    </row>
    <row r="178" spans="1:6" ht="14.25" thickBot="1">
      <c r="A178" s="1527" t="s">
        <v>1540</v>
      </c>
      <c r="B178" s="1521" t="s">
        <v>1410</v>
      </c>
      <c r="C178" s="2115">
        <v>0.13</v>
      </c>
      <c r="D178" s="2115">
        <v>0.13</v>
      </c>
      <c r="E178" s="2115">
        <v>0.13</v>
      </c>
      <c r="F178" s="2116">
        <v>0.127</v>
      </c>
    </row>
    <row r="179" spans="1:6" ht="14.25" thickBot="1">
      <c r="A179" s="1527" t="s">
        <v>1540</v>
      </c>
      <c r="B179" s="1521" t="s">
        <v>1418</v>
      </c>
      <c r="C179" s="2115">
        <v>0.13</v>
      </c>
      <c r="D179" s="2115">
        <v>0.13</v>
      </c>
      <c r="E179" s="2115">
        <v>0.13</v>
      </c>
      <c r="F179" s="2127"/>
    </row>
    <row r="180" spans="1:6" ht="14.25" thickBot="1">
      <c r="A180" s="1527" t="s">
        <v>1540</v>
      </c>
      <c r="B180" s="1521" t="s">
        <v>2182</v>
      </c>
      <c r="C180" s="2115">
        <v>0.13</v>
      </c>
      <c r="D180" s="2115">
        <v>0.13</v>
      </c>
      <c r="E180" s="2115">
        <v>0.125</v>
      </c>
      <c r="F180" s="2116">
        <v>0.13</v>
      </c>
    </row>
    <row r="181" spans="1:6" ht="14.25" thickBot="1">
      <c r="A181" s="1527" t="s">
        <v>1540</v>
      </c>
      <c r="B181" s="1521" t="s">
        <v>1432</v>
      </c>
      <c r="C181" s="2115">
        <v>0.122</v>
      </c>
      <c r="D181" s="2115">
        <v>0.123</v>
      </c>
      <c r="E181" s="2115">
        <v>0.126</v>
      </c>
      <c r="F181" s="2116">
        <v>0.121</v>
      </c>
    </row>
    <row r="182" spans="1:6" ht="14.25" thickBot="1">
      <c r="A182" s="1527" t="s">
        <v>1540</v>
      </c>
      <c r="B182" s="1521" t="s">
        <v>1439</v>
      </c>
      <c r="C182" s="2115">
        <v>0.125</v>
      </c>
      <c r="D182" s="2115">
        <v>0.125</v>
      </c>
      <c r="E182" s="2115">
        <v>0.11700000000000001</v>
      </c>
      <c r="F182" s="2116">
        <v>0.13</v>
      </c>
    </row>
    <row r="183" spans="1:6" ht="14.25" thickBot="1">
      <c r="A183" s="1527" t="s">
        <v>1540</v>
      </c>
      <c r="B183" s="1521" t="s">
        <v>1446</v>
      </c>
      <c r="C183" s="2115">
        <v>0.127</v>
      </c>
      <c r="D183" s="2115">
        <v>0.127</v>
      </c>
      <c r="E183" s="2115">
        <v>0.128</v>
      </c>
      <c r="F183" s="2127"/>
    </row>
    <row r="184" spans="1:6" ht="14.25" thickBot="1">
      <c r="A184" s="1527" t="s">
        <v>1540</v>
      </c>
      <c r="B184" s="1521" t="s">
        <v>1453</v>
      </c>
      <c r="C184" s="2115">
        <v>0.125</v>
      </c>
      <c r="D184" s="2115">
        <v>0.125</v>
      </c>
      <c r="E184" s="2115">
        <v>0.127</v>
      </c>
      <c r="F184" s="2127"/>
    </row>
    <row r="185" spans="1:6" ht="14.25" thickBot="1">
      <c r="A185" s="1527" t="s">
        <v>1540</v>
      </c>
      <c r="B185" s="1521" t="s">
        <v>2183</v>
      </c>
      <c r="C185" s="2115">
        <v>0.127</v>
      </c>
      <c r="D185" s="2115">
        <v>0.127</v>
      </c>
      <c r="E185" s="2115">
        <v>0.128</v>
      </c>
      <c r="F185" s="2116">
        <v>0.13</v>
      </c>
    </row>
    <row r="186" spans="1:6" ht="24.75" thickBot="1">
      <c r="A186" s="1527" t="s">
        <v>1540</v>
      </c>
      <c r="B186" s="1521" t="s">
        <v>2184</v>
      </c>
      <c r="C186" s="2128"/>
      <c r="D186" s="2128"/>
      <c r="E186" s="2128"/>
      <c r="F186" s="2116">
        <v>0.05</v>
      </c>
    </row>
    <row r="187" spans="1:6" ht="14.25" thickBot="1">
      <c r="A187" s="1527" t="s">
        <v>1540</v>
      </c>
      <c r="B187" s="1521" t="s">
        <v>2185</v>
      </c>
      <c r="C187" s="2128"/>
      <c r="D187" s="2128"/>
      <c r="E187" s="2128"/>
      <c r="F187" s="2116">
        <v>0.05</v>
      </c>
    </row>
    <row r="188" spans="1:6" ht="14.25" thickBot="1">
      <c r="A188" s="1527" t="s">
        <v>1540</v>
      </c>
      <c r="B188" s="1521" t="s">
        <v>2186</v>
      </c>
      <c r="C188" s="2128"/>
      <c r="D188" s="2128"/>
      <c r="E188" s="2128"/>
      <c r="F188" s="2116">
        <v>0.05</v>
      </c>
    </row>
    <row r="189" spans="1:6" ht="24.75" thickBot="1">
      <c r="A189" s="1527" t="s">
        <v>1540</v>
      </c>
      <c r="B189" s="1521" t="s">
        <v>2187</v>
      </c>
      <c r="C189" s="2128"/>
      <c r="D189" s="2128"/>
      <c r="E189" s="2128"/>
      <c r="F189" s="2116">
        <v>0.05</v>
      </c>
    </row>
    <row r="190" spans="1:6" ht="24.75" thickBot="1">
      <c r="A190" s="1527" t="s">
        <v>1540</v>
      </c>
      <c r="B190" s="1521" t="s">
        <v>2188</v>
      </c>
      <c r="C190" s="2128"/>
      <c r="D190" s="2128"/>
      <c r="E190" s="2128"/>
      <c r="F190" s="2116">
        <v>0.05</v>
      </c>
    </row>
    <row r="191" spans="1:6" ht="24.75" thickBot="1">
      <c r="A191" s="1527" t="s">
        <v>1540</v>
      </c>
      <c r="B191" s="1521" t="s">
        <v>2189</v>
      </c>
      <c r="C191" s="2128"/>
      <c r="D191" s="2128"/>
      <c r="E191" s="2128"/>
      <c r="F191" s="2116">
        <v>0.05</v>
      </c>
    </row>
    <row r="192" spans="1:6" ht="24.75" thickBot="1">
      <c r="A192" s="1527" t="s">
        <v>1540</v>
      </c>
      <c r="B192" s="1521" t="s">
        <v>2190</v>
      </c>
      <c r="C192" s="2128"/>
      <c r="D192" s="2128"/>
      <c r="E192" s="2128"/>
      <c r="F192" s="2116">
        <v>0.05</v>
      </c>
    </row>
    <row r="193" spans="1:6" ht="24.75" thickBot="1">
      <c r="A193" s="1527" t="s">
        <v>1540</v>
      </c>
      <c r="B193" s="1521" t="s">
        <v>2191</v>
      </c>
      <c r="C193" s="2128"/>
      <c r="D193" s="2128"/>
      <c r="E193" s="2128"/>
      <c r="F193" s="2116">
        <v>0.05</v>
      </c>
    </row>
    <row r="194" spans="1:6" ht="24.75" thickBot="1">
      <c r="A194" s="1527" t="s">
        <v>1540</v>
      </c>
      <c r="B194" s="1521" t="s">
        <v>2192</v>
      </c>
      <c r="C194" s="2128"/>
      <c r="D194" s="2128"/>
      <c r="E194" s="2128"/>
      <c r="F194" s="2116">
        <v>0.05</v>
      </c>
    </row>
    <row r="195" spans="1:6" ht="14.25" thickBot="1">
      <c r="A195" s="1527" t="s">
        <v>1540</v>
      </c>
      <c r="B195" s="1521" t="s">
        <v>2193</v>
      </c>
      <c r="C195" s="2128"/>
      <c r="D195" s="2128"/>
      <c r="E195" s="2128"/>
      <c r="F195" s="2116">
        <v>0.05</v>
      </c>
    </row>
    <row r="196" spans="1:6" ht="24.75" thickBot="1">
      <c r="A196" s="1527" t="s">
        <v>1540</v>
      </c>
      <c r="B196" s="1521" t="s">
        <v>2194</v>
      </c>
      <c r="C196" s="2128"/>
      <c r="D196" s="2128"/>
      <c r="E196" s="2128"/>
      <c r="F196" s="2116">
        <v>0.05</v>
      </c>
    </row>
    <row r="197" spans="1:6" ht="24.75" thickBot="1">
      <c r="A197" s="1527" t="s">
        <v>1540</v>
      </c>
      <c r="B197" s="1521" t="s">
        <v>2195</v>
      </c>
      <c r="C197" s="2128"/>
      <c r="D197" s="2128"/>
      <c r="E197" s="2128"/>
      <c r="F197" s="2116">
        <v>0.05</v>
      </c>
    </row>
    <row r="198" spans="1:6" ht="24.75" thickBot="1">
      <c r="A198" s="1527" t="s">
        <v>1540</v>
      </c>
      <c r="B198" s="1521" t="s">
        <v>2196</v>
      </c>
      <c r="C198" s="2128"/>
      <c r="D198" s="2128"/>
      <c r="E198" s="2128"/>
      <c r="F198" s="2116">
        <v>0.05</v>
      </c>
    </row>
    <row r="199" spans="1:6" ht="24.75" thickBot="1">
      <c r="A199" s="1527" t="s">
        <v>1540</v>
      </c>
      <c r="B199" s="1521" t="s">
        <v>2197</v>
      </c>
      <c r="C199" s="2128"/>
      <c r="D199" s="2128"/>
      <c r="E199" s="2128"/>
      <c r="F199" s="2116">
        <v>0.05</v>
      </c>
    </row>
    <row r="200" spans="1:6" ht="24.75" thickBot="1">
      <c r="A200" s="1527" t="s">
        <v>1540</v>
      </c>
      <c r="B200" s="1521" t="s">
        <v>2198</v>
      </c>
      <c r="C200" s="2128"/>
      <c r="D200" s="2128"/>
      <c r="E200" s="2128"/>
      <c r="F200" s="2116">
        <v>0.05</v>
      </c>
    </row>
    <row r="201" spans="1:6" ht="24.75" thickBot="1">
      <c r="A201" s="1527" t="s">
        <v>1540</v>
      </c>
      <c r="B201" s="1521" t="s">
        <v>2199</v>
      </c>
      <c r="C201" s="2128"/>
      <c r="D201" s="2128"/>
      <c r="E201" s="2128"/>
      <c r="F201" s="2116">
        <v>0.05</v>
      </c>
    </row>
    <row r="202" spans="1:6" ht="24.75" thickBot="1">
      <c r="A202" s="1527" t="s">
        <v>1540</v>
      </c>
      <c r="B202" s="1521" t="s">
        <v>2200</v>
      </c>
      <c r="C202" s="2128"/>
      <c r="D202" s="2128"/>
      <c r="E202" s="2128"/>
      <c r="F202" s="2116">
        <v>0.05</v>
      </c>
    </row>
    <row r="203" spans="1:6" ht="24.75" thickBot="1">
      <c r="A203" s="1527" t="s">
        <v>1540</v>
      </c>
      <c r="B203" s="1521" t="s">
        <v>2201</v>
      </c>
      <c r="C203" s="2128"/>
      <c r="D203" s="2128"/>
      <c r="E203" s="2128"/>
      <c r="F203" s="2116">
        <v>0.05</v>
      </c>
    </row>
    <row r="204" spans="1:6" ht="14.25" thickBot="1">
      <c r="A204" s="1527" t="s">
        <v>1540</v>
      </c>
      <c r="B204" s="1521" t="s">
        <v>2202</v>
      </c>
      <c r="C204" s="2128"/>
      <c r="D204" s="2128"/>
      <c r="E204" s="2128"/>
      <c r="F204" s="2116">
        <v>0.05</v>
      </c>
    </row>
    <row r="205" spans="1:6" ht="14.25" thickBot="1">
      <c r="A205" s="1537" t="s">
        <v>1540</v>
      </c>
      <c r="B205" s="1533" t="s">
        <v>2203</v>
      </c>
      <c r="C205" s="2125"/>
      <c r="D205" s="2125"/>
      <c r="E205" s="2125"/>
      <c r="F205" s="2118">
        <v>0.05</v>
      </c>
    </row>
    <row r="206" spans="1:6" ht="14.25" thickBot="1">
      <c r="A206" s="1527" t="s">
        <v>1542</v>
      </c>
      <c r="B206" s="1528" t="s">
        <v>2204</v>
      </c>
      <c r="C206" s="2113">
        <v>0.15</v>
      </c>
      <c r="D206" s="2113">
        <v>0.15</v>
      </c>
      <c r="E206" s="2113">
        <v>0.15</v>
      </c>
      <c r="F206" s="2114">
        <v>0.15</v>
      </c>
    </row>
    <row r="207" spans="1:6" ht="14.25" thickBot="1">
      <c r="A207" s="1527" t="s">
        <v>1542</v>
      </c>
      <c r="B207" s="1521" t="s">
        <v>1208</v>
      </c>
      <c r="C207" s="2115">
        <v>0.15</v>
      </c>
      <c r="D207" s="2115">
        <v>0.15</v>
      </c>
      <c r="E207" s="2115">
        <v>0.15</v>
      </c>
      <c r="F207" s="2116">
        <v>0.14399999999999999</v>
      </c>
    </row>
    <row r="208" spans="1:6" ht="14.25" thickBot="1">
      <c r="A208" s="1527" t="s">
        <v>1542</v>
      </c>
      <c r="B208" s="1521" t="s">
        <v>1221</v>
      </c>
      <c r="C208" s="2115">
        <v>0.15</v>
      </c>
      <c r="D208" s="2115">
        <v>0.15</v>
      </c>
      <c r="E208" s="2115">
        <v>0.15</v>
      </c>
      <c r="F208" s="2116">
        <v>0.15</v>
      </c>
    </row>
    <row r="209" spans="1:6" ht="14.25" thickBot="1">
      <c r="A209" s="1527" t="s">
        <v>1542</v>
      </c>
      <c r="B209" s="1521" t="s">
        <v>1234</v>
      </c>
      <c r="C209" s="2115">
        <v>0.13700000000000001</v>
      </c>
      <c r="D209" s="2115">
        <v>0.13700000000000001</v>
      </c>
      <c r="E209" s="2115">
        <v>0.14000000000000001</v>
      </c>
      <c r="F209" s="2116">
        <v>0.11700000000000001</v>
      </c>
    </row>
    <row r="210" spans="1:6" ht="14.25" thickBot="1">
      <c r="A210" s="1527" t="s">
        <v>1542</v>
      </c>
      <c r="B210" s="1521" t="s">
        <v>2205</v>
      </c>
      <c r="C210" s="2115">
        <v>0.15</v>
      </c>
      <c r="D210" s="2115">
        <v>0.15</v>
      </c>
      <c r="E210" s="2115">
        <v>0.15</v>
      </c>
      <c r="F210" s="2116">
        <v>0.13800000000000001</v>
      </c>
    </row>
    <row r="211" spans="1:6" ht="14.25" thickBot="1">
      <c r="A211" s="1527" t="s">
        <v>1542</v>
      </c>
      <c r="B211" s="1521" t="s">
        <v>2206</v>
      </c>
      <c r="C211" s="2115">
        <v>0.13700000000000001</v>
      </c>
      <c r="D211" s="2115">
        <v>0.13500000000000001</v>
      </c>
      <c r="E211" s="2115">
        <v>0.13600000000000001</v>
      </c>
      <c r="F211" s="2116">
        <v>0.1</v>
      </c>
    </row>
    <row r="212" spans="1:6" ht="14.25" thickBot="1">
      <c r="A212" s="1527" t="s">
        <v>1542</v>
      </c>
      <c r="B212" s="1521" t="s">
        <v>2207</v>
      </c>
      <c r="C212" s="2115">
        <v>0.15</v>
      </c>
      <c r="D212" s="2115">
        <v>0.15</v>
      </c>
      <c r="E212" s="2115">
        <v>0.14799999999999999</v>
      </c>
      <c r="F212" s="2116">
        <v>0.13600000000000001</v>
      </c>
    </row>
    <row r="213" spans="1:6" ht="14.25" thickBot="1">
      <c r="A213" s="1527" t="s">
        <v>1542</v>
      </c>
      <c r="B213" s="1521" t="s">
        <v>1279</v>
      </c>
      <c r="C213" s="2115">
        <v>0.15</v>
      </c>
      <c r="D213" s="2115">
        <v>0.15</v>
      </c>
      <c r="E213" s="2115">
        <v>0.15</v>
      </c>
      <c r="F213" s="2116">
        <v>0.13800000000000001</v>
      </c>
    </row>
    <row r="214" spans="1:6" ht="14.25" thickBot="1">
      <c r="A214" s="1527" t="s">
        <v>1542</v>
      </c>
      <c r="B214" s="1521" t="s">
        <v>1291</v>
      </c>
      <c r="C214" s="2115">
        <v>9.0999999999999998E-2</v>
      </c>
      <c r="D214" s="2115">
        <v>0.09</v>
      </c>
      <c r="E214" s="2115">
        <v>9.1999999999999998E-2</v>
      </c>
      <c r="F214" s="2127"/>
    </row>
    <row r="215" spans="1:6" ht="14.25" thickBot="1">
      <c r="A215" s="1527" t="s">
        <v>1542</v>
      </c>
      <c r="B215" s="1521" t="s">
        <v>2208</v>
      </c>
      <c r="C215" s="2115">
        <v>0.15</v>
      </c>
      <c r="D215" s="2115">
        <v>0.15</v>
      </c>
      <c r="E215" s="2115">
        <v>0.15</v>
      </c>
      <c r="F215" s="2116">
        <v>0.15</v>
      </c>
    </row>
    <row r="216" spans="1:6" ht="14.25" thickBot="1">
      <c r="A216" s="1527" t="s">
        <v>1542</v>
      </c>
      <c r="B216" s="1521" t="s">
        <v>1311</v>
      </c>
      <c r="C216" s="2115">
        <v>0.14699999999999999</v>
      </c>
      <c r="D216" s="2115">
        <v>0.14699999999999999</v>
      </c>
      <c r="E216" s="2115">
        <v>0.15</v>
      </c>
      <c r="F216" s="2116">
        <v>0.14000000000000001</v>
      </c>
    </row>
    <row r="217" spans="1:6" ht="14.25" thickBot="1">
      <c r="A217" s="1527" t="s">
        <v>1542</v>
      </c>
      <c r="B217" s="1521" t="s">
        <v>1321</v>
      </c>
      <c r="C217" s="2115">
        <v>0.15</v>
      </c>
      <c r="D217" s="2115">
        <v>0.15</v>
      </c>
      <c r="E217" s="2115">
        <v>0.15</v>
      </c>
      <c r="F217" s="2116">
        <v>0.15</v>
      </c>
    </row>
    <row r="218" spans="1:6" ht="14.25" thickBot="1">
      <c r="A218" s="1527" t="s">
        <v>1542</v>
      </c>
      <c r="B218" s="1521" t="s">
        <v>2209</v>
      </c>
      <c r="C218" s="2115">
        <v>0.15</v>
      </c>
      <c r="D218" s="2115">
        <v>0.15</v>
      </c>
      <c r="E218" s="2115">
        <v>0.15</v>
      </c>
      <c r="F218" s="2116">
        <v>0.15</v>
      </c>
    </row>
    <row r="219" spans="1:6" ht="14.25" thickBot="1">
      <c r="A219" s="1527" t="s">
        <v>1542</v>
      </c>
      <c r="B219" s="1521" t="s">
        <v>1342</v>
      </c>
      <c r="C219" s="2115">
        <v>0.15</v>
      </c>
      <c r="D219" s="2115">
        <v>0.15</v>
      </c>
      <c r="E219" s="2115">
        <v>0.15</v>
      </c>
      <c r="F219" s="2116">
        <v>0.14799999999999999</v>
      </c>
    </row>
    <row r="220" spans="1:6" ht="14.25" thickBot="1">
      <c r="A220" s="1527" t="s">
        <v>1542</v>
      </c>
      <c r="B220" s="1521" t="s">
        <v>2210</v>
      </c>
      <c r="C220" s="2115">
        <v>0.15</v>
      </c>
      <c r="D220" s="2115">
        <v>0.15</v>
      </c>
      <c r="E220" s="2115">
        <v>0.15</v>
      </c>
      <c r="F220" s="2116">
        <v>0.15</v>
      </c>
    </row>
    <row r="221" spans="1:6" ht="14.25" thickBot="1">
      <c r="A221" s="1527" t="s">
        <v>1542</v>
      </c>
      <c r="B221" s="1521" t="s">
        <v>1363</v>
      </c>
      <c r="C221" s="2115"/>
      <c r="D221" s="2128"/>
      <c r="E221" s="2128"/>
      <c r="F221" s="2116">
        <v>0.14799999999999999</v>
      </c>
    </row>
    <row r="222" spans="1:6" ht="14.25" thickBot="1">
      <c r="A222" s="1527" t="s">
        <v>1542</v>
      </c>
      <c r="B222" s="1521" t="s">
        <v>1373</v>
      </c>
      <c r="C222" s="2115"/>
      <c r="D222" s="2128"/>
      <c r="E222" s="2128"/>
      <c r="F222" s="2116">
        <v>0.1</v>
      </c>
    </row>
    <row r="223" spans="1:6" ht="14.25" thickBot="1">
      <c r="A223" s="1527" t="s">
        <v>1542</v>
      </c>
      <c r="B223" s="1521" t="s">
        <v>1383</v>
      </c>
      <c r="C223" s="2115"/>
      <c r="D223" s="2128"/>
      <c r="E223" s="2128"/>
      <c r="F223" s="2116">
        <v>0.15</v>
      </c>
    </row>
    <row r="224" spans="1:6" ht="14.25" thickBot="1">
      <c r="A224" s="1527" t="s">
        <v>1542</v>
      </c>
      <c r="B224" s="1521" t="s">
        <v>1393</v>
      </c>
      <c r="C224" s="2115"/>
      <c r="D224" s="2128"/>
      <c r="E224" s="2128"/>
      <c r="F224" s="2116">
        <v>0.15</v>
      </c>
    </row>
    <row r="225" spans="1:6" ht="14.25" thickBot="1">
      <c r="A225" s="1527" t="s">
        <v>1542</v>
      </c>
      <c r="B225" s="1521" t="s">
        <v>2211</v>
      </c>
      <c r="C225" s="2115">
        <v>0.15</v>
      </c>
      <c r="D225" s="2115">
        <v>0.15</v>
      </c>
      <c r="E225" s="2115">
        <v>0.15</v>
      </c>
      <c r="F225" s="2116">
        <v>0.15</v>
      </c>
    </row>
    <row r="226" spans="1:6" ht="14.25" thickBot="1">
      <c r="A226" s="1527" t="s">
        <v>1542</v>
      </c>
      <c r="B226" s="1521" t="s">
        <v>1411</v>
      </c>
      <c r="C226" s="2115">
        <v>0.15</v>
      </c>
      <c r="D226" s="2115">
        <v>0.15</v>
      </c>
      <c r="E226" s="2115">
        <v>0.15</v>
      </c>
      <c r="F226" s="2116">
        <v>0.14799999999999999</v>
      </c>
    </row>
    <row r="227" spans="1:6" ht="14.25" thickBot="1">
      <c r="A227" s="1527" t="s">
        <v>1542</v>
      </c>
      <c r="B227" s="1521" t="s">
        <v>2212</v>
      </c>
      <c r="C227" s="2115">
        <v>0.15</v>
      </c>
      <c r="D227" s="2115">
        <v>0.15</v>
      </c>
      <c r="E227" s="2115">
        <v>0.15</v>
      </c>
      <c r="F227" s="2116">
        <v>0.15</v>
      </c>
    </row>
    <row r="228" spans="1:6" ht="14.25" thickBot="1">
      <c r="A228" s="1527" t="s">
        <v>1542</v>
      </c>
      <c r="B228" s="1521" t="s">
        <v>1426</v>
      </c>
      <c r="C228" s="2115">
        <v>0.15</v>
      </c>
      <c r="D228" s="2115">
        <v>0.15</v>
      </c>
      <c r="E228" s="2115">
        <v>0.15</v>
      </c>
      <c r="F228" s="2116">
        <v>0.15</v>
      </c>
    </row>
    <row r="229" spans="1:6" ht="14.25" thickBot="1">
      <c r="A229" s="1527" t="s">
        <v>1542</v>
      </c>
      <c r="B229" s="1521" t="s">
        <v>1433</v>
      </c>
      <c r="C229" s="2115">
        <v>0.15</v>
      </c>
      <c r="D229" s="2115">
        <v>0.15</v>
      </c>
      <c r="E229" s="2115">
        <v>0.15</v>
      </c>
      <c r="F229" s="2127"/>
    </row>
    <row r="230" spans="1:6" ht="14.25" thickBot="1">
      <c r="A230" s="1527" t="s">
        <v>1542</v>
      </c>
      <c r="B230" s="1521" t="s">
        <v>1440</v>
      </c>
      <c r="C230" s="2115">
        <v>0.14499999999999999</v>
      </c>
      <c r="D230" s="2115">
        <v>0.14499999999999999</v>
      </c>
      <c r="E230" s="2115">
        <v>0.14399999999999999</v>
      </c>
      <c r="F230" s="2127"/>
    </row>
    <row r="231" spans="1:6" ht="14.25" thickBot="1">
      <c r="A231" s="1527" t="s">
        <v>1542</v>
      </c>
      <c r="B231" s="1521" t="s">
        <v>2213</v>
      </c>
      <c r="C231" s="2115">
        <v>0.128</v>
      </c>
      <c r="D231" s="2115">
        <v>0.125</v>
      </c>
      <c r="E231" s="2115">
        <v>0.13200000000000001</v>
      </c>
      <c r="F231" s="2127"/>
    </row>
    <row r="232" spans="1:6" ht="14.25" thickBot="1">
      <c r="A232" s="1527" t="s">
        <v>1542</v>
      </c>
      <c r="B232" s="1521" t="s">
        <v>2214</v>
      </c>
      <c r="C232" s="2115">
        <v>0.14499999999999999</v>
      </c>
      <c r="D232" s="2115">
        <v>0.14399999999999999</v>
      </c>
      <c r="E232" s="2115">
        <v>0.14599999999999999</v>
      </c>
      <c r="F232" s="2116">
        <v>0.13800000000000001</v>
      </c>
    </row>
    <row r="233" spans="1:6" ht="14.25" thickBot="1">
      <c r="A233" s="1527" t="s">
        <v>1542</v>
      </c>
      <c r="B233" s="1521" t="s">
        <v>2215</v>
      </c>
      <c r="C233" s="2115">
        <v>0.14499999999999999</v>
      </c>
      <c r="D233" s="2115">
        <v>0.14299999999999999</v>
      </c>
      <c r="E233" s="2115">
        <v>0.14199999999999999</v>
      </c>
      <c r="F233" s="2127"/>
    </row>
    <row r="234" spans="1:6" ht="14.25" thickBot="1">
      <c r="A234" s="1527" t="s">
        <v>1542</v>
      </c>
      <c r="B234" s="1521" t="s">
        <v>2216</v>
      </c>
      <c r="C234" s="2115">
        <v>0.14000000000000001</v>
      </c>
      <c r="D234" s="2115">
        <v>0.14000000000000001</v>
      </c>
      <c r="E234" s="2115">
        <v>0.14399999999999999</v>
      </c>
      <c r="F234" s="2127"/>
    </row>
    <row r="235" spans="1:6" ht="14.25" thickBot="1">
      <c r="A235" s="1527" t="s">
        <v>1542</v>
      </c>
      <c r="B235" s="1521" t="s">
        <v>2217</v>
      </c>
      <c r="C235" s="2115">
        <v>0.14099999999999999</v>
      </c>
      <c r="D235" s="2115">
        <v>0.14199999999999999</v>
      </c>
      <c r="E235" s="2115">
        <v>0.14499999999999999</v>
      </c>
      <c r="F235" s="2116">
        <v>0.15</v>
      </c>
    </row>
    <row r="236" spans="1:6" ht="14.25" thickBot="1">
      <c r="A236" s="1527" t="s">
        <v>1542</v>
      </c>
      <c r="B236" s="1521" t="s">
        <v>1475</v>
      </c>
      <c r="C236" s="2128"/>
      <c r="D236" s="2128"/>
      <c r="E236" s="2128"/>
      <c r="F236" s="2116">
        <v>0.14299999999999999</v>
      </c>
    </row>
    <row r="237" spans="1:6" ht="24.75" thickBot="1">
      <c r="A237" s="1527" t="s">
        <v>1542</v>
      </c>
      <c r="B237" s="1521" t="s">
        <v>2218</v>
      </c>
      <c r="C237" s="2128"/>
      <c r="D237" s="2128"/>
      <c r="E237" s="2128"/>
      <c r="F237" s="2116">
        <v>0.05</v>
      </c>
    </row>
    <row r="238" spans="1:6" ht="24.75" thickBot="1">
      <c r="A238" s="1527" t="s">
        <v>1542</v>
      </c>
      <c r="B238" s="1521" t="s">
        <v>2219</v>
      </c>
      <c r="C238" s="2128"/>
      <c r="D238" s="2128"/>
      <c r="E238" s="2128"/>
      <c r="F238" s="2116">
        <v>0.05</v>
      </c>
    </row>
    <row r="239" spans="1:6" ht="24.75" thickBot="1">
      <c r="A239" s="1527" t="s">
        <v>1542</v>
      </c>
      <c r="B239" s="1521" t="s">
        <v>2220</v>
      </c>
      <c r="C239" s="2128"/>
      <c r="D239" s="2128"/>
      <c r="E239" s="2128"/>
      <c r="F239" s="2116">
        <v>0.05</v>
      </c>
    </row>
    <row r="240" spans="1:6" ht="24.75" thickBot="1">
      <c r="A240" s="1527" t="s">
        <v>1542</v>
      </c>
      <c r="B240" s="1521" t="s">
        <v>2221</v>
      </c>
      <c r="C240" s="2128"/>
      <c r="D240" s="2128"/>
      <c r="E240" s="2128"/>
      <c r="F240" s="2116">
        <v>0.05</v>
      </c>
    </row>
    <row r="241" spans="1:6" ht="24.75" thickBot="1">
      <c r="A241" s="1527" t="s">
        <v>1542</v>
      </c>
      <c r="B241" s="1521" t="s">
        <v>2222</v>
      </c>
      <c r="C241" s="2128"/>
      <c r="D241" s="2128"/>
      <c r="E241" s="2128"/>
      <c r="F241" s="2116">
        <v>0.05</v>
      </c>
    </row>
    <row r="242" spans="1:6" ht="24.75" thickBot="1">
      <c r="A242" s="1527" t="s">
        <v>1542</v>
      </c>
      <c r="B242" s="1521" t="s">
        <v>2223</v>
      </c>
      <c r="C242" s="2128"/>
      <c r="D242" s="2128"/>
      <c r="E242" s="2128"/>
      <c r="F242" s="2116">
        <v>0.05</v>
      </c>
    </row>
    <row r="243" spans="1:6" ht="24.75" thickBot="1">
      <c r="A243" s="1527" t="s">
        <v>1542</v>
      </c>
      <c r="B243" s="1521" t="s">
        <v>2224</v>
      </c>
      <c r="C243" s="2128"/>
      <c r="D243" s="2128"/>
      <c r="E243" s="2128"/>
      <c r="F243" s="2116">
        <v>0.05</v>
      </c>
    </row>
    <row r="244" spans="1:6" ht="24.75" thickBot="1">
      <c r="A244" s="1537" t="s">
        <v>1542</v>
      </c>
      <c r="B244" s="1533" t="s">
        <v>2225</v>
      </c>
      <c r="C244" s="2125"/>
      <c r="D244" s="2125"/>
      <c r="E244" s="2125"/>
      <c r="F244" s="2118">
        <v>0.05</v>
      </c>
    </row>
    <row r="245" spans="1:6" ht="14.25" thickBot="1">
      <c r="A245" s="1527" t="s">
        <v>1544</v>
      </c>
      <c r="B245" s="1528" t="s">
        <v>2226</v>
      </c>
      <c r="C245" s="2113">
        <v>0.15</v>
      </c>
      <c r="D245" s="2113">
        <v>0.15</v>
      </c>
      <c r="E245" s="2113">
        <v>0.15</v>
      </c>
      <c r="F245" s="2114">
        <v>0.14299999999999999</v>
      </c>
    </row>
    <row r="246" spans="1:6" ht="14.25" thickBot="1">
      <c r="A246" s="1527" t="s">
        <v>1544</v>
      </c>
      <c r="B246" s="1521" t="s">
        <v>1209</v>
      </c>
      <c r="C246" s="2115">
        <v>0.15</v>
      </c>
      <c r="D246" s="2115">
        <v>0.15</v>
      </c>
      <c r="E246" s="2115">
        <v>0.15</v>
      </c>
      <c r="F246" s="2116">
        <v>0.114</v>
      </c>
    </row>
    <row r="247" spans="1:6" ht="14.25" thickBot="1">
      <c r="A247" s="1527" t="s">
        <v>1544</v>
      </c>
      <c r="B247" s="1521" t="s">
        <v>2227</v>
      </c>
      <c r="C247" s="2115">
        <v>0.15</v>
      </c>
      <c r="D247" s="2115">
        <v>0.15</v>
      </c>
      <c r="E247" s="2115">
        <v>0.15</v>
      </c>
      <c r="F247" s="2116">
        <v>0.15</v>
      </c>
    </row>
    <row r="248" spans="1:6" ht="14.25" thickBot="1">
      <c r="A248" s="1527" t="s">
        <v>1544</v>
      </c>
      <c r="B248" s="1521" t="s">
        <v>2228</v>
      </c>
      <c r="C248" s="2115">
        <v>0.15</v>
      </c>
      <c r="D248" s="2115">
        <v>0.15</v>
      </c>
      <c r="E248" s="2115">
        <v>0.15</v>
      </c>
      <c r="F248" s="2116">
        <v>0.14000000000000001</v>
      </c>
    </row>
    <row r="249" spans="1:6" ht="14.25" thickBot="1">
      <c r="A249" s="1527" t="s">
        <v>1544</v>
      </c>
      <c r="B249" s="1521" t="s">
        <v>2229</v>
      </c>
      <c r="C249" s="2115">
        <v>0.15</v>
      </c>
      <c r="D249" s="2115">
        <v>0.14899999999999999</v>
      </c>
      <c r="E249" s="2115">
        <v>0.15</v>
      </c>
      <c r="F249" s="2116">
        <v>0.1</v>
      </c>
    </row>
    <row r="250" spans="1:6" ht="14.25" thickBot="1">
      <c r="A250" s="1527" t="s">
        <v>1544</v>
      </c>
      <c r="B250" s="1521" t="s">
        <v>2230</v>
      </c>
      <c r="C250" s="2115">
        <v>0.15</v>
      </c>
      <c r="D250" s="2115">
        <v>0.15</v>
      </c>
      <c r="E250" s="2115">
        <v>0.15</v>
      </c>
      <c r="F250" s="2116">
        <v>0.14399999999999999</v>
      </c>
    </row>
    <row r="251" spans="1:6" ht="14.25" thickBot="1">
      <c r="A251" s="1527" t="s">
        <v>1544</v>
      </c>
      <c r="B251" s="1521" t="s">
        <v>1269</v>
      </c>
      <c r="C251" s="2115">
        <v>0.15</v>
      </c>
      <c r="D251" s="2115">
        <v>0.15</v>
      </c>
      <c r="E251" s="2115">
        <v>0.15</v>
      </c>
      <c r="F251" s="2116">
        <v>0.14299999999999999</v>
      </c>
    </row>
    <row r="252" spans="1:6" ht="14.25" thickBot="1">
      <c r="A252" s="1527" t="s">
        <v>1544</v>
      </c>
      <c r="B252" s="1521" t="s">
        <v>1280</v>
      </c>
      <c r="C252" s="2115">
        <v>0.15</v>
      </c>
      <c r="D252" s="2115">
        <v>0.15</v>
      </c>
      <c r="E252" s="2115">
        <v>0.15</v>
      </c>
      <c r="F252" s="2116">
        <v>0.1</v>
      </c>
    </row>
    <row r="253" spans="1:6" ht="14.25" thickBot="1">
      <c r="A253" s="1527" t="s">
        <v>1544</v>
      </c>
      <c r="B253" s="1521" t="s">
        <v>1292</v>
      </c>
      <c r="C253" s="2115">
        <v>0.15</v>
      </c>
      <c r="D253" s="2115">
        <v>0.15</v>
      </c>
      <c r="E253" s="2115">
        <v>0.15</v>
      </c>
      <c r="F253" s="2116">
        <v>0.1</v>
      </c>
    </row>
    <row r="254" spans="1:6" ht="14.25" thickBot="1">
      <c r="A254" s="1527" t="s">
        <v>1544</v>
      </c>
      <c r="B254" s="1521" t="s">
        <v>1302</v>
      </c>
      <c r="C254" s="2128"/>
      <c r="D254" s="2128"/>
      <c r="E254" s="2128"/>
      <c r="F254" s="2116">
        <v>0.15</v>
      </c>
    </row>
    <row r="255" spans="1:6" ht="14.25" thickBot="1">
      <c r="A255" s="1527" t="s">
        <v>1544</v>
      </c>
      <c r="B255" s="1521" t="s">
        <v>1312</v>
      </c>
      <c r="C255" s="2128"/>
      <c r="D255" s="2128"/>
      <c r="E255" s="2128"/>
      <c r="F255" s="2116">
        <v>0.14299999999999999</v>
      </c>
    </row>
    <row r="256" spans="1:6" ht="14.25" thickBot="1">
      <c r="A256" s="1527" t="s">
        <v>1544</v>
      </c>
      <c r="B256" s="1521" t="s">
        <v>2231</v>
      </c>
      <c r="C256" s="2115">
        <v>0.14599999999999999</v>
      </c>
      <c r="D256" s="2115">
        <v>0.14699999999999999</v>
      </c>
      <c r="E256" s="2115">
        <v>0.15</v>
      </c>
      <c r="F256" s="2116">
        <v>0.13200000000000001</v>
      </c>
    </row>
    <row r="257" spans="1:6" ht="14.25" thickBot="1">
      <c r="A257" s="1527" t="s">
        <v>1544</v>
      </c>
      <c r="B257" s="1521" t="s">
        <v>1332</v>
      </c>
      <c r="C257" s="2115">
        <v>0.15</v>
      </c>
      <c r="D257" s="2115">
        <v>0.15</v>
      </c>
      <c r="E257" s="2115">
        <v>0.15</v>
      </c>
      <c r="F257" s="2116">
        <v>0.13900000000000001</v>
      </c>
    </row>
    <row r="258" spans="1:6" ht="14.25" thickBot="1">
      <c r="A258" s="1527" t="s">
        <v>1544</v>
      </c>
      <c r="B258" s="1521" t="s">
        <v>1343</v>
      </c>
      <c r="C258" s="2115">
        <v>0.15</v>
      </c>
      <c r="D258" s="2115">
        <v>0.15</v>
      </c>
      <c r="E258" s="2115">
        <v>0.15</v>
      </c>
      <c r="F258" s="2116">
        <v>0.13</v>
      </c>
    </row>
    <row r="259" spans="1:6" ht="14.25" thickBot="1">
      <c r="A259" s="1527" t="s">
        <v>1544</v>
      </c>
      <c r="B259" s="1521" t="s">
        <v>2232</v>
      </c>
      <c r="C259" s="2115">
        <v>0.14799999999999999</v>
      </c>
      <c r="D259" s="2115">
        <v>0.14899999999999999</v>
      </c>
      <c r="E259" s="2115">
        <v>0.15</v>
      </c>
      <c r="F259" s="2116">
        <v>0.13700000000000001</v>
      </c>
    </row>
    <row r="260" spans="1:6" ht="14.25" thickBot="1">
      <c r="A260" s="1527" t="s">
        <v>1544</v>
      </c>
      <c r="B260" s="1521" t="s">
        <v>1364</v>
      </c>
      <c r="C260" s="2115">
        <v>0.15</v>
      </c>
      <c r="D260" s="2115">
        <v>0.15</v>
      </c>
      <c r="E260" s="2115">
        <v>0.15</v>
      </c>
      <c r="F260" s="2116">
        <v>0.14199999999999999</v>
      </c>
    </row>
    <row r="261" spans="1:6" ht="14.25" thickBot="1">
      <c r="A261" s="1527" t="s">
        <v>1544</v>
      </c>
      <c r="B261" s="1521" t="s">
        <v>1374</v>
      </c>
      <c r="C261" s="2115">
        <v>0.15</v>
      </c>
      <c r="D261" s="2115">
        <v>0.15</v>
      </c>
      <c r="E261" s="2115">
        <v>0.14899999999999999</v>
      </c>
      <c r="F261" s="2116">
        <v>0.14799999999999999</v>
      </c>
    </row>
    <row r="262" spans="1:6" ht="14.25" thickBot="1">
      <c r="A262" s="1527" t="s">
        <v>1544</v>
      </c>
      <c r="B262" s="1521" t="s">
        <v>1384</v>
      </c>
      <c r="C262" s="2115">
        <v>0.15</v>
      </c>
      <c r="D262" s="2115">
        <v>0.15</v>
      </c>
      <c r="E262" s="2115">
        <v>0.15</v>
      </c>
      <c r="F262" s="2127"/>
    </row>
    <row r="263" spans="1:6" ht="14.25" thickBot="1">
      <c r="A263" s="1527" t="s">
        <v>1544</v>
      </c>
      <c r="B263" s="1521" t="s">
        <v>2233</v>
      </c>
      <c r="C263" s="2115">
        <v>0.14899999999999999</v>
      </c>
      <c r="D263" s="2115">
        <v>0.14899999999999999</v>
      </c>
      <c r="E263" s="2115">
        <v>0.15</v>
      </c>
      <c r="F263" s="2116">
        <v>0.13</v>
      </c>
    </row>
    <row r="264" spans="1:6" ht="14.25" thickBot="1">
      <c r="A264" s="1527" t="s">
        <v>1544</v>
      </c>
      <c r="B264" s="1521" t="s">
        <v>1403</v>
      </c>
      <c r="C264" s="2115">
        <v>0.14799999999999999</v>
      </c>
      <c r="D264" s="2115">
        <v>0.14699999999999999</v>
      </c>
      <c r="E264" s="2115">
        <v>0.15</v>
      </c>
      <c r="F264" s="2116">
        <v>7.8E-2</v>
      </c>
    </row>
    <row r="265" spans="1:6" ht="14.25" thickBot="1">
      <c r="A265" s="1527" t="s">
        <v>1544</v>
      </c>
      <c r="B265" s="1521" t="s">
        <v>1412</v>
      </c>
      <c r="C265" s="2115">
        <v>0.15</v>
      </c>
      <c r="D265" s="2115">
        <v>0.15</v>
      </c>
      <c r="E265" s="2115">
        <v>0.15</v>
      </c>
      <c r="F265" s="2116">
        <v>7.3999999999999996E-2</v>
      </c>
    </row>
    <row r="266" spans="1:6" ht="14.25" thickBot="1">
      <c r="A266" s="1527" t="s">
        <v>1544</v>
      </c>
      <c r="B266" s="1521" t="s">
        <v>1420</v>
      </c>
      <c r="C266" s="2115">
        <v>0.14699999999999999</v>
      </c>
      <c r="D266" s="2115">
        <v>0.14699999999999999</v>
      </c>
      <c r="E266" s="2115">
        <v>0.15</v>
      </c>
      <c r="F266" s="2116">
        <v>0.14299999999999999</v>
      </c>
    </row>
    <row r="267" spans="1:6" ht="14.25" thickBot="1">
      <c r="A267" s="1527" t="s">
        <v>1544</v>
      </c>
      <c r="B267" s="1521" t="s">
        <v>1427</v>
      </c>
      <c r="C267" s="2115">
        <v>0.14199999999999999</v>
      </c>
      <c r="D267" s="2115">
        <v>0.14299999999999999</v>
      </c>
      <c r="E267" s="2115">
        <v>0.15</v>
      </c>
      <c r="F267" s="2127"/>
    </row>
    <row r="268" spans="1:6" ht="14.25" thickBot="1">
      <c r="A268" s="1527" t="s">
        <v>1544</v>
      </c>
      <c r="B268" s="1521" t="s">
        <v>2234</v>
      </c>
      <c r="C268" s="2115">
        <v>0.15</v>
      </c>
      <c r="D268" s="2115">
        <v>0.15</v>
      </c>
      <c r="E268" s="2115">
        <v>0.15</v>
      </c>
      <c r="F268" s="2116">
        <v>0.13</v>
      </c>
    </row>
    <row r="269" spans="1:6" ht="14.25" thickBot="1">
      <c r="A269" s="1527" t="s">
        <v>1544</v>
      </c>
      <c r="B269" s="1521" t="s">
        <v>1441</v>
      </c>
      <c r="C269" s="2115">
        <v>0.15</v>
      </c>
      <c r="D269" s="2115">
        <v>0.15</v>
      </c>
      <c r="E269" s="2115">
        <v>0.15</v>
      </c>
      <c r="F269" s="2116">
        <v>0.14299999999999999</v>
      </c>
    </row>
    <row r="270" spans="1:6" ht="14.25" thickBot="1">
      <c r="A270" s="1527" t="s">
        <v>1544</v>
      </c>
      <c r="B270" s="1521" t="s">
        <v>1448</v>
      </c>
      <c r="C270" s="2115">
        <v>0.14499999999999999</v>
      </c>
      <c r="D270" s="2115">
        <v>0.14499999999999999</v>
      </c>
      <c r="E270" s="2115">
        <v>0.15</v>
      </c>
      <c r="F270" s="2116">
        <v>0.14699999999999999</v>
      </c>
    </row>
    <row r="271" spans="1:6" ht="14.25" thickBot="1">
      <c r="A271" s="1527" t="s">
        <v>1544</v>
      </c>
      <c r="B271" s="1521" t="s">
        <v>1455</v>
      </c>
      <c r="C271" s="2115">
        <v>0.15</v>
      </c>
      <c r="D271" s="2115">
        <v>0.15</v>
      </c>
      <c r="E271" s="2115">
        <v>0.15</v>
      </c>
      <c r="F271" s="2116">
        <v>0.13800000000000001</v>
      </c>
    </row>
    <row r="272" spans="1:6" ht="14.25" thickBot="1">
      <c r="A272" s="1527" t="s">
        <v>1544</v>
      </c>
      <c r="B272" s="1521" t="s">
        <v>1462</v>
      </c>
      <c r="C272" s="2128"/>
      <c r="D272" s="2128"/>
      <c r="E272" s="2128"/>
      <c r="F272" s="2116">
        <v>0.14000000000000001</v>
      </c>
    </row>
    <row r="273" spans="1:6" ht="14.25" thickBot="1">
      <c r="A273" s="1527" t="s">
        <v>1544</v>
      </c>
      <c r="B273" s="1521" t="s">
        <v>2235</v>
      </c>
      <c r="C273" s="2115">
        <v>0.14199999999999999</v>
      </c>
      <c r="D273" s="2115">
        <v>0.14299999999999999</v>
      </c>
      <c r="E273" s="2115">
        <v>0.15</v>
      </c>
      <c r="F273" s="2116">
        <v>0.1</v>
      </c>
    </row>
    <row r="274" spans="1:6" ht="14.25" thickBot="1">
      <c r="A274" s="1527" t="s">
        <v>1544</v>
      </c>
      <c r="B274" s="1521" t="s">
        <v>2236</v>
      </c>
      <c r="C274" s="2115">
        <v>0.14799999999999999</v>
      </c>
      <c r="D274" s="2115">
        <v>0.14799999999999999</v>
      </c>
      <c r="E274" s="2115">
        <v>0.15</v>
      </c>
      <c r="F274" s="2116">
        <v>6.7000000000000004E-2</v>
      </c>
    </row>
    <row r="275" spans="1:6" ht="14.25" thickBot="1">
      <c r="A275" s="1527" t="s">
        <v>1544</v>
      </c>
      <c r="B275" s="1521" t="s">
        <v>2237</v>
      </c>
      <c r="C275" s="2115">
        <v>0.15</v>
      </c>
      <c r="D275" s="2115">
        <v>0.15</v>
      </c>
      <c r="E275" s="2115">
        <v>0.15</v>
      </c>
      <c r="F275" s="2116">
        <v>0.15</v>
      </c>
    </row>
    <row r="276" spans="1:6" ht="14.25" thickBot="1">
      <c r="A276" s="1527" t="s">
        <v>1544</v>
      </c>
      <c r="B276" s="1521" t="s">
        <v>2238</v>
      </c>
      <c r="C276" s="2115">
        <v>0.14499999999999999</v>
      </c>
      <c r="D276" s="2115">
        <v>0.14299999999999999</v>
      </c>
      <c r="E276" s="2115">
        <v>0.15</v>
      </c>
      <c r="F276" s="2116">
        <v>5.8999999999999997E-2</v>
      </c>
    </row>
    <row r="277" spans="1:6" ht="14.25" thickBot="1">
      <c r="A277" s="1527" t="s">
        <v>1544</v>
      </c>
      <c r="B277" s="1521" t="s">
        <v>2239</v>
      </c>
      <c r="C277" s="2115">
        <v>0.15</v>
      </c>
      <c r="D277" s="2115">
        <v>0.15</v>
      </c>
      <c r="E277" s="2115">
        <v>0.15</v>
      </c>
      <c r="F277" s="2116">
        <v>0.121</v>
      </c>
    </row>
    <row r="278" spans="1:6" ht="14.25" thickBot="1">
      <c r="A278" s="1527" t="s">
        <v>1544</v>
      </c>
      <c r="B278" s="1521" t="s">
        <v>2240</v>
      </c>
      <c r="C278" s="2115">
        <v>0.15</v>
      </c>
      <c r="D278" s="2115">
        <v>0.15</v>
      </c>
      <c r="E278" s="2115">
        <v>0.15</v>
      </c>
      <c r="F278" s="2116">
        <v>0.13800000000000001</v>
      </c>
    </row>
    <row r="279" spans="1:6" ht="24.75" thickBot="1">
      <c r="A279" s="1527" t="s">
        <v>1544</v>
      </c>
      <c r="B279" s="1521" t="s">
        <v>2241</v>
      </c>
      <c r="C279" s="2128"/>
      <c r="D279" s="2128"/>
      <c r="E279" s="2128"/>
      <c r="F279" s="2116">
        <v>0.05</v>
      </c>
    </row>
    <row r="280" spans="1:6" ht="24.75" thickBot="1">
      <c r="A280" s="1527" t="s">
        <v>1544</v>
      </c>
      <c r="B280" s="1521" t="s">
        <v>2242</v>
      </c>
      <c r="C280" s="2128"/>
      <c r="D280" s="2128"/>
      <c r="E280" s="2128"/>
      <c r="F280" s="2116">
        <v>0.05</v>
      </c>
    </row>
    <row r="281" spans="1:6" ht="24.75" thickBot="1">
      <c r="A281" s="1527" t="s">
        <v>1544</v>
      </c>
      <c r="B281" s="1521" t="s">
        <v>2243</v>
      </c>
      <c r="C281" s="2128"/>
      <c r="D281" s="2128"/>
      <c r="E281" s="2128"/>
      <c r="F281" s="2116">
        <v>0.05</v>
      </c>
    </row>
    <row r="282" spans="1:6" ht="24.75" thickBot="1">
      <c r="A282" s="1527" t="s">
        <v>1544</v>
      </c>
      <c r="B282" s="1521" t="s">
        <v>2244</v>
      </c>
      <c r="C282" s="2128"/>
      <c r="D282" s="2128"/>
      <c r="E282" s="2128"/>
      <c r="F282" s="2116">
        <v>0.05</v>
      </c>
    </row>
    <row r="283" spans="1:6" ht="24.75" thickBot="1">
      <c r="A283" s="1527" t="s">
        <v>1544</v>
      </c>
      <c r="B283" s="1521" t="s">
        <v>2245</v>
      </c>
      <c r="C283" s="2128"/>
      <c r="D283" s="2128"/>
      <c r="E283" s="2128"/>
      <c r="F283" s="2116">
        <v>0.05</v>
      </c>
    </row>
    <row r="284" spans="1:6" ht="24.75" thickBot="1">
      <c r="A284" s="1527" t="s">
        <v>1544</v>
      </c>
      <c r="B284" s="1521" t="s">
        <v>2246</v>
      </c>
      <c r="C284" s="2128"/>
      <c r="D284" s="2128"/>
      <c r="E284" s="2128"/>
      <c r="F284" s="2116">
        <v>0.05</v>
      </c>
    </row>
    <row r="285" spans="1:6" ht="24.75" thickBot="1">
      <c r="A285" s="1527" t="s">
        <v>1544</v>
      </c>
      <c r="B285" s="1521" t="s">
        <v>2247</v>
      </c>
      <c r="C285" s="2128"/>
      <c r="D285" s="2128"/>
      <c r="E285" s="2128"/>
      <c r="F285" s="2116">
        <v>0.05</v>
      </c>
    </row>
    <row r="286" spans="1:6" ht="24.75" thickBot="1">
      <c r="A286" s="1527" t="s">
        <v>1544</v>
      </c>
      <c r="B286" s="1521" t="s">
        <v>2248</v>
      </c>
      <c r="C286" s="2128"/>
      <c r="D286" s="2128"/>
      <c r="E286" s="2128"/>
      <c r="F286" s="2116">
        <v>0.05</v>
      </c>
    </row>
    <row r="287" spans="1:6" ht="24.75" thickBot="1">
      <c r="A287" s="1527" t="s">
        <v>1544</v>
      </c>
      <c r="B287" s="1521" t="s">
        <v>2249</v>
      </c>
      <c r="C287" s="2128"/>
      <c r="D287" s="2128"/>
      <c r="E287" s="2128"/>
      <c r="F287" s="2116">
        <v>0.05</v>
      </c>
    </row>
    <row r="288" spans="1:6" ht="24.75" thickBot="1">
      <c r="A288" s="1527" t="s">
        <v>1544</v>
      </c>
      <c r="B288" s="1521" t="s">
        <v>2250</v>
      </c>
      <c r="C288" s="2128"/>
      <c r="D288" s="2128"/>
      <c r="E288" s="2128"/>
      <c r="F288" s="2116">
        <v>0.05</v>
      </c>
    </row>
    <row r="289" spans="1:6" ht="24.75" thickBot="1">
      <c r="A289" s="1537" t="s">
        <v>1544</v>
      </c>
      <c r="B289" s="1533" t="s">
        <v>2251</v>
      </c>
      <c r="C289" s="2125"/>
      <c r="D289" s="2125"/>
      <c r="E289" s="2125"/>
      <c r="F289" s="2118">
        <v>0.05</v>
      </c>
    </row>
    <row r="290" spans="1:6" ht="14.25" thickBot="1">
      <c r="A290" s="1527" t="s">
        <v>1548</v>
      </c>
      <c r="B290" s="1528" t="s">
        <v>2252</v>
      </c>
      <c r="C290" s="2113">
        <v>0.15</v>
      </c>
      <c r="D290" s="2113">
        <v>0.15</v>
      </c>
      <c r="E290" s="2113">
        <v>0.15</v>
      </c>
      <c r="F290" s="2130"/>
    </row>
    <row r="291" spans="1:6" ht="14.25" thickBot="1">
      <c r="A291" s="1527" t="s">
        <v>1548</v>
      </c>
      <c r="B291" s="1521" t="s">
        <v>1210</v>
      </c>
      <c r="C291" s="2115">
        <v>0.15</v>
      </c>
      <c r="D291" s="2115">
        <v>0.15</v>
      </c>
      <c r="E291" s="2115">
        <v>0.15</v>
      </c>
      <c r="F291" s="2127"/>
    </row>
    <row r="292" spans="1:6" ht="14.25" thickBot="1">
      <c r="A292" s="1527" t="s">
        <v>1548</v>
      </c>
      <c r="B292" s="1521" t="s">
        <v>2253</v>
      </c>
      <c r="C292" s="2115">
        <v>0.15</v>
      </c>
      <c r="D292" s="2115">
        <v>0.15</v>
      </c>
      <c r="E292" s="2115">
        <v>0.15</v>
      </c>
      <c r="F292" s="2116">
        <v>0.14699999999999999</v>
      </c>
    </row>
    <row r="293" spans="1:6" ht="14.25" thickBot="1">
      <c r="A293" s="1527" t="s">
        <v>1548</v>
      </c>
      <c r="B293" s="1521" t="s">
        <v>2254</v>
      </c>
      <c r="C293" s="2128"/>
      <c r="D293" s="2128"/>
      <c r="E293" s="2128"/>
      <c r="F293" s="2116">
        <v>0.1</v>
      </c>
    </row>
    <row r="294" spans="1:6" ht="14.25" thickBot="1">
      <c r="A294" s="1527" t="s">
        <v>1548</v>
      </c>
      <c r="B294" s="1521" t="s">
        <v>2255</v>
      </c>
      <c r="C294" s="2115">
        <v>0.15</v>
      </c>
      <c r="D294" s="2115">
        <v>0.15</v>
      </c>
      <c r="E294" s="2115">
        <v>0.15</v>
      </c>
      <c r="F294" s="2116">
        <v>0.15</v>
      </c>
    </row>
    <row r="295" spans="1:6" ht="14.25" thickBot="1">
      <c r="A295" s="1527" t="s">
        <v>1548</v>
      </c>
      <c r="B295" s="1521" t="s">
        <v>1248</v>
      </c>
      <c r="C295" s="2115">
        <v>0.15</v>
      </c>
      <c r="D295" s="2115">
        <v>0.15</v>
      </c>
      <c r="E295" s="2115">
        <v>0.15</v>
      </c>
      <c r="F295" s="2116">
        <v>0.15</v>
      </c>
    </row>
    <row r="296" spans="1:6" ht="14.25" thickBot="1">
      <c r="A296" s="1527" t="s">
        <v>1548</v>
      </c>
      <c r="B296" s="1521" t="s">
        <v>2256</v>
      </c>
      <c r="C296" s="2115">
        <v>0.15</v>
      </c>
      <c r="D296" s="2115">
        <v>0.15</v>
      </c>
      <c r="E296" s="2115">
        <v>0.15</v>
      </c>
      <c r="F296" s="2116">
        <v>0.15</v>
      </c>
    </row>
    <row r="297" spans="1:6" ht="14.25" thickBot="1">
      <c r="A297" s="1527" t="s">
        <v>1548</v>
      </c>
      <c r="B297" s="1521" t="s">
        <v>2257</v>
      </c>
      <c r="C297" s="2115">
        <v>0.14799999999999999</v>
      </c>
      <c r="D297" s="2115">
        <v>0.14899999999999999</v>
      </c>
      <c r="E297" s="2115">
        <v>0.15</v>
      </c>
      <c r="F297" s="2116">
        <v>0.13700000000000001</v>
      </c>
    </row>
    <row r="298" spans="1:6" ht="14.25" thickBot="1">
      <c r="A298" s="1527" t="s">
        <v>1548</v>
      </c>
      <c r="B298" s="1521" t="s">
        <v>1281</v>
      </c>
      <c r="C298" s="2115">
        <v>0.13400000000000001</v>
      </c>
      <c r="D298" s="2115">
        <v>0.13400000000000001</v>
      </c>
      <c r="E298" s="2115">
        <v>0.14499999999999999</v>
      </c>
      <c r="F298" s="2116">
        <v>0.14799999999999999</v>
      </c>
    </row>
    <row r="299" spans="1:6" ht="14.25" thickBot="1">
      <c r="A299" s="1527" t="s">
        <v>1548</v>
      </c>
      <c r="B299" s="1521" t="s">
        <v>1293</v>
      </c>
      <c r="C299" s="2115">
        <v>0.15</v>
      </c>
      <c r="D299" s="2115">
        <v>0.15</v>
      </c>
      <c r="E299" s="2115">
        <v>0.15</v>
      </c>
      <c r="F299" s="2127"/>
    </row>
    <row r="300" spans="1:6" ht="14.25" thickBot="1">
      <c r="A300" s="1527" t="s">
        <v>1548</v>
      </c>
      <c r="B300" s="1521" t="s">
        <v>2258</v>
      </c>
      <c r="C300" s="2115">
        <v>0.15</v>
      </c>
      <c r="D300" s="2115">
        <v>0.15</v>
      </c>
      <c r="E300" s="2115">
        <v>0.15</v>
      </c>
      <c r="F300" s="2116">
        <v>0.15</v>
      </c>
    </row>
    <row r="301" spans="1:6" ht="14.25" thickBot="1">
      <c r="A301" s="1527" t="s">
        <v>1548</v>
      </c>
      <c r="B301" s="1521" t="s">
        <v>1313</v>
      </c>
      <c r="C301" s="2115">
        <v>0.15</v>
      </c>
      <c r="D301" s="2115">
        <v>0.15</v>
      </c>
      <c r="E301" s="2115">
        <v>0.15</v>
      </c>
      <c r="F301" s="2127"/>
    </row>
    <row r="302" spans="1:6" ht="14.25" thickBot="1">
      <c r="A302" s="1527" t="s">
        <v>1548</v>
      </c>
      <c r="B302" s="1521" t="s">
        <v>2259</v>
      </c>
      <c r="C302" s="2115">
        <v>0.15</v>
      </c>
      <c r="D302" s="2115">
        <v>0.15</v>
      </c>
      <c r="E302" s="2115">
        <v>0.15</v>
      </c>
      <c r="F302" s="2116">
        <v>0.15</v>
      </c>
    </row>
    <row r="303" spans="1:6" ht="14.25" thickBot="1">
      <c r="A303" s="1527" t="s">
        <v>1548</v>
      </c>
      <c r="B303" s="1521" t="s">
        <v>1333</v>
      </c>
      <c r="C303" s="2115">
        <v>0.15</v>
      </c>
      <c r="D303" s="2115">
        <v>0.15</v>
      </c>
      <c r="E303" s="2115">
        <v>0.15</v>
      </c>
      <c r="F303" s="2116">
        <v>0.15</v>
      </c>
    </row>
    <row r="304" spans="1:6" ht="14.25" thickBot="1">
      <c r="A304" s="1527" t="s">
        <v>1548</v>
      </c>
      <c r="B304" s="1521" t="s">
        <v>1344</v>
      </c>
      <c r="C304" s="2115">
        <v>0.15</v>
      </c>
      <c r="D304" s="2115">
        <v>0.15</v>
      </c>
      <c r="E304" s="2115">
        <v>0.15</v>
      </c>
      <c r="F304" s="2127"/>
    </row>
    <row r="305" spans="1:6" ht="14.25" thickBot="1">
      <c r="A305" s="1527" t="s">
        <v>1548</v>
      </c>
      <c r="B305" s="1521" t="s">
        <v>2260</v>
      </c>
      <c r="C305" s="2115">
        <v>0.15</v>
      </c>
      <c r="D305" s="2115">
        <v>0.15</v>
      </c>
      <c r="E305" s="2115">
        <v>0.15</v>
      </c>
      <c r="F305" s="2116">
        <v>0.14000000000000001</v>
      </c>
    </row>
    <row r="306" spans="1:6" ht="14.25" thickBot="1">
      <c r="A306" s="1527" t="s">
        <v>1548</v>
      </c>
      <c r="B306" s="1521" t="s">
        <v>1365</v>
      </c>
      <c r="C306" s="2115">
        <v>0.15</v>
      </c>
      <c r="D306" s="2115">
        <v>0.15</v>
      </c>
      <c r="E306" s="2115">
        <v>0.15</v>
      </c>
      <c r="F306" s="2127"/>
    </row>
    <row r="307" spans="1:6" ht="14.25" thickBot="1">
      <c r="A307" s="1527" t="s">
        <v>1548</v>
      </c>
      <c r="B307" s="1521" t="s">
        <v>2261</v>
      </c>
      <c r="C307" s="2115">
        <v>0.15</v>
      </c>
      <c r="D307" s="2115">
        <v>0.15</v>
      </c>
      <c r="E307" s="2115">
        <v>0.15</v>
      </c>
      <c r="F307" s="2116">
        <v>0.14299999999999999</v>
      </c>
    </row>
    <row r="308" spans="1:6" ht="14.25" thickBot="1">
      <c r="A308" s="1527" t="s">
        <v>1548</v>
      </c>
      <c r="B308" s="1521" t="s">
        <v>1385</v>
      </c>
      <c r="C308" s="2115">
        <v>0.15</v>
      </c>
      <c r="D308" s="2115">
        <v>0.15</v>
      </c>
      <c r="E308" s="2115">
        <v>0.15</v>
      </c>
      <c r="F308" s="2116">
        <v>0.15</v>
      </c>
    </row>
    <row r="309" spans="1:6" ht="14.25" thickBot="1">
      <c r="A309" s="1527" t="s">
        <v>1548</v>
      </c>
      <c r="B309" s="1521" t="s">
        <v>1395</v>
      </c>
      <c r="C309" s="2115">
        <v>0.15</v>
      </c>
      <c r="D309" s="2115">
        <v>0.15</v>
      </c>
      <c r="E309" s="2115">
        <v>0.15</v>
      </c>
      <c r="F309" s="2127"/>
    </row>
    <row r="310" spans="1:6" ht="14.25" thickBot="1">
      <c r="A310" s="1527" t="s">
        <v>1548</v>
      </c>
      <c r="B310" s="1521" t="s">
        <v>2262</v>
      </c>
      <c r="C310" s="2115">
        <v>0.15</v>
      </c>
      <c r="D310" s="2115">
        <v>0.15</v>
      </c>
      <c r="E310" s="2115">
        <v>0.15</v>
      </c>
      <c r="F310" s="2116">
        <v>0.13700000000000001</v>
      </c>
    </row>
    <row r="311" spans="1:6" ht="14.25" thickBot="1">
      <c r="A311" s="1527" t="s">
        <v>1548</v>
      </c>
      <c r="B311" s="1521" t="s">
        <v>2263</v>
      </c>
      <c r="C311" s="2115">
        <v>0.15</v>
      </c>
      <c r="D311" s="2115">
        <v>0.15</v>
      </c>
      <c r="E311" s="2115">
        <v>0.15</v>
      </c>
      <c r="F311" s="2116">
        <v>0.15</v>
      </c>
    </row>
    <row r="312" spans="1:6" ht="14.25" thickBot="1">
      <c r="A312" s="1527" t="s">
        <v>1548</v>
      </c>
      <c r="B312" s="1521" t="s">
        <v>1421</v>
      </c>
      <c r="C312" s="2115">
        <v>0.15</v>
      </c>
      <c r="D312" s="2115">
        <v>0.15</v>
      </c>
      <c r="E312" s="2115">
        <v>0.15</v>
      </c>
      <c r="F312" s="2116">
        <v>0.1</v>
      </c>
    </row>
    <row r="313" spans="1:6" ht="14.25" thickBot="1">
      <c r="A313" s="1527" t="s">
        <v>1548</v>
      </c>
      <c r="B313" s="1521" t="s">
        <v>2264</v>
      </c>
      <c r="C313" s="2115">
        <v>0.15</v>
      </c>
      <c r="D313" s="2115">
        <v>0.15</v>
      </c>
      <c r="E313" s="2115">
        <v>0.15</v>
      </c>
      <c r="F313" s="2116">
        <v>0.15</v>
      </c>
    </row>
    <row r="314" spans="1:6" ht="24.75" thickBot="1">
      <c r="A314" s="1527" t="s">
        <v>1548</v>
      </c>
      <c r="B314" s="1521" t="s">
        <v>2265</v>
      </c>
      <c r="C314" s="2128"/>
      <c r="D314" s="2128"/>
      <c r="E314" s="2128"/>
      <c r="F314" s="2116">
        <v>0.05</v>
      </c>
    </row>
    <row r="315" spans="1:6" ht="24.75" thickBot="1">
      <c r="A315" s="1527" t="s">
        <v>1548</v>
      </c>
      <c r="B315" s="1521" t="s">
        <v>2266</v>
      </c>
      <c r="C315" s="2128"/>
      <c r="D315" s="2128"/>
      <c r="E315" s="2128"/>
      <c r="F315" s="2116">
        <v>0.05</v>
      </c>
    </row>
    <row r="316" spans="1:6" ht="24.75" thickBot="1">
      <c r="A316" s="1537" t="s">
        <v>1548</v>
      </c>
      <c r="B316" s="1533" t="s">
        <v>2267</v>
      </c>
      <c r="C316" s="2125"/>
      <c r="D316" s="2125"/>
      <c r="E316" s="2125"/>
      <c r="F316" s="2118">
        <v>0.05</v>
      </c>
    </row>
    <row r="317" spans="1:6" ht="14.25" thickBot="1">
      <c r="A317" s="1527" t="s">
        <v>2268</v>
      </c>
      <c r="B317" s="1528" t="s">
        <v>2269</v>
      </c>
      <c r="C317" s="2113">
        <v>0.15</v>
      </c>
      <c r="D317" s="2113">
        <v>0.15</v>
      </c>
      <c r="E317" s="2113">
        <v>0.15</v>
      </c>
      <c r="F317" s="2114">
        <v>0.15</v>
      </c>
    </row>
    <row r="318" spans="1:6" ht="14.25" thickBot="1">
      <c r="A318" s="1527" t="s">
        <v>2268</v>
      </c>
      <c r="B318" s="1521" t="s">
        <v>2270</v>
      </c>
      <c r="C318" s="2115">
        <v>0.107</v>
      </c>
      <c r="D318" s="2115">
        <v>0.11</v>
      </c>
      <c r="E318" s="2115">
        <v>0.112</v>
      </c>
      <c r="F318" s="2127"/>
    </row>
    <row r="319" spans="1:6" ht="14.25" thickBot="1">
      <c r="A319" s="1527" t="s">
        <v>2268</v>
      </c>
      <c r="B319" s="1521" t="s">
        <v>2271</v>
      </c>
      <c r="C319" s="2115">
        <v>0.15</v>
      </c>
      <c r="D319" s="2115">
        <v>0.15</v>
      </c>
      <c r="E319" s="2115">
        <v>0.15</v>
      </c>
      <c r="F319" s="2116">
        <v>0.15</v>
      </c>
    </row>
    <row r="320" spans="1:6" ht="14.25" thickBot="1">
      <c r="A320" s="1527" t="s">
        <v>2268</v>
      </c>
      <c r="B320" s="1521" t="s">
        <v>1237</v>
      </c>
      <c r="C320" s="2115">
        <v>0.15</v>
      </c>
      <c r="D320" s="2115">
        <v>0.15</v>
      </c>
      <c r="E320" s="2115">
        <v>0.15</v>
      </c>
      <c r="F320" s="2127"/>
    </row>
    <row r="321" spans="1:6" ht="14.25" thickBot="1">
      <c r="A321" s="1527" t="s">
        <v>2268</v>
      </c>
      <c r="B321" s="1521" t="s">
        <v>2272</v>
      </c>
      <c r="C321" s="2115">
        <v>0.15</v>
      </c>
      <c r="D321" s="2115">
        <v>0.15</v>
      </c>
      <c r="E321" s="2115">
        <v>0.15</v>
      </c>
      <c r="F321" s="2127"/>
    </row>
    <row r="322" spans="1:6" ht="14.25" thickBot="1">
      <c r="A322" s="1527" t="s">
        <v>2268</v>
      </c>
      <c r="B322" s="1521" t="s">
        <v>2273</v>
      </c>
      <c r="C322" s="2115">
        <v>0.15</v>
      </c>
      <c r="D322" s="2115">
        <v>0.15</v>
      </c>
      <c r="E322" s="2115">
        <v>0.15</v>
      </c>
      <c r="F322" s="2116">
        <v>0.15</v>
      </c>
    </row>
    <row r="323" spans="1:6" ht="14.25" thickBot="1">
      <c r="A323" s="1527" t="s">
        <v>2268</v>
      </c>
      <c r="B323" s="1521" t="s">
        <v>2274</v>
      </c>
      <c r="C323" s="2115">
        <v>0.15</v>
      </c>
      <c r="D323" s="2115">
        <v>0.15</v>
      </c>
      <c r="E323" s="2115">
        <v>0.15</v>
      </c>
      <c r="F323" s="2127"/>
    </row>
    <row r="324" spans="1:6" ht="14.25" thickBot="1">
      <c r="A324" s="1527" t="s">
        <v>2268</v>
      </c>
      <c r="B324" s="1521" t="s">
        <v>2275</v>
      </c>
      <c r="C324" s="2115">
        <v>0.15</v>
      </c>
      <c r="D324" s="2115">
        <v>0.15</v>
      </c>
      <c r="E324" s="2115">
        <v>0.15</v>
      </c>
      <c r="F324" s="2127"/>
    </row>
    <row r="325" spans="1:6" ht="14.25" thickBot="1">
      <c r="A325" s="1527" t="s">
        <v>2268</v>
      </c>
      <c r="B325" s="1521" t="s">
        <v>2276</v>
      </c>
      <c r="C325" s="2115">
        <v>0.15</v>
      </c>
      <c r="D325" s="2115">
        <v>0.15</v>
      </c>
      <c r="E325" s="2115">
        <v>0.15</v>
      </c>
      <c r="F325" s="2116">
        <v>0.14699999999999999</v>
      </c>
    </row>
    <row r="326" spans="1:6" ht="14.25" thickBot="1">
      <c r="A326" s="1527" t="s">
        <v>2268</v>
      </c>
      <c r="B326" s="1521" t="s">
        <v>1304</v>
      </c>
      <c r="C326" s="2115">
        <v>0.15</v>
      </c>
      <c r="D326" s="2115">
        <v>0.15</v>
      </c>
      <c r="E326" s="2115">
        <v>0.15</v>
      </c>
      <c r="F326" s="2127"/>
    </row>
    <row r="327" spans="1:6" ht="14.25" thickBot="1">
      <c r="A327" s="1527" t="s">
        <v>2268</v>
      </c>
      <c r="B327" s="1521" t="s">
        <v>2277</v>
      </c>
      <c r="C327" s="2115">
        <v>0.15</v>
      </c>
      <c r="D327" s="2115">
        <v>0.15</v>
      </c>
      <c r="E327" s="2115">
        <v>0.15</v>
      </c>
      <c r="F327" s="2116">
        <v>0.15</v>
      </c>
    </row>
    <row r="328" spans="1:6" ht="14.25" thickBot="1">
      <c r="A328" s="1527" t="s">
        <v>2268</v>
      </c>
      <c r="B328" s="1521" t="s">
        <v>1324</v>
      </c>
      <c r="C328" s="2115">
        <v>0.15</v>
      </c>
      <c r="D328" s="2115">
        <v>0.15</v>
      </c>
      <c r="E328" s="2115">
        <v>0.15</v>
      </c>
      <c r="F328" s="2116">
        <v>0.14099999999999999</v>
      </c>
    </row>
    <row r="329" spans="1:6" ht="14.25" thickBot="1">
      <c r="A329" s="1527" t="s">
        <v>2268</v>
      </c>
      <c r="B329" s="1521" t="s">
        <v>1334</v>
      </c>
      <c r="C329" s="2115">
        <v>0.15</v>
      </c>
      <c r="D329" s="2115">
        <v>0.15</v>
      </c>
      <c r="E329" s="2115">
        <v>0.15</v>
      </c>
      <c r="F329" s="2116">
        <v>0.15</v>
      </c>
    </row>
    <row r="330" spans="1:6" ht="14.25" thickBot="1">
      <c r="A330" s="1527" t="s">
        <v>2268</v>
      </c>
      <c r="B330" s="1521" t="s">
        <v>1345</v>
      </c>
      <c r="C330" s="2115">
        <v>0.15</v>
      </c>
      <c r="D330" s="2115">
        <v>0.15</v>
      </c>
      <c r="E330" s="2115">
        <v>0.15</v>
      </c>
      <c r="F330" s="2127"/>
    </row>
    <row r="331" spans="1:6" ht="14.25" thickBot="1">
      <c r="A331" s="1527" t="s">
        <v>2268</v>
      </c>
      <c r="B331" s="1521" t="s">
        <v>2278</v>
      </c>
      <c r="C331" s="2115">
        <v>0.15</v>
      </c>
      <c r="D331" s="2115">
        <v>0.15</v>
      </c>
      <c r="E331" s="2115">
        <v>0.15</v>
      </c>
      <c r="F331" s="2116">
        <v>0.15</v>
      </c>
    </row>
    <row r="332" spans="1:6" ht="14.25" thickBot="1">
      <c r="A332" s="1527" t="s">
        <v>2268</v>
      </c>
      <c r="B332" s="1521" t="s">
        <v>1366</v>
      </c>
      <c r="C332" s="2115">
        <v>0.15</v>
      </c>
      <c r="D332" s="2115">
        <v>0.15</v>
      </c>
      <c r="E332" s="2115">
        <v>0.15</v>
      </c>
      <c r="F332" s="2116">
        <v>0.15</v>
      </c>
    </row>
    <row r="333" spans="1:6" ht="14.25" thickBot="1">
      <c r="A333" s="1527" t="s">
        <v>2268</v>
      </c>
      <c r="B333" s="1521" t="s">
        <v>2279</v>
      </c>
      <c r="C333" s="2115">
        <v>0.15</v>
      </c>
      <c r="D333" s="2115">
        <v>0.15</v>
      </c>
      <c r="E333" s="2115">
        <v>0.15</v>
      </c>
      <c r="F333" s="2116">
        <v>0.14099999999999999</v>
      </c>
    </row>
    <row r="334" spans="1:6" ht="14.25" thickBot="1">
      <c r="A334" s="1527" t="s">
        <v>2268</v>
      </c>
      <c r="B334" s="1521" t="s">
        <v>1386</v>
      </c>
      <c r="C334" s="2115">
        <v>0.15</v>
      </c>
      <c r="D334" s="2115">
        <v>0.15</v>
      </c>
      <c r="E334" s="2115">
        <v>0.15</v>
      </c>
      <c r="F334" s="2116">
        <v>0.15</v>
      </c>
    </row>
    <row r="335" spans="1:6" ht="14.25" thickBot="1">
      <c r="A335" s="1527" t="s">
        <v>2268</v>
      </c>
      <c r="B335" s="1521" t="s">
        <v>1396</v>
      </c>
      <c r="C335" s="2115">
        <v>0.15</v>
      </c>
      <c r="D335" s="2115">
        <v>0.15</v>
      </c>
      <c r="E335" s="2115">
        <v>0.15</v>
      </c>
      <c r="F335" s="2127"/>
    </row>
    <row r="336" spans="1:6" ht="14.25" thickBot="1">
      <c r="A336" s="1527" t="s">
        <v>2268</v>
      </c>
      <c r="B336" s="1521" t="s">
        <v>2280</v>
      </c>
      <c r="C336" s="2115">
        <v>0.15</v>
      </c>
      <c r="D336" s="2115">
        <v>0.15</v>
      </c>
      <c r="E336" s="2115">
        <v>0.15</v>
      </c>
      <c r="F336" s="2116">
        <v>0.11799999999999999</v>
      </c>
    </row>
    <row r="337" spans="1:6" ht="14.25" thickBot="1">
      <c r="A337" s="1537" t="s">
        <v>2268</v>
      </c>
      <c r="B337" s="1533" t="s">
        <v>1414</v>
      </c>
      <c r="C337" s="2125"/>
      <c r="D337" s="2125"/>
      <c r="E337" s="2125"/>
      <c r="F337" s="2118">
        <v>0.14299999999999999</v>
      </c>
    </row>
    <row r="338" spans="1:6" ht="14.25" thickBot="1">
      <c r="A338" s="1527" t="s">
        <v>2281</v>
      </c>
      <c r="B338" s="1528" t="s">
        <v>2282</v>
      </c>
      <c r="C338" s="2113">
        <v>0.15</v>
      </c>
      <c r="D338" s="2113">
        <v>0.15</v>
      </c>
      <c r="E338" s="2113">
        <v>0.15</v>
      </c>
      <c r="F338" s="2130"/>
    </row>
    <row r="339" spans="1:6" ht="14.25" thickBot="1">
      <c r="A339" s="1527" t="s">
        <v>2281</v>
      </c>
      <c r="B339" s="1521" t="s">
        <v>2283</v>
      </c>
      <c r="C339" s="2115">
        <v>0.15</v>
      </c>
      <c r="D339" s="2115">
        <v>0.15</v>
      </c>
      <c r="E339" s="2115">
        <v>0.15</v>
      </c>
      <c r="F339" s="2127"/>
    </row>
    <row r="340" spans="1:6" ht="14.25" thickBot="1">
      <c r="A340" s="1527" t="s">
        <v>2281</v>
      </c>
      <c r="B340" s="1521" t="s">
        <v>2284</v>
      </c>
      <c r="C340" s="2115">
        <v>0.15</v>
      </c>
      <c r="D340" s="2115">
        <v>0.15</v>
      </c>
      <c r="E340" s="2115">
        <v>0.15</v>
      </c>
      <c r="F340" s="2127"/>
    </row>
    <row r="341" spans="1:6" ht="14.25" thickBot="1">
      <c r="A341" s="1527" t="s">
        <v>2281</v>
      </c>
      <c r="B341" s="1521" t="s">
        <v>2285</v>
      </c>
      <c r="C341" s="2115">
        <v>0.15</v>
      </c>
      <c r="D341" s="2115">
        <v>0.15</v>
      </c>
      <c r="E341" s="2115">
        <v>0.15</v>
      </c>
      <c r="F341" s="2116">
        <v>0.15</v>
      </c>
    </row>
    <row r="342" spans="1:6" ht="14.25" thickBot="1">
      <c r="A342" s="1527" t="s">
        <v>2281</v>
      </c>
      <c r="B342" s="1521" t="s">
        <v>2286</v>
      </c>
      <c r="C342" s="2115">
        <v>0.15</v>
      </c>
      <c r="D342" s="2115">
        <v>0.15</v>
      </c>
      <c r="E342" s="2115">
        <v>0.15</v>
      </c>
      <c r="F342" s="2116">
        <v>0.15</v>
      </c>
    </row>
    <row r="343" spans="1:6" ht="14.25" thickBot="1">
      <c r="A343" s="1527" t="s">
        <v>2281</v>
      </c>
      <c r="B343" s="1521" t="s">
        <v>2287</v>
      </c>
      <c r="C343" s="2115">
        <v>0.15</v>
      </c>
      <c r="D343" s="2115">
        <v>0.15</v>
      </c>
      <c r="E343" s="2115">
        <v>0.15</v>
      </c>
      <c r="F343" s="2116">
        <v>0.15</v>
      </c>
    </row>
    <row r="344" spans="1:6" ht="14.25" thickBot="1">
      <c r="A344" s="1537" t="s">
        <v>2281</v>
      </c>
      <c r="B344" s="1533" t="s">
        <v>2288</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2902</v>
      </c>
      <c r="C1" s="3193">
        <f>项目基本情况!D3</f>
        <v>42970</v>
      </c>
      <c r="D1" s="3199" t="s">
        <v>2903</v>
      </c>
      <c r="E1" s="3194">
        <f>'数据-取费表'!B22</f>
        <v>3</v>
      </c>
      <c r="F1" s="3199" t="s">
        <v>2904</v>
      </c>
      <c r="G1" s="3195">
        <f ca="1">INDIRECT("d"&amp;$K$1)/100</f>
        <v>4.7500000000000001E-2</v>
      </c>
      <c r="H1" s="3199" t="s">
        <v>2934</v>
      </c>
      <c r="I1" s="3195">
        <f ca="1">F4/100</f>
        <v>1.4999999999999999E-2</v>
      </c>
      <c r="J1" s="3200">
        <f>IF(C1&gt;C13,0,MATCH(C1,C$13:C$100,-1))+IF(SUMIF(C13:C100,C1,D13:D100)=0,13,12)</f>
        <v>13</v>
      </c>
      <c r="K1" s="3200">
        <f ca="1">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2905</v>
      </c>
      <c r="E2" s="3135"/>
      <c r="F2" s="3135" t="s">
        <v>2906</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2907</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2908</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2909</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2910</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2911</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2912</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2913</v>
      </c>
      <c r="C10" s="3163"/>
      <c r="D10" s="3163"/>
      <c r="E10" s="3163"/>
      <c r="F10" s="3163"/>
      <c r="G10" s="3163"/>
      <c r="H10" s="3163"/>
      <c r="I10" s="3137"/>
      <c r="J10" s="3137"/>
      <c r="K10" s="3163"/>
      <c r="L10" s="3164" t="s">
        <v>2914</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2915</v>
      </c>
      <c r="C11" s="3168" t="s">
        <v>2916</v>
      </c>
      <c r="D11" s="3169" t="s">
        <v>2917</v>
      </c>
      <c r="E11" s="3170"/>
      <c r="F11" s="3169" t="s">
        <v>2918</v>
      </c>
      <c r="G11" s="3171"/>
      <c r="H11" s="3170"/>
      <c r="I11" s="3169" t="s">
        <v>2919</v>
      </c>
      <c r="J11" s="3170"/>
      <c r="K11" s="3166"/>
      <c r="L11" s="3167" t="s">
        <v>2915</v>
      </c>
      <c r="M11" s="3168" t="s">
        <v>2916</v>
      </c>
      <c r="N11" s="3167" t="s">
        <v>2920</v>
      </c>
      <c r="O11" s="3169" t="s">
        <v>2921</v>
      </c>
      <c r="P11" s="3171"/>
      <c r="Q11" s="3171"/>
      <c r="R11" s="3171"/>
      <c r="S11" s="3171"/>
      <c r="T11" s="3170"/>
      <c r="U11" s="3169" t="s">
        <v>2922</v>
      </c>
      <c r="V11" s="3171"/>
      <c r="W11" s="3170"/>
      <c r="X11" s="3167" t="s">
        <v>2923</v>
      </c>
      <c r="Y11" s="3167" t="s">
        <v>2924</v>
      </c>
      <c r="Z11" s="3167" t="s">
        <v>2925</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2926</v>
      </c>
      <c r="E12" s="3176" t="s">
        <v>2927</v>
      </c>
      <c r="F12" s="3176" t="s">
        <v>2928</v>
      </c>
      <c r="G12" s="3176" t="s">
        <v>2929</v>
      </c>
      <c r="H12" s="3176" t="s">
        <v>2911</v>
      </c>
      <c r="I12" s="3177" t="s">
        <v>2930</v>
      </c>
      <c r="J12" s="3177" t="s">
        <v>2930</v>
      </c>
      <c r="K12" s="3173"/>
      <c r="L12" s="3174"/>
      <c r="M12" s="3175"/>
      <c r="N12" s="3174"/>
      <c r="O12" s="3177" t="s">
        <v>2931</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2932</v>
      </c>
      <c r="C13" s="3181">
        <v>42301</v>
      </c>
      <c r="D13" s="3182">
        <v>4.3499999999999996</v>
      </c>
      <c r="E13" s="3182">
        <v>4.3499999999999996</v>
      </c>
      <c r="F13" s="3182">
        <v>4.75</v>
      </c>
      <c r="G13" s="3182">
        <v>4.75</v>
      </c>
      <c r="H13" s="3182">
        <v>4.9000000000000004</v>
      </c>
      <c r="I13" s="3182">
        <v>2.75</v>
      </c>
      <c r="J13" s="3182">
        <v>3.25</v>
      </c>
      <c r="K13" s="3179"/>
      <c r="L13" s="3180" t="s">
        <v>2932</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2933</v>
      </c>
      <c r="Y42" s="3186" t="s">
        <v>2933</v>
      </c>
      <c r="Z42" s="3186" t="s">
        <v>2933</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2933</v>
      </c>
      <c r="Y43" s="3186" t="s">
        <v>2933</v>
      </c>
      <c r="Z43" s="3186" t="s">
        <v>2933</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2933</v>
      </c>
      <c r="Y44" s="3186" t="s">
        <v>2933</v>
      </c>
      <c r="Z44" s="3186" t="s">
        <v>2933</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2933</v>
      </c>
      <c r="Y45" s="3186" t="s">
        <v>2933</v>
      </c>
      <c r="Z45" s="3186" t="s">
        <v>2933</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2933</v>
      </c>
      <c r="Y46" s="3186" t="s">
        <v>2933</v>
      </c>
      <c r="Z46" s="3186" t="s">
        <v>2933</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2933</v>
      </c>
      <c r="Y47" s="3186" t="s">
        <v>2933</v>
      </c>
      <c r="Z47" s="3186" t="s">
        <v>2933</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2933</v>
      </c>
      <c r="Y48" s="3186" t="s">
        <v>2933</v>
      </c>
      <c r="Z48" s="3186" t="s">
        <v>2933</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2933</v>
      </c>
      <c r="Y49" s="3186" t="s">
        <v>2933</v>
      </c>
      <c r="Z49" s="3186" t="s">
        <v>2933</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2933</v>
      </c>
      <c r="Y50" s="3186" t="s">
        <v>2933</v>
      </c>
      <c r="Z50" s="3186" t="s">
        <v>2933</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2933</v>
      </c>
      <c r="V51" s="3186" t="s">
        <v>2933</v>
      </c>
      <c r="W51" s="3186" t="s">
        <v>2933</v>
      </c>
      <c r="X51" s="3186" t="s">
        <v>2933</v>
      </c>
      <c r="Y51" s="3186" t="s">
        <v>2933</v>
      </c>
      <c r="Z51" s="3186" t="s">
        <v>2933</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2933</v>
      </c>
      <c r="J55" s="3186" t="s">
        <v>2933</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28" t="s">
        <v>3032</v>
      </c>
      <c r="E1" s="3322" t="s">
        <v>3036</v>
      </c>
      <c r="F1" s="3323" t="s">
        <v>3040</v>
      </c>
    </row>
    <row r="2" spans="1:13" ht="20.25">
      <c r="A2" s="3329" t="s">
        <v>3033</v>
      </c>
    </row>
    <row r="3" spans="1:13" ht="16.5">
      <c r="A3" s="3330" t="s">
        <v>3034</v>
      </c>
    </row>
    <row r="4" spans="1:13" ht="14.25">
      <c r="A4" s="3320" t="s">
        <v>3035</v>
      </c>
      <c r="B4" s="3325" t="s">
        <v>3037</v>
      </c>
      <c r="C4" s="3326"/>
      <c r="D4" s="3327"/>
      <c r="E4" s="3325" t="s">
        <v>139</v>
      </c>
      <c r="F4" s="3326"/>
      <c r="G4" s="3327"/>
      <c r="H4" s="3325" t="s">
        <v>3038</v>
      </c>
      <c r="I4" s="3326"/>
      <c r="J4" s="3327"/>
      <c r="K4" s="3325" t="s">
        <v>39</v>
      </c>
      <c r="L4" s="3326"/>
      <c r="M4" s="3327"/>
    </row>
    <row r="5" spans="1:13" ht="14.25">
      <c r="A5" s="3321" t="s">
        <v>3039</v>
      </c>
      <c r="B5" s="3320" t="s">
        <v>3041</v>
      </c>
      <c r="C5" s="3320" t="s">
        <v>3042</v>
      </c>
      <c r="D5" s="3320" t="s">
        <v>3043</v>
      </c>
      <c r="E5" s="3320" t="s">
        <v>3041</v>
      </c>
      <c r="F5" s="3320" t="s">
        <v>3042</v>
      </c>
      <c r="G5" s="3320" t="s">
        <v>3043</v>
      </c>
      <c r="H5" s="3320" t="s">
        <v>3041</v>
      </c>
      <c r="I5" s="3320" t="s">
        <v>3042</v>
      </c>
      <c r="J5" s="3320" t="s">
        <v>3043</v>
      </c>
      <c r="K5" s="3320" t="s">
        <v>3041</v>
      </c>
      <c r="L5" s="3320" t="s">
        <v>3042</v>
      </c>
      <c r="M5" s="3320" t="s">
        <v>3043</v>
      </c>
    </row>
    <row r="6" spans="1:13" ht="14.25">
      <c r="A6" s="3324" t="s">
        <v>1226</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1283</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1456</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1137</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1537</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201</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1540</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1542</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1544</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1548</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1947</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1948</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571" t="str">
        <f>IF(项目基本情况!B9="房地产市场价值","估价结果一览表","结果表-2")</f>
        <v>估价结果一览表</v>
      </c>
      <c r="B1" s="3571"/>
      <c r="C1" s="3571"/>
      <c r="D1" s="3571"/>
      <c r="E1" s="3571"/>
      <c r="F1" s="3571"/>
      <c r="G1" s="3571"/>
      <c r="H1" s="3571"/>
      <c r="I1" s="3571"/>
    </row>
    <row r="2" spans="1:9" ht="30" customHeight="1" thickTop="1">
      <c r="A2" s="3572" t="s">
        <v>2871</v>
      </c>
      <c r="B2" s="3572" t="s">
        <v>2036</v>
      </c>
      <c r="C2" s="3572" t="s">
        <v>2037</v>
      </c>
      <c r="D2" s="3572" t="str">
        <f>结果表!D116</f>
        <v>出让国有建设用地使用权价值</v>
      </c>
      <c r="E2" s="3572"/>
      <c r="F2" s="3572" t="str">
        <f>结果表!F116</f>
        <v>在建建筑物价值</v>
      </c>
      <c r="G2" s="3572"/>
      <c r="H2" s="3572" t="str">
        <f>IF(项目基本情况!B9="房地产市场价值","房地产市场价值","房地产价值")</f>
        <v>房地产市场价值</v>
      </c>
      <c r="I2" s="3572"/>
    </row>
    <row r="3" spans="1:9" ht="14.25">
      <c r="A3" s="3573"/>
      <c r="B3" s="3573"/>
      <c r="C3" s="3573"/>
      <c r="D3" s="1910" t="s">
        <v>7</v>
      </c>
      <c r="E3" s="1910" t="s">
        <v>2038</v>
      </c>
      <c r="F3" s="1910" t="s">
        <v>7</v>
      </c>
      <c r="G3" s="1910" t="s">
        <v>8</v>
      </c>
      <c r="H3" s="1910" t="s">
        <v>7</v>
      </c>
      <c r="I3" s="1910" t="s">
        <v>8</v>
      </c>
    </row>
    <row r="4" spans="1:9" ht="28.5">
      <c r="A4" s="1979" t="str">
        <f>项目基本情况!S2</f>
        <v>广东省中山市中山市南区永安一路9号悦盈新成花园房地产</v>
      </c>
      <c r="B4" s="1973">
        <f>项目基本情况!C17</f>
        <v>165498.45000000001</v>
      </c>
      <c r="C4" s="1973">
        <f>项目基本情况!C18</f>
        <v>33478.69</v>
      </c>
      <c r="D4" s="1973" t="e">
        <f ca="1">结果表!D118</f>
        <v>#REF!</v>
      </c>
      <c r="E4" s="1973" t="e">
        <f ca="1">结果表!E118</f>
        <v>#REF!</v>
      </c>
      <c r="F4" s="1973" t="e">
        <f ca="1">结果表!F118</f>
        <v>#REF!</v>
      </c>
      <c r="G4" s="1973" t="e">
        <f ca="1">结果表!G118</f>
        <v>#REF!</v>
      </c>
      <c r="H4" s="1973">
        <f ca="1">结果表!H118</f>
        <v>129758</v>
      </c>
      <c r="I4" s="1973">
        <f ca="1">结果表!I118</f>
        <v>59766</v>
      </c>
    </row>
    <row r="5" spans="1:9" ht="30" customHeight="1">
      <c r="A5" s="3573" t="s">
        <v>9</v>
      </c>
      <c r="B5" s="3573"/>
      <c r="C5" s="3573"/>
      <c r="D5" s="3574" t="e">
        <f ca="1">结果表!D119</f>
        <v>#REF!</v>
      </c>
      <c r="E5" s="3574"/>
      <c r="F5" s="3574" t="e">
        <f ca="1">结果表!F119</f>
        <v>#REF!</v>
      </c>
      <c r="G5" s="3574"/>
      <c r="H5" s="3574" t="str">
        <f ca="1">结果表!H119</f>
        <v>壹拾贰亿玖仟柒佰伍拾捌万元整</v>
      </c>
      <c r="I5" s="3574"/>
    </row>
    <row r="6" spans="1:9" ht="15.75">
      <c r="A6" s="3575" t="str">
        <f>结果表!A120</f>
        <v/>
      </c>
      <c r="B6" s="3575"/>
      <c r="C6" s="3575"/>
      <c r="D6" s="3576">
        <f>结果表!D120</f>
        <v>0</v>
      </c>
      <c r="E6" s="3576"/>
      <c r="F6" s="3576"/>
      <c r="G6" s="3576"/>
      <c r="H6" s="3576"/>
      <c r="I6" s="3576"/>
    </row>
    <row r="7" spans="1:9" ht="14.25">
      <c r="A7" s="3573" t="s">
        <v>9</v>
      </c>
      <c r="B7" s="3573"/>
      <c r="C7" s="3573"/>
      <c r="D7" s="3577" t="str">
        <f>结果表!D121</f>
        <v>零元整</v>
      </c>
      <c r="E7" s="3578"/>
      <c r="F7" s="3578"/>
      <c r="G7" s="3578"/>
      <c r="H7" s="3578"/>
      <c r="I7" s="3579"/>
    </row>
    <row r="8" spans="1:9" ht="15.75">
      <c r="A8" s="3575" t="str">
        <f>结果表!A122</f>
        <v/>
      </c>
      <c r="B8" s="3575"/>
      <c r="C8" s="3575"/>
      <c r="D8" s="3576">
        <f ca="1">结果表!D122</f>
        <v>129758</v>
      </c>
      <c r="E8" s="3576"/>
      <c r="F8" s="3576"/>
      <c r="G8" s="3576"/>
      <c r="H8" s="3576"/>
      <c r="I8" s="3576"/>
    </row>
    <row r="9" spans="1:9" ht="14.25">
      <c r="A9" s="3573" t="s">
        <v>9</v>
      </c>
      <c r="B9" s="3573"/>
      <c r="C9" s="3573"/>
      <c r="D9" s="3574" t="str">
        <f ca="1">结果表!D123</f>
        <v>壹拾贰亿玖仟柒佰伍拾捌万元整</v>
      </c>
      <c r="E9" s="3574"/>
      <c r="F9" s="3574"/>
      <c r="G9" s="3574"/>
      <c r="H9" s="3574"/>
      <c r="I9" s="3574"/>
    </row>
    <row r="10" spans="1:9" ht="15.75">
      <c r="A10" s="3575" t="str">
        <f>结果表!A124</f>
        <v/>
      </c>
      <c r="B10" s="3575"/>
      <c r="C10" s="3575"/>
      <c r="D10" s="3576" t="str">
        <f>结果表!D124</f>
        <v>——</v>
      </c>
      <c r="E10" s="3576"/>
      <c r="F10" s="3576"/>
      <c r="G10" s="3576"/>
      <c r="H10" s="3576"/>
      <c r="I10" s="3576"/>
    </row>
    <row r="11" spans="1:9" ht="14.25">
      <c r="A11" s="3573" t="s">
        <v>9</v>
      </c>
      <c r="B11" s="3573"/>
      <c r="C11" s="3573"/>
      <c r="D11" s="3574" t="e">
        <f>结果表!D125</f>
        <v>#VALUE!</v>
      </c>
      <c r="E11" s="3574"/>
      <c r="F11" s="3574"/>
      <c r="G11" s="3574"/>
      <c r="H11" s="3574"/>
      <c r="I11" s="3574"/>
    </row>
    <row r="12" spans="1:9" ht="15.75">
      <c r="A12" s="3575" t="str">
        <f>结果表!A126</f>
        <v/>
      </c>
      <c r="B12" s="3575"/>
      <c r="C12" s="3575"/>
      <c r="D12" s="3576" t="str">
        <f>结果表!D126</f>
        <v>——</v>
      </c>
      <c r="E12" s="3576"/>
      <c r="F12" s="3576"/>
      <c r="G12" s="3576"/>
      <c r="H12" s="3576"/>
      <c r="I12" s="3576"/>
    </row>
    <row r="13" spans="1:9" ht="15" thickBot="1">
      <c r="A13" s="3580" t="s">
        <v>9</v>
      </c>
      <c r="B13" s="3580"/>
      <c r="C13" s="3580"/>
      <c r="D13" s="3581" t="e">
        <f>结果表!D127</f>
        <v>#VALUE!</v>
      </c>
      <c r="E13" s="3581"/>
      <c r="F13" s="3581"/>
      <c r="G13" s="3581"/>
      <c r="H13" s="3581"/>
      <c r="I13" s="3581"/>
    </row>
    <row r="14" spans="1:9" ht="14.25" thickTop="1">
      <c r="A14" s="3582" t="s">
        <v>2039</v>
      </c>
      <c r="B14" s="3582"/>
      <c r="C14" s="3582"/>
      <c r="D14" s="3582"/>
      <c r="E14" s="3582"/>
      <c r="F14" s="3582"/>
      <c r="G14" s="3582"/>
      <c r="H14" s="3582"/>
      <c r="I14" s="3582"/>
    </row>
    <row r="16" spans="1:9" ht="18.75">
      <c r="A16" s="1988" t="s">
        <v>2040</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tabColor rgb="FF92D050"/>
  </sheetPr>
  <dimension ref="A1:AK83"/>
  <sheetViews>
    <sheetView topLeftCell="A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88"/>
      <c r="D1" s="1273"/>
      <c r="E1" s="2581" t="s">
        <v>537</v>
      </c>
      <c r="F1" s="2582">
        <f ca="1">J53</f>
        <v>0</v>
      </c>
      <c r="G1" s="672">
        <f>MATCH(C1,'数据-取费表'!A6:A16,0)+5</f>
        <v>10</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t="e">
        <f ca="1">ROUND(D2/10000,0)</f>
        <v>#DIV/0!</v>
      </c>
      <c r="C2" s="1299" t="s">
        <v>1100</v>
      </c>
      <c r="D2" s="2720" t="e">
        <f ca="1">C40+J29+L46</f>
        <v>#DIV/0!</v>
      </c>
      <c r="E2" s="2571" t="s">
        <v>2619</v>
      </c>
      <c r="F2" s="1276"/>
      <c r="G2" s="2283"/>
      <c r="H2" s="1274"/>
      <c r="I2" s="1274"/>
      <c r="J2" s="1274"/>
      <c r="K2" s="1298"/>
      <c r="L2" s="1274"/>
      <c r="M2" s="1274"/>
    </row>
    <row r="3" spans="1:37" ht="18" customHeight="1" thickBot="1">
      <c r="A3" s="675" t="s">
        <v>344</v>
      </c>
      <c r="B3" s="1407">
        <f ca="1">IF(ISERROR(D2/F43),0,ROUND(D2/F43,0))</f>
        <v>0</v>
      </c>
      <c r="C3" s="1299" t="s">
        <v>1101</v>
      </c>
      <c r="D3" s="1275"/>
      <c r="E3" s="2571"/>
      <c r="F3" s="1276"/>
      <c r="G3" s="2283"/>
      <c r="H3" s="676" t="s">
        <v>911</v>
      </c>
      <c r="I3" s="1274"/>
      <c r="J3" s="1274"/>
      <c r="K3" s="1298"/>
      <c r="L3" s="1274"/>
      <c r="M3" s="1274"/>
    </row>
    <row r="4" spans="1:37" ht="18" customHeight="1">
      <c r="A4" s="677" t="s">
        <v>912</v>
      </c>
      <c r="B4" s="678" t="s">
        <v>913</v>
      </c>
      <c r="C4" s="678" t="s">
        <v>914</v>
      </c>
      <c r="D4" s="678" t="s">
        <v>915</v>
      </c>
      <c r="E4" s="679" t="s">
        <v>916</v>
      </c>
      <c r="F4" s="680"/>
      <c r="G4" s="2284"/>
      <c r="H4" s="677" t="s">
        <v>912</v>
      </c>
      <c r="I4" s="678" t="s">
        <v>913</v>
      </c>
      <c r="J4" s="678" t="s">
        <v>914</v>
      </c>
      <c r="K4" s="678" t="s">
        <v>915</v>
      </c>
      <c r="L4" s="679" t="s">
        <v>916</v>
      </c>
      <c r="M4" s="680"/>
    </row>
    <row r="5" spans="1:37" ht="18" customHeight="1">
      <c r="A5" s="681">
        <v>1</v>
      </c>
      <c r="B5" s="682" t="s">
        <v>2330</v>
      </c>
      <c r="C5" s="2622">
        <f ca="1">C6+C10+C12</f>
        <v>0</v>
      </c>
      <c r="D5" s="2632" t="s">
        <v>2533</v>
      </c>
      <c r="E5" s="2623"/>
      <c r="F5" s="2624"/>
      <c r="G5" s="2284"/>
      <c r="H5" s="681">
        <v>1</v>
      </c>
      <c r="I5" s="682" t="s">
        <v>2330</v>
      </c>
      <c r="J5" s="2622">
        <f ca="1">J6+J10+J12</f>
        <v>0</v>
      </c>
      <c r="K5" s="2625" t="s">
        <v>2533</v>
      </c>
      <c r="L5" s="2623"/>
      <c r="M5" s="2624"/>
    </row>
    <row r="6" spans="1:37" ht="18" customHeight="1">
      <c r="A6" s="2618" t="s">
        <v>2371</v>
      </c>
      <c r="B6" s="3760" t="s">
        <v>2532</v>
      </c>
      <c r="C6" s="2627">
        <f ca="1">ROUND(F6*F8*F7*(1-F9),0)</f>
        <v>0</v>
      </c>
      <c r="D6" s="2621" t="s">
        <v>2534</v>
      </c>
      <c r="E6" s="684" t="s">
        <v>917</v>
      </c>
      <c r="F6" s="685">
        <f ca="1">INDIRECT("'数据-取费表'!u"&amp;$G$1)</f>
        <v>0</v>
      </c>
      <c r="G6" s="2284"/>
      <c r="H6" s="2618" t="s">
        <v>2371</v>
      </c>
      <c r="I6" s="3760" t="s">
        <v>2532</v>
      </c>
      <c r="J6" s="683">
        <f ca="1">ROUND(M6*M8*M7*(1-M9),0)</f>
        <v>0</v>
      </c>
      <c r="K6" s="2621" t="s">
        <v>2534</v>
      </c>
      <c r="L6" s="684" t="s">
        <v>917</v>
      </c>
      <c r="M6" s="685">
        <f ca="1">INDIRECT("'数据-取费表'!z"&amp;$G$1)</f>
        <v>0</v>
      </c>
    </row>
    <row r="7" spans="1:37" ht="18" customHeight="1">
      <c r="A7" s="2626"/>
      <c r="B7" s="3761"/>
      <c r="C7" s="2628"/>
      <c r="D7" s="2057"/>
      <c r="E7" s="2629" t="s">
        <v>918</v>
      </c>
      <c r="F7" s="685">
        <f ca="1">IF(INDIRECT("'数据-取费表'!ah"&amp;$G$1)="",INDIRECT("'数据-取费表'!k"&amp;$G$1),INDIRECT("'数据-取费表'!ah"&amp;$G$1))</f>
        <v>0</v>
      </c>
      <c r="G7" s="2284"/>
      <c r="H7" s="686"/>
      <c r="I7" s="3761"/>
      <c r="J7" s="688"/>
      <c r="K7" s="689"/>
      <c r="L7" s="684" t="s">
        <v>918</v>
      </c>
      <c r="M7" s="685">
        <f ca="1">F7</f>
        <v>0</v>
      </c>
    </row>
    <row r="8" spans="1:37" ht="18" customHeight="1">
      <c r="A8" s="686"/>
      <c r="B8" s="3761"/>
      <c r="C8" s="688"/>
      <c r="D8" s="689"/>
      <c r="E8" s="684" t="s">
        <v>919</v>
      </c>
      <c r="F8" s="685">
        <f ca="1">INDIRECT("'数据-取费表'!ai"&amp;$G$1)</f>
        <v>0</v>
      </c>
      <c r="G8" s="2284"/>
      <c r="H8" s="686"/>
      <c r="I8" s="3761"/>
      <c r="J8" s="688"/>
      <c r="K8" s="689"/>
      <c r="L8" s="684" t="s">
        <v>919</v>
      </c>
      <c r="M8" s="685">
        <f ca="1">INDIRECT("'数据-取费表'!ai"&amp;$G$1)</f>
        <v>0</v>
      </c>
    </row>
    <row r="9" spans="1:37" ht="18" customHeight="1">
      <c r="A9" s="686"/>
      <c r="B9" s="3762"/>
      <c r="C9" s="688"/>
      <c r="D9" s="689"/>
      <c r="E9" s="684" t="s">
        <v>920</v>
      </c>
      <c r="F9" s="694">
        <f ca="1">INDIRECT("'数据-取费表'!w"&amp;$G$1)</f>
        <v>0</v>
      </c>
      <c r="G9" s="2284"/>
      <c r="H9" s="686"/>
      <c r="I9" s="3762"/>
      <c r="J9" s="688"/>
      <c r="K9" s="689"/>
      <c r="L9" s="695" t="s">
        <v>920</v>
      </c>
      <c r="M9" s="696">
        <f ca="1">INDIRECT("'数据-取费表'!ab"&amp;$G$1)</f>
        <v>0</v>
      </c>
    </row>
    <row r="10" spans="1:37" ht="18" customHeight="1">
      <c r="A10" s="2618" t="s">
        <v>2378</v>
      </c>
      <c r="B10" s="2619" t="s">
        <v>2527</v>
      </c>
      <c r="C10" s="698">
        <f ca="1">ROUND(IF(F10="押一",F6*F8*F7/12*F11,IF(F10="押二",F6*F8*F7/12*2*F11,IF(F10="押三",F6*F8*F7/12*3*F11,C11*F11))),0)</f>
        <v>0</v>
      </c>
      <c r="D10" s="2630" t="s">
        <v>2535</v>
      </c>
      <c r="E10" s="2093" t="s">
        <v>2529</v>
      </c>
      <c r="F10" s="2824"/>
      <c r="G10" s="2284"/>
      <c r="H10" s="2618" t="s">
        <v>2378</v>
      </c>
      <c r="I10" s="2619" t="s">
        <v>2527</v>
      </c>
      <c r="J10" s="683">
        <f ca="1">ROUND(IF(M10="押一",M6*M8*M7/12*M11,IF(M10="押二",M6*M8*M7/12*2*M11,IF(M10="押三",M6*M8*M7/12*3*M11,J11*M11))),0)</f>
        <v>0</v>
      </c>
      <c r="K10" s="2630" t="s">
        <v>2535</v>
      </c>
      <c r="L10" s="2093" t="s">
        <v>2529</v>
      </c>
      <c r="M10" s="2824" t="s">
        <v>2690</v>
      </c>
    </row>
    <row r="11" spans="1:37" ht="18" customHeight="1">
      <c r="A11" s="690"/>
      <c r="B11" s="2620" t="s">
        <v>2537</v>
      </c>
      <c r="C11" s="2411"/>
      <c r="D11" s="689"/>
      <c r="E11" s="2093" t="s">
        <v>2530</v>
      </c>
      <c r="F11" s="696">
        <f ca="1">'数据-取费表'!B39</f>
        <v>1.4999999999999999E-2</v>
      </c>
      <c r="G11" s="2284"/>
      <c r="H11" s="2631"/>
      <c r="I11" s="2620" t="s">
        <v>2691</v>
      </c>
      <c r="J11" s="2411"/>
      <c r="K11" s="1280"/>
      <c r="L11" s="2093" t="s">
        <v>2530</v>
      </c>
      <c r="M11" s="2092">
        <f ca="1">'数据-取费表'!B39</f>
        <v>1.4999999999999999E-2</v>
      </c>
    </row>
    <row r="12" spans="1:37" ht="18" customHeight="1" thickBot="1">
      <c r="A12" s="2666" t="s">
        <v>2540</v>
      </c>
      <c r="B12" s="2667" t="s">
        <v>2528</v>
      </c>
      <c r="C12" s="2668"/>
      <c r="D12" s="2669"/>
      <c r="E12" s="2670"/>
      <c r="F12" s="2671"/>
      <c r="G12" s="2284"/>
      <c r="H12" s="2666" t="s">
        <v>2540</v>
      </c>
      <c r="I12" s="2667" t="s">
        <v>2528</v>
      </c>
      <c r="J12" s="2668"/>
      <c r="K12" s="2685"/>
      <c r="L12" s="2670"/>
      <c r="M12" s="2686"/>
    </row>
    <row r="13" spans="1:37" ht="18" customHeight="1" thickTop="1">
      <c r="A13" s="2662">
        <v>2</v>
      </c>
      <c r="B13" s="2663" t="s">
        <v>921</v>
      </c>
      <c r="C13" s="692">
        <f ca="1">ROUND(C29*F13,0)</f>
        <v>0</v>
      </c>
      <c r="D13" s="2664" t="s">
        <v>922</v>
      </c>
      <c r="E13" s="2664" t="s">
        <v>923</v>
      </c>
      <c r="F13" s="2665">
        <f ca="1">INDIRECT("'数据-取费表'!y"&amp;$G$1)</f>
        <v>0</v>
      </c>
      <c r="G13" s="2284"/>
      <c r="H13" s="2662">
        <v>2</v>
      </c>
      <c r="I13" s="2663" t="s">
        <v>921</v>
      </c>
      <c r="J13" s="2617">
        <f ca="1">ROUND(J14*J15,0)</f>
        <v>0</v>
      </c>
      <c r="K13" s="2672" t="s">
        <v>922</v>
      </c>
      <c r="L13" s="2683"/>
      <c r="M13" s="2684"/>
    </row>
    <row r="14" spans="1:37" ht="18" customHeight="1">
      <c r="A14" s="2434" t="s">
        <v>2368</v>
      </c>
      <c r="B14" s="684" t="s">
        <v>357</v>
      </c>
      <c r="C14" s="702">
        <f ca="1">ROUND(INDIRECT("'数据-取费表'!l"&amp;$G$1)*F43+'数据-取费表'!L14*INDIRECT("'数据-取费表'!S"&amp;$G$1),0)</f>
        <v>0</v>
      </c>
      <c r="D14" s="3357" t="s">
        <v>924</v>
      </c>
      <c r="E14" s="3356"/>
      <c r="F14" s="703"/>
      <c r="G14" s="2284"/>
      <c r="H14" s="2434" t="s">
        <v>2371</v>
      </c>
      <c r="I14" s="684" t="s">
        <v>925</v>
      </c>
      <c r="J14" s="313">
        <f ca="1">C29</f>
        <v>0</v>
      </c>
      <c r="K14" s="303"/>
      <c r="L14" s="700"/>
      <c r="M14" s="701"/>
    </row>
    <row r="15" spans="1:37" s="706" customFormat="1" ht="18" customHeight="1" thickBot="1">
      <c r="A15" s="2434" t="s">
        <v>2604</v>
      </c>
      <c r="B15" s="684" t="s">
        <v>358</v>
      </c>
      <c r="C15" s="313">
        <f ca="1">ROUND(C14*F15,0)</f>
        <v>0</v>
      </c>
      <c r="D15" s="704" t="s">
        <v>926</v>
      </c>
      <c r="E15" s="704" t="s">
        <v>363</v>
      </c>
      <c r="F15" s="705">
        <f>'数据-取费表'!B33</f>
        <v>0.03</v>
      </c>
      <c r="G15" s="2285"/>
      <c r="H15" s="2674" t="s">
        <v>2378</v>
      </c>
      <c r="I15" s="2675" t="s">
        <v>923</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2605</v>
      </c>
      <c r="B16" s="684" t="s">
        <v>359</v>
      </c>
      <c r="C16" s="313">
        <f ca="1">ROUND(INDIRECT("'数据-取费表'!l"&amp;$G$1)*F43*F16,0)</f>
        <v>0</v>
      </c>
      <c r="D16" s="684" t="s">
        <v>926</v>
      </c>
      <c r="E16" s="684" t="s">
        <v>363</v>
      </c>
      <c r="F16" s="707">
        <f ca="1">IF(INDIRECT("'数据-取费表'!c"&amp;$G$1)="住宅",'数据-取费表'!B34,0)</f>
        <v>0</v>
      </c>
      <c r="G16" s="2284"/>
      <c r="H16" s="2662" t="s">
        <v>2336</v>
      </c>
      <c r="I16" s="2663" t="s">
        <v>928</v>
      </c>
      <c r="J16" s="692">
        <f ca="1">ROUND(J17+J22+J23+J24,0)</f>
        <v>0</v>
      </c>
      <c r="K16" s="2672" t="s">
        <v>929</v>
      </c>
      <c r="L16" s="2673"/>
      <c r="M16" s="2624"/>
    </row>
    <row r="17" spans="1:37" s="706" customFormat="1" ht="18" customHeight="1">
      <c r="A17" s="2434" t="s">
        <v>2606</v>
      </c>
      <c r="B17" s="684" t="s">
        <v>360</v>
      </c>
      <c r="C17" s="313">
        <f ca="1">ROUND(F17*(F43+INDIRECT("'数据-取费表'!S"&amp;$G$1)),0)</f>
        <v>0</v>
      </c>
      <c r="D17" s="684" t="s">
        <v>930</v>
      </c>
      <c r="E17" s="684" t="s">
        <v>931</v>
      </c>
      <c r="F17" s="315">
        <f>'数据-取费表'!B35</f>
        <v>200</v>
      </c>
      <c r="G17" s="2285"/>
      <c r="H17" s="2434" t="s">
        <v>2371</v>
      </c>
      <c r="I17" s="684" t="s">
        <v>361</v>
      </c>
      <c r="J17" s="313">
        <f ca="1">ROUND(IF(项目基本情况!B11="自然人",J5*M17,J18+J19+J20),0)</f>
        <v>0</v>
      </c>
      <c r="K17" s="3357" t="s">
        <v>932</v>
      </c>
      <c r="L17" s="3358"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2607</v>
      </c>
      <c r="B18" s="684" t="s">
        <v>362</v>
      </c>
      <c r="C18" s="313">
        <f ca="1">ROUND(C14*F18,0)</f>
        <v>0</v>
      </c>
      <c r="D18" s="684" t="s">
        <v>926</v>
      </c>
      <c r="E18" s="684" t="s">
        <v>363</v>
      </c>
      <c r="F18" s="707">
        <f>'数据-取费表'!B36</f>
        <v>1.4999999999999999E-2</v>
      </c>
      <c r="G18" s="2285"/>
      <c r="H18" s="2434" t="s">
        <v>2368</v>
      </c>
      <c r="I18" s="684" t="s">
        <v>934</v>
      </c>
      <c r="J18" s="313">
        <f ca="1">ROUND(J5*M18/(1+'数据-取费表'!C42),0)</f>
        <v>0</v>
      </c>
      <c r="K18" s="3358" t="s">
        <v>935</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2371</v>
      </c>
      <c r="B19" s="684" t="s">
        <v>364</v>
      </c>
      <c r="C19" s="313">
        <f ca="1">SUM(C14:C18)</f>
        <v>0</v>
      </c>
      <c r="D19" s="471" t="s">
        <v>936</v>
      </c>
      <c r="E19" s="3360"/>
      <c r="F19" s="315"/>
      <c r="G19" s="2284"/>
      <c r="H19" s="2434" t="s">
        <v>2604</v>
      </c>
      <c r="I19" s="684" t="s">
        <v>937</v>
      </c>
      <c r="J19" s="313">
        <f ca="1">IF(K19="按租金收入计税",ROUND(J5*M19,0),ROUND(C29*M19*0.7,0))</f>
        <v>0</v>
      </c>
      <c r="K19" s="1300" t="s">
        <v>2411</v>
      </c>
      <c r="L19" s="684" t="s">
        <v>363</v>
      </c>
      <c r="M19" s="707">
        <f>IF(K19="按租金收入计税",'数据-取费表'!B51,'数据-取费表'!B50)</f>
        <v>1.2E-2</v>
      </c>
    </row>
    <row r="20" spans="1:37" s="706" customFormat="1" ht="18" customHeight="1">
      <c r="A20" s="2434" t="s">
        <v>2608</v>
      </c>
      <c r="B20" s="684" t="s">
        <v>365</v>
      </c>
      <c r="C20" s="313">
        <f ca="1">ROUND(C19*F20,0)</f>
        <v>0</v>
      </c>
      <c r="D20" s="709" t="s">
        <v>938</v>
      </c>
      <c r="E20" s="684" t="s">
        <v>363</v>
      </c>
      <c r="F20" s="707">
        <f>'数据-取费表'!B37</f>
        <v>1.4999999999999999E-2</v>
      </c>
      <c r="G20" s="2285"/>
      <c r="H20" s="2434" t="s">
        <v>2605</v>
      </c>
      <c r="I20" s="496" t="s">
        <v>939</v>
      </c>
      <c r="J20" s="314">
        <f ca="1">ROUND(M20*M21,0)</f>
        <v>0</v>
      </c>
      <c r="K20" s="710" t="s">
        <v>940</v>
      </c>
      <c r="L20" s="684" t="s">
        <v>941</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2609</v>
      </c>
      <c r="B21" s="684" t="s">
        <v>942</v>
      </c>
      <c r="C21" s="313" t="s">
        <v>23</v>
      </c>
      <c r="D21" s="709" t="s">
        <v>943</v>
      </c>
      <c r="E21" s="684" t="s">
        <v>944</v>
      </c>
      <c r="F21" s="707">
        <f>'数据-取费表'!B38</f>
        <v>1.4999999999999999E-2</v>
      </c>
      <c r="G21" s="2285"/>
      <c r="H21" s="712"/>
      <c r="I21" s="693"/>
      <c r="J21" s="318"/>
      <c r="K21" s="713"/>
      <c r="L21" s="684" t="s">
        <v>945</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2610</v>
      </c>
      <c r="B22" s="684" t="s">
        <v>946</v>
      </c>
      <c r="C22" s="313"/>
      <c r="D22" s="2697" t="str">
        <f>IF(F23&lt;=1,"单利计息。","复利计息。")&amp;"建造成本、管理费用、销售费用产生的利息。"</f>
        <v>复利计息。建造成本、管理费用、销售费用产生的利息。</v>
      </c>
      <c r="E22" s="3360"/>
      <c r="F22" s="315"/>
      <c r="G22" s="2284"/>
      <c r="H22" s="2434" t="s">
        <v>2378</v>
      </c>
      <c r="I22" s="684" t="s">
        <v>947</v>
      </c>
      <c r="J22" s="313">
        <f ca="1">ROUND(J14*M22,0)</f>
        <v>0</v>
      </c>
      <c r="K22" s="3358" t="s">
        <v>948</v>
      </c>
      <c r="L22" s="684" t="s">
        <v>363</v>
      </c>
      <c r="M22" s="714">
        <f ca="1">INDIRECT("'数据-取费表'!Ak"&amp;$G$1)</f>
        <v>0</v>
      </c>
    </row>
    <row r="23" spans="1:37" s="706" customFormat="1" ht="18" customHeight="1">
      <c r="A23" s="2434" t="s">
        <v>2368</v>
      </c>
      <c r="B23" s="684" t="s">
        <v>2524</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949</v>
      </c>
      <c r="F23" s="711">
        <f>'数据-取费表'!B20</f>
        <v>3</v>
      </c>
      <c r="G23" s="2285"/>
      <c r="H23" s="2434" t="s">
        <v>2609</v>
      </c>
      <c r="I23" s="684" t="s">
        <v>366</v>
      </c>
      <c r="J23" s="313">
        <f ca="1">ROUND(J13*M23,0)</f>
        <v>0</v>
      </c>
      <c r="K23" s="3358" t="s">
        <v>367</v>
      </c>
      <c r="L23" s="684" t="s">
        <v>363</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2374</v>
      </c>
      <c r="B24" s="684" t="s">
        <v>951</v>
      </c>
      <c r="C24" s="313">
        <f ca="1">ROUND(IF('数据-取费表'!B22&lt;=1,F21*F24*F23/2,F21*(POWER((1+F24),F23/2)-1)),4)</f>
        <v>1.1000000000000001E-3</v>
      </c>
      <c r="D24" s="2701" t="str">
        <f>IF(F23&lt;=1,"销售费用×利率×(建设周期÷2)","销售费用×((1+利率)^(建设周期÷2)-1)")</f>
        <v>销售费用×((1+利率)^(建设周期÷2)-1)</v>
      </c>
      <c r="E24" s="684" t="s">
        <v>952</v>
      </c>
      <c r="F24" s="717">
        <f ca="1">'数据-取费表'!B40</f>
        <v>4.7500000000000001E-2</v>
      </c>
      <c r="G24" s="2285"/>
      <c r="H24" s="2674" t="s">
        <v>2610</v>
      </c>
      <c r="I24" s="2675" t="s">
        <v>365</v>
      </c>
      <c r="J24" s="2676">
        <f ca="1">ROUND(J5*M24,0)</f>
        <v>0</v>
      </c>
      <c r="K24" s="2677" t="s">
        <v>369</v>
      </c>
      <c r="L24" s="2675" t="s">
        <v>363</v>
      </c>
      <c r="M24" s="2671">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2375</v>
      </c>
      <c r="B25" s="684" t="s">
        <v>370</v>
      </c>
      <c r="C25" s="313"/>
      <c r="D25" s="471" t="s">
        <v>954</v>
      </c>
      <c r="E25" s="3360"/>
      <c r="F25" s="315"/>
      <c r="G25" s="2284"/>
      <c r="H25" s="2662" t="s">
        <v>2351</v>
      </c>
      <c r="I25" s="2679" t="s">
        <v>375</v>
      </c>
      <c r="J25" s="692">
        <f ca="1">J5-J16</f>
        <v>0</v>
      </c>
      <c r="K25" s="2680" t="s">
        <v>376</v>
      </c>
      <c r="L25" s="2681"/>
      <c r="M25" s="2682"/>
    </row>
    <row r="26" spans="1:37" ht="18" customHeight="1">
      <c r="A26" s="2434" t="s">
        <v>2368</v>
      </c>
      <c r="B26" s="684" t="s">
        <v>2525</v>
      </c>
      <c r="C26" s="313">
        <f ca="1">ROUND((C19+C20)*F26,0)</f>
        <v>0</v>
      </c>
      <c r="D26" s="709" t="s">
        <v>957</v>
      </c>
      <c r="E26" s="695" t="s">
        <v>958</v>
      </c>
      <c r="F26" s="694">
        <f ca="1">INDIRECT("'数据-取费表'!q"&amp;$G$1)</f>
        <v>0</v>
      </c>
      <c r="G26" s="2284"/>
      <c r="H26" s="681" t="s">
        <v>2354</v>
      </c>
      <c r="I26" s="682" t="s">
        <v>959</v>
      </c>
      <c r="J26" s="683">
        <f ca="1">IF(J5&lt;&gt;0,ROUND(J25*(1-((1+M28)/(1+M26))^M27)/(M26-M28),0),0)</f>
        <v>0</v>
      </c>
      <c r="K26" s="710" t="s">
        <v>371</v>
      </c>
      <c r="L26" s="684" t="s">
        <v>372</v>
      </c>
      <c r="M26" s="694">
        <f ca="1">INDIRECT("'数据-取费表'!I"&amp;$G$1)</f>
        <v>0</v>
      </c>
    </row>
    <row r="27" spans="1:37" ht="18" customHeight="1">
      <c r="A27" s="2434" t="s">
        <v>2374</v>
      </c>
      <c r="B27" s="684" t="s">
        <v>373</v>
      </c>
      <c r="C27" s="313">
        <f ca="1">ROUND(F21*F26,4)</f>
        <v>0</v>
      </c>
      <c r="D27" s="709" t="s">
        <v>961</v>
      </c>
      <c r="E27" s="704"/>
      <c r="F27" s="705"/>
      <c r="G27" s="2284"/>
      <c r="H27" s="686"/>
      <c r="I27" s="687"/>
      <c r="J27" s="688"/>
      <c r="K27" s="718" t="s">
        <v>962</v>
      </c>
      <c r="L27" s="684" t="s">
        <v>379</v>
      </c>
      <c r="M27" s="719">
        <f ca="1">INDIRECT("'数据-取费表'!ag"&amp;$G$1)</f>
        <v>0</v>
      </c>
    </row>
    <row r="28" spans="1:37" s="706" customFormat="1" ht="18" customHeight="1">
      <c r="A28" s="2434" t="s">
        <v>2376</v>
      </c>
      <c r="B28" s="684" t="s">
        <v>374</v>
      </c>
      <c r="C28" s="313">
        <f>ROUND(F28/(1+'数据-取费表'!C42),4)</f>
        <v>5.33E-2</v>
      </c>
      <c r="D28" s="709" t="s">
        <v>968</v>
      </c>
      <c r="E28" s="684" t="s">
        <v>363</v>
      </c>
      <c r="F28" s="707">
        <f>'数据-取费表'!B41</f>
        <v>5.6000000000000001E-2</v>
      </c>
      <c r="G28" s="2285"/>
      <c r="H28" s="690"/>
      <c r="I28" s="691"/>
      <c r="J28" s="692"/>
      <c r="K28" s="713"/>
      <c r="L28" s="684" t="s">
        <v>380</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2377</v>
      </c>
      <c r="B29" s="2675" t="s">
        <v>970</v>
      </c>
      <c r="C29" s="2676">
        <f ca="1">ROUND((C19+C20+C23+C26)/(1-F21-C24-C27-C28),0)</f>
        <v>0</v>
      </c>
      <c r="D29" s="2677"/>
      <c r="E29" s="2675"/>
      <c r="F29" s="2678"/>
      <c r="G29" s="2285"/>
      <c r="H29" s="720" t="s">
        <v>2361</v>
      </c>
      <c r="I29" s="721" t="s">
        <v>963</v>
      </c>
      <c r="J29" s="722">
        <f ca="1">ROUND(J26/(1+F40)^F41,0)</f>
        <v>0</v>
      </c>
      <c r="K29" s="723" t="s">
        <v>964</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2336</v>
      </c>
      <c r="B30" s="2663" t="s">
        <v>928</v>
      </c>
      <c r="C30" s="692">
        <f ca="1">ROUND(C31+C36+C37+C38,0)</f>
        <v>0</v>
      </c>
      <c r="D30" s="2672" t="s">
        <v>929</v>
      </c>
      <c r="E30" s="2673"/>
      <c r="F30" s="2624"/>
      <c r="G30" s="2284"/>
      <c r="H30" s="1277"/>
      <c r="I30" s="1278"/>
      <c r="J30" s="1279"/>
      <c r="K30" s="1280"/>
      <c r="L30" s="1281"/>
      <c r="M30" s="1282"/>
    </row>
    <row r="31" spans="1:37" ht="18" customHeight="1">
      <c r="A31" s="2434" t="s">
        <v>2371</v>
      </c>
      <c r="B31" s="684" t="s">
        <v>361</v>
      </c>
      <c r="C31" s="313">
        <f ca="1">ROUND(IF(项目基本情况!B11="自然人",C5*F31,C32+C33+C34),0)</f>
        <v>0</v>
      </c>
      <c r="D31" s="3357" t="s">
        <v>932</v>
      </c>
      <c r="E31" s="3358" t="s">
        <v>971</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2368</v>
      </c>
      <c r="B32" s="684" t="s">
        <v>934</v>
      </c>
      <c r="C32" s="313">
        <f ca="1">IF(项目基本情况!B11="自然人","——",ROUND(C5*F32/(1+'数据-取费表'!C42),0))</f>
        <v>0</v>
      </c>
      <c r="D32" s="3358" t="s">
        <v>935</v>
      </c>
      <c r="E32" s="684" t="s">
        <v>363</v>
      </c>
      <c r="F32" s="717">
        <f>'数据-取费表'!B41</f>
        <v>5.6000000000000001E-2</v>
      </c>
      <c r="G32" s="2284"/>
      <c r="H32" s="1283"/>
      <c r="I32" s="1284"/>
      <c r="J32" s="1285"/>
      <c r="K32" s="1286"/>
      <c r="L32" s="1287"/>
      <c r="M32" s="1288"/>
    </row>
    <row r="33" spans="1:18" ht="18" customHeight="1">
      <c r="A33" s="2434" t="s">
        <v>2604</v>
      </c>
      <c r="B33" s="684" t="s">
        <v>937</v>
      </c>
      <c r="C33" s="313">
        <f ca="1">IF(项目基本情况!B11="自然人","——",IF(D33="按租金收入计税",ROUND(C5*F33,0),IF(D33="按房产原值计税",ROUND(C29*F33*0.7,0),INDIRECT("'数据-取费表'!Aj"&amp;$G$1))))</f>
        <v>0</v>
      </c>
      <c r="D33" s="1300" t="s">
        <v>2411</v>
      </c>
      <c r="E33" s="684" t="s">
        <v>363</v>
      </c>
      <c r="F33" s="707">
        <f>IF(D33="按票据","——",IF(D33="按租金收入计税",'数据-取费表'!B51,'数据-取费表'!B50))</f>
        <v>1.2E-2</v>
      </c>
      <c r="G33" s="2284"/>
      <c r="H33" s="1289"/>
      <c r="I33" s="2877"/>
      <c r="J33" s="2878"/>
      <c r="K33" s="1290"/>
      <c r="L33" s="1289"/>
      <c r="M33" s="1289"/>
    </row>
    <row r="34" spans="1:18" ht="18" customHeight="1">
      <c r="A34" s="2618" t="s">
        <v>2605</v>
      </c>
      <c r="B34" s="496" t="s">
        <v>939</v>
      </c>
      <c r="C34" s="314">
        <f ca="1">IF(项目基本情况!B11="自然人","——",ROUND(F34*F35,))</f>
        <v>0</v>
      </c>
      <c r="D34" s="710" t="s">
        <v>940</v>
      </c>
      <c r="E34" s="684" t="s">
        <v>941</v>
      </c>
      <c r="F34" s="711">
        <f>'数据-取费表'!B52</f>
        <v>4</v>
      </c>
      <c r="G34" s="2284"/>
      <c r="H34" s="1277"/>
      <c r="I34" s="2877"/>
      <c r="J34" s="2878"/>
      <c r="K34" s="1291"/>
      <c r="L34" s="1292"/>
      <c r="M34" s="1292"/>
    </row>
    <row r="35" spans="1:18" ht="18" customHeight="1">
      <c r="A35" s="2692"/>
      <c r="B35" s="2690"/>
      <c r="C35" s="318"/>
      <c r="D35" s="713"/>
      <c r="E35" s="684" t="s">
        <v>945</v>
      </c>
      <c r="F35" s="685">
        <f ca="1">INDIRECT("'数据-取费表'!r"&amp;$G$1)</f>
        <v>0</v>
      </c>
      <c r="G35" s="2284"/>
      <c r="H35" s="1277"/>
      <c r="I35" s="2877"/>
      <c r="J35" s="2878"/>
      <c r="K35" s="1290"/>
      <c r="L35" s="1289"/>
      <c r="M35" s="1289"/>
    </row>
    <row r="36" spans="1:18" ht="18" customHeight="1">
      <c r="A36" s="2691" t="s">
        <v>2378</v>
      </c>
      <c r="B36" s="684" t="s">
        <v>947</v>
      </c>
      <c r="C36" s="313">
        <f ca="1">ROUND(C29*F36,0)</f>
        <v>0</v>
      </c>
      <c r="D36" s="3358" t="s">
        <v>977</v>
      </c>
      <c r="E36" s="684" t="s">
        <v>363</v>
      </c>
      <c r="F36" s="714">
        <f ca="1">INDIRECT("'数据-取费表'!Ak"&amp;$G$1)</f>
        <v>0</v>
      </c>
      <c r="G36" s="2284"/>
      <c r="H36" s="1289"/>
      <c r="I36" s="2877"/>
      <c r="J36" s="2878"/>
      <c r="K36" s="1293"/>
      <c r="L36" s="1289"/>
      <c r="M36" s="1289"/>
    </row>
    <row r="37" spans="1:18" ht="18" customHeight="1">
      <c r="A37" s="2434" t="s">
        <v>2609</v>
      </c>
      <c r="B37" s="684" t="s">
        <v>366</v>
      </c>
      <c r="C37" s="313">
        <f ca="1">ROUND(C13*F37,0)</f>
        <v>0</v>
      </c>
      <c r="D37" s="3358" t="s">
        <v>367</v>
      </c>
      <c r="E37" s="684" t="s">
        <v>363</v>
      </c>
      <c r="F37" s="716">
        <f ca="1">INDIRECT("'数据-取费表'!Al"&amp;$G$1)</f>
        <v>0</v>
      </c>
      <c r="G37" s="2284"/>
      <c r="H37" s="1289"/>
      <c r="I37" s="2877"/>
      <c r="J37" s="2878"/>
      <c r="K37" s="1293"/>
      <c r="L37" s="1289"/>
      <c r="M37" s="1289"/>
    </row>
    <row r="38" spans="1:18" ht="18" customHeight="1" thickBot="1">
      <c r="A38" s="2674" t="s">
        <v>2610</v>
      </c>
      <c r="B38" s="2675" t="s">
        <v>365</v>
      </c>
      <c r="C38" s="2676">
        <f ca="1">ROUND(C5*F38,1)</f>
        <v>0</v>
      </c>
      <c r="D38" s="2677" t="s">
        <v>369</v>
      </c>
      <c r="E38" s="2675" t="s">
        <v>363</v>
      </c>
      <c r="F38" s="2671">
        <f ca="1">INDIRECT("'数据-取费表'!Am"&amp;$G$1)</f>
        <v>0</v>
      </c>
      <c r="G38" s="2284"/>
      <c r="H38" s="1289"/>
      <c r="I38" s="2877"/>
      <c r="J38" s="2878"/>
      <c r="K38" s="1294"/>
      <c r="L38" s="1289"/>
      <c r="M38" s="1289"/>
    </row>
    <row r="39" spans="1:18" ht="24.6" customHeight="1" thickTop="1">
      <c r="A39" s="2662" t="s">
        <v>2351</v>
      </c>
      <c r="B39" s="2679" t="s">
        <v>375</v>
      </c>
      <c r="C39" s="692">
        <f ca="1">C5-C30</f>
        <v>0</v>
      </c>
      <c r="D39" s="2680" t="s">
        <v>376</v>
      </c>
      <c r="E39" s="2681"/>
      <c r="F39" s="2682"/>
      <c r="G39" s="2284"/>
      <c r="H39" s="1289"/>
      <c r="I39" s="2877"/>
      <c r="J39" s="2878"/>
      <c r="K39" s="1294"/>
      <c r="L39" s="1289"/>
      <c r="M39" s="1289"/>
    </row>
    <row r="40" spans="1:18" ht="18" customHeight="1">
      <c r="A40" s="681" t="s">
        <v>2354</v>
      </c>
      <c r="B40" s="682" t="s">
        <v>377</v>
      </c>
      <c r="C40" s="683" t="e">
        <f ca="1">ROUND(C39*(1-((1+F42)/(1+F40))^F41)/(F40-F42),0)</f>
        <v>#DIV/0!</v>
      </c>
      <c r="D40" s="710" t="s">
        <v>371</v>
      </c>
      <c r="E40" s="684" t="s">
        <v>372</v>
      </c>
      <c r="F40" s="694">
        <f ca="1">INDIRECT("'数据-取费表'!I"&amp;$G$1)</f>
        <v>0</v>
      </c>
      <c r="G40" s="2284"/>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0</v>
      </c>
      <c r="G41" s="2284"/>
      <c r="H41" s="1191"/>
      <c r="I41" s="2877"/>
      <c r="J41" s="2878"/>
      <c r="K41" s="1293"/>
      <c r="L41" s="1191"/>
      <c r="M41" s="1191"/>
    </row>
    <row r="42" spans="1:18" ht="18" customHeight="1">
      <c r="A42" s="690"/>
      <c r="B42" s="691"/>
      <c r="C42" s="692"/>
      <c r="D42" s="713"/>
      <c r="E42" s="684" t="s">
        <v>380</v>
      </c>
      <c r="F42" s="694">
        <f ca="1">INDIRECT("'数据-取费表'!v"&amp;$G$1)</f>
        <v>0</v>
      </c>
      <c r="G42" s="2284"/>
      <c r="H42" s="1191"/>
      <c r="I42" s="2877"/>
      <c r="J42" s="2878"/>
      <c r="K42" s="1293"/>
      <c r="L42" s="1191"/>
      <c r="M42" s="1191"/>
    </row>
    <row r="43" spans="1:18" ht="18" customHeight="1" thickBot="1">
      <c r="A43" s="720" t="s">
        <v>2361</v>
      </c>
      <c r="B43" s="721" t="s">
        <v>381</v>
      </c>
      <c r="C43" s="722" t="e">
        <f ca="1">ROUND(C40/F43,0)</f>
        <v>#DIV/0!</v>
      </c>
      <c r="D43" s="723" t="s">
        <v>382</v>
      </c>
      <c r="E43" s="724" t="s">
        <v>383</v>
      </c>
      <c r="F43" s="725">
        <f ca="1">INDIRECT("'数据-取费表'!k"&amp;$G$1)</f>
        <v>0</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3" t="e">
        <f ca="1">C68-C40</f>
        <v>#DIV/0!</v>
      </c>
      <c r="D45" s="2724" t="s">
        <v>2619</v>
      </c>
      <c r="E45" s="1432"/>
      <c r="F45" s="1432"/>
      <c r="O45" s="2587" t="s">
        <v>2484</v>
      </c>
      <c r="P45" s="1295"/>
      <c r="Q45" s="1295"/>
      <c r="R45" s="1295"/>
    </row>
    <row r="46" spans="1:18" s="1454" customFormat="1" ht="21" thickBot="1">
      <c r="A46" s="2392" t="s">
        <v>2323</v>
      </c>
      <c r="B46" s="2393"/>
      <c r="C46" s="2721" t="e">
        <f ca="1">ROUND(C45/10000,0)</f>
        <v>#DIV/0!</v>
      </c>
      <c r="D46" s="2722" t="str">
        <f>C2</f>
        <v>万元</v>
      </c>
      <c r="I46" s="2574" t="s">
        <v>2419</v>
      </c>
      <c r="J46" s="2575"/>
      <c r="K46" s="2576"/>
      <c r="L46" s="2578" t="e">
        <f ca="1">IF(M47="住宅",0,IF(L48&gt;J51,L60,J60))</f>
        <v>#DIV/0!</v>
      </c>
      <c r="O46" s="2590" t="s">
        <v>2462</v>
      </c>
      <c r="P46" s="2591" t="s">
        <v>2463</v>
      </c>
      <c r="Q46" s="2592" t="s">
        <v>2461</v>
      </c>
      <c r="R46" s="2592" t="s">
        <v>2464</v>
      </c>
    </row>
    <row r="47" spans="1:18" s="1454" customFormat="1" ht="15.75" thickBot="1">
      <c r="A47" s="2394" t="s">
        <v>912</v>
      </c>
      <c r="B47" s="2430" t="s">
        <v>913</v>
      </c>
      <c r="C47" s="2430" t="s">
        <v>914</v>
      </c>
      <c r="D47" s="2430" t="s">
        <v>915</v>
      </c>
      <c r="E47" s="2533" t="s">
        <v>916</v>
      </c>
      <c r="F47" s="2534"/>
      <c r="G47" s="1456"/>
      <c r="I47" s="2549" t="s">
        <v>2412</v>
      </c>
      <c r="J47" s="2550"/>
      <c r="K47" s="2559" t="s">
        <v>2435</v>
      </c>
      <c r="L47" s="2560">
        <f ca="1">INDIRECT("'数据-取费表'!d"&amp;$G$1)</f>
        <v>0</v>
      </c>
      <c r="M47" s="2580" t="str">
        <f>IF(ISNUMBER(FIND("住宅",C1)),"住宅","非住宅")</f>
        <v>非住宅</v>
      </c>
      <c r="O47" s="2583" t="s">
        <v>2447</v>
      </c>
      <c r="P47" s="2593" t="s">
        <v>2465</v>
      </c>
      <c r="Q47" s="2584" t="e">
        <f ca="1">C40+J29</f>
        <v>#DIV/0!</v>
      </c>
      <c r="R47" s="2584" t="s">
        <v>2466</v>
      </c>
    </row>
    <row r="48" spans="1:18" s="1454" customFormat="1" ht="47.25" thickBot="1">
      <c r="A48" s="2707" t="s">
        <v>2615</v>
      </c>
      <c r="B48" s="682" t="s">
        <v>2330</v>
      </c>
      <c r="C48" s="3359">
        <f ca="1">C49+C53+C55</f>
        <v>0</v>
      </c>
      <c r="D48" s="2711"/>
      <c r="E48" s="2712"/>
      <c r="F48" s="2414"/>
      <c r="G48" s="1456"/>
      <c r="H48" s="1457"/>
      <c r="I48" s="2540" t="s">
        <v>2413</v>
      </c>
      <c r="J48" s="2551"/>
      <c r="K48" s="2561" t="s">
        <v>681</v>
      </c>
      <c r="L48" s="2164">
        <f ca="1">INDIRECT("'数据-取费表'!f"&amp;$G$1)</f>
        <v>0</v>
      </c>
      <c r="O48" s="2583" t="s">
        <v>2448</v>
      </c>
      <c r="P48" s="2593" t="s">
        <v>2467</v>
      </c>
      <c r="Q48" s="2584" t="e">
        <f ca="1">J60</f>
        <v>#DIV/0!</v>
      </c>
      <c r="R48" s="2584" t="s">
        <v>2475</v>
      </c>
    </row>
    <row r="49" spans="1:18" s="1454" customFormat="1" ht="15.75" thickBot="1">
      <c r="A49" s="2427" t="s">
        <v>2616</v>
      </c>
      <c r="B49" s="2710" t="s">
        <v>2618</v>
      </c>
      <c r="C49" s="2719">
        <f ca="1">ROUND(F49*F51*F50*(1-F52),0)</f>
        <v>0</v>
      </c>
      <c r="D49" s="2529" t="s">
        <v>2331</v>
      </c>
      <c r="E49" s="2532" t="s">
        <v>2324</v>
      </c>
      <c r="F49" s="2535"/>
      <c r="G49" s="1458"/>
      <c r="H49" s="1457"/>
      <c r="I49" s="2540" t="s">
        <v>2433</v>
      </c>
      <c r="J49" s="2552"/>
      <c r="K49" s="2562" t="s">
        <v>2438</v>
      </c>
      <c r="L49" s="2563"/>
      <c r="O49" s="2585" t="s">
        <v>2449</v>
      </c>
      <c r="P49" s="2593" t="s">
        <v>2468</v>
      </c>
      <c r="Q49" s="2584">
        <f ca="1">C29</f>
        <v>0</v>
      </c>
      <c r="R49" s="2584" t="s">
        <v>2466</v>
      </c>
    </row>
    <row r="50" spans="1:18" s="1454" customFormat="1" ht="15.75" thickBot="1">
      <c r="A50" s="2428"/>
      <c r="B50" s="2431"/>
      <c r="C50" s="2432"/>
      <c r="D50" s="2401"/>
      <c r="E50" s="2530" t="s">
        <v>918</v>
      </c>
      <c r="F50" s="2531">
        <f ca="1">F7</f>
        <v>0</v>
      </c>
      <c r="H50" s="1457"/>
      <c r="I50" s="2540" t="s">
        <v>2415</v>
      </c>
      <c r="J50" s="2553">
        <f>SUMPRODUCT((I63:I65=J47)*(J62:L62=J48)*(J63:L65))</f>
        <v>0</v>
      </c>
      <c r="K50" s="2562" t="s">
        <v>2439</v>
      </c>
      <c r="L50" s="2563"/>
      <c r="M50" s="2557"/>
      <c r="O50" s="2585" t="s">
        <v>2450</v>
      </c>
      <c r="P50" s="2593" t="s">
        <v>2476</v>
      </c>
      <c r="Q50" s="2586" t="e">
        <f ca="1">J58</f>
        <v>#DIV/0!</v>
      </c>
      <c r="R50" s="2584"/>
    </row>
    <row r="51" spans="1:18" s="1454" customFormat="1" ht="15.75" thickBot="1">
      <c r="A51" s="2429"/>
      <c r="B51" s="2431"/>
      <c r="C51" s="2432"/>
      <c r="D51" s="2401"/>
      <c r="E51" s="2433" t="s">
        <v>919</v>
      </c>
      <c r="F51" s="685">
        <f ca="1">F8</f>
        <v>0</v>
      </c>
      <c r="I51" s="2554" t="s">
        <v>2420</v>
      </c>
      <c r="J51" s="2555">
        <f>IF(J49="",J50,J49+J50-YEAR('数据-取费表'!B2))</f>
        <v>0</v>
      </c>
      <c r="K51" s="2564" t="s">
        <v>2440</v>
      </c>
      <c r="L51" s="2577">
        <f ca="1">ROUND(-PV(INDIRECT("'数据-取费表'!h"&amp;$G$1),L48,(C39-C13*C76),0),0)</f>
        <v>0</v>
      </c>
      <c r="M51" s="2558"/>
      <c r="O51" s="2585" t="s">
        <v>2451</v>
      </c>
      <c r="P51" s="2593" t="s">
        <v>2477</v>
      </c>
      <c r="Q51" s="2586">
        <f>J52</f>
        <v>0</v>
      </c>
      <c r="R51" s="2584"/>
    </row>
    <row r="52" spans="1:18" s="1454" customFormat="1" ht="15.75" thickBot="1">
      <c r="A52" s="2429"/>
      <c r="B52" s="2431"/>
      <c r="C52" s="2432"/>
      <c r="D52" s="2401"/>
      <c r="E52" s="2433" t="s">
        <v>920</v>
      </c>
      <c r="F52" s="2528"/>
      <c r="I52" s="2556" t="s">
        <v>2443</v>
      </c>
      <c r="J52" s="2570"/>
      <c r="K52" s="2556" t="s">
        <v>2428</v>
      </c>
      <c r="L52" s="2570"/>
      <c r="M52" s="2393"/>
      <c r="O52" s="2585" t="s">
        <v>2452</v>
      </c>
      <c r="P52" s="2593" t="s">
        <v>2469</v>
      </c>
      <c r="Q52" s="2584">
        <f ca="1">J53</f>
        <v>0</v>
      </c>
      <c r="R52" s="2584" t="s">
        <v>2470</v>
      </c>
    </row>
    <row r="53" spans="1:18" s="1454" customFormat="1" ht="43.5" thickBot="1">
      <c r="A53" s="2708" t="s">
        <v>2617</v>
      </c>
      <c r="B53" s="2709" t="s">
        <v>2527</v>
      </c>
      <c r="C53" s="698">
        <f ca="1">ROUND(IF(F53="押一",F49*F51*F50/12*F11,IF(F53="押二",F49*F51*F50/12*2*F11,IF(F53="押三",F49*F51*F50/12*3*F11,C54*F11))),0)</f>
        <v>0</v>
      </c>
      <c r="D53" s="2630" t="s">
        <v>2535</v>
      </c>
      <c r="E53" s="2093" t="s">
        <v>2529</v>
      </c>
      <c r="F53" s="2824"/>
      <c r="I53" s="2566" t="s">
        <v>2445</v>
      </c>
      <c r="J53" s="2567">
        <f ca="1">IF(M47="住宅",J51,MIN(J51,L48))</f>
        <v>0</v>
      </c>
      <c r="K53" s="3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59"/>
      <c r="O53" s="2583" t="s">
        <v>2453</v>
      </c>
      <c r="P53" s="2593" t="s">
        <v>2471</v>
      </c>
      <c r="Q53" s="2584" t="e">
        <f ca="1">Q47+Q48</f>
        <v>#DIV/0!</v>
      </c>
      <c r="R53" s="2584" t="s">
        <v>2454</v>
      </c>
    </row>
    <row r="54" spans="1:18" s="1454" customFormat="1" ht="16.5" thickBot="1">
      <c r="A54" s="2427"/>
      <c r="B54" s="2821" t="s">
        <v>2691</v>
      </c>
      <c r="C54" s="2411"/>
      <c r="D54" s="2630"/>
      <c r="E54" s="3355"/>
      <c r="F54" s="2536"/>
      <c r="I54" s="2408"/>
      <c r="J54" s="2565"/>
      <c r="K54" s="2565"/>
      <c r="L54" s="2565"/>
      <c r="M54" s="1458"/>
      <c r="O54" s="2587" t="s">
        <v>2478</v>
      </c>
      <c r="P54" s="1295"/>
      <c r="Q54" s="1295"/>
      <c r="R54" s="1295"/>
    </row>
    <row r="55" spans="1:18" s="1454" customFormat="1" ht="15.75" thickBot="1">
      <c r="A55" s="2666" t="s">
        <v>2540</v>
      </c>
      <c r="B55" s="2667" t="s">
        <v>2528</v>
      </c>
      <c r="C55" s="2668"/>
      <c r="D55" s="2630"/>
      <c r="E55" s="3355"/>
      <c r="F55" s="2536"/>
      <c r="I55" s="3314" t="s">
        <v>2421</v>
      </c>
      <c r="J55" s="3313" t="e">
        <f ca="1">ROUND(IF(J47="钢混",J57/J50,1-(1-2%)*(J50-J57)/J50),3)</f>
        <v>#DIV/0!</v>
      </c>
      <c r="K55" s="2547" t="s">
        <v>2422</v>
      </c>
      <c r="L55" s="2569"/>
      <c r="O55" s="2590" t="s">
        <v>2462</v>
      </c>
      <c r="P55" s="2591" t="s">
        <v>2463</v>
      </c>
      <c r="Q55" s="2592" t="s">
        <v>2461</v>
      </c>
      <c r="R55" s="2592" t="s">
        <v>2464</v>
      </c>
    </row>
    <row r="56" spans="1:18" s="1454" customFormat="1" ht="44.25" thickTop="1" thickBot="1">
      <c r="A56" s="2405">
        <v>2</v>
      </c>
      <c r="B56" s="2406" t="s">
        <v>921</v>
      </c>
      <c r="C56" s="608">
        <f ca="1">C13</f>
        <v>0</v>
      </c>
      <c r="D56" s="2694"/>
      <c r="E56" s="2407"/>
      <c r="F56" s="2536"/>
      <c r="I56" s="2539" t="s">
        <v>2423</v>
      </c>
      <c r="J56" s="2568"/>
      <c r="K56" s="2540" t="s">
        <v>2427</v>
      </c>
      <c r="L56" s="2164">
        <f ca="1">IF(L48&lt;J51,"——",L48-J51)</f>
        <v>0</v>
      </c>
      <c r="O56" s="2583" t="s">
        <v>2447</v>
      </c>
      <c r="P56" s="2593" t="s">
        <v>2465</v>
      </c>
      <c r="Q56" s="2584" t="e">
        <f ca="1">C40+J29</f>
        <v>#DIV/0!</v>
      </c>
      <c r="R56" s="2584" t="s">
        <v>2466</v>
      </c>
    </row>
    <row r="57" spans="1:18" s="1454" customFormat="1" ht="29.25" thickBot="1">
      <c r="A57" s="2537"/>
      <c r="B57" s="2398" t="s">
        <v>970</v>
      </c>
      <c r="C57" s="614">
        <f ca="1">C29</f>
        <v>0</v>
      </c>
      <c r="D57" s="2409"/>
      <c r="E57" s="2410"/>
      <c r="F57" s="2538"/>
      <c r="I57" s="2541" t="s">
        <v>2444</v>
      </c>
      <c r="J57" s="2545">
        <f ca="1">IF(OR(M47="住宅",J51&lt;L48,J56="是"),"——",J51-L48)</f>
        <v>0</v>
      </c>
      <c r="K57" s="2540" t="s">
        <v>2437</v>
      </c>
      <c r="L57" s="2164">
        <f ca="1">IF(L48&lt;J51,"——",IF(L55="比较法",L49,IF(L55="基准地价",L50,L51)))</f>
        <v>0</v>
      </c>
      <c r="O57" s="2583" t="s">
        <v>2448</v>
      </c>
      <c r="P57" s="2593" t="s">
        <v>2472</v>
      </c>
      <c r="Q57" s="2584" t="e">
        <f ca="1">L60</f>
        <v>#DIV/0!</v>
      </c>
      <c r="R57" s="2584" t="s">
        <v>2487</v>
      </c>
    </row>
    <row r="58" spans="1:18" s="1454" customFormat="1" ht="29.25" thickBot="1">
      <c r="A58" s="697" t="s">
        <v>2336</v>
      </c>
      <c r="B58" s="2406" t="s">
        <v>928</v>
      </c>
      <c r="C58" s="698">
        <f ca="1">ROUND(C59+C64+C65+C66,0)</f>
        <v>0</v>
      </c>
      <c r="D58" s="2412" t="s">
        <v>929</v>
      </c>
      <c r="E58" s="2413"/>
      <c r="F58" s="2414"/>
      <c r="I58" s="2541" t="s">
        <v>2424</v>
      </c>
      <c r="J58" s="3315" t="e">
        <f ca="1">IF(J55&lt;0.4,0.4,J55)</f>
        <v>#DIV/0!</v>
      </c>
      <c r="K58" s="2564" t="s">
        <v>2446</v>
      </c>
      <c r="L58" s="2164">
        <f ca="1">IF(ISERROR(POWER(1+L52,L47-L48)*(POWER(1+L52,L48)-1)/(POWER(1+L52,L47)-1)),0,POWER(1+L52,L47-L48)*(POWER(1+L52,L48)-1)/(POWER(1+L52,L47)-1))</f>
        <v>0</v>
      </c>
      <c r="O58" s="2585" t="s">
        <v>2449</v>
      </c>
      <c r="P58" s="2593" t="s">
        <v>2479</v>
      </c>
      <c r="Q58" s="2584">
        <f>IF(L55="比较法",L49,IF(L55="基准地价",L50,0))</f>
        <v>0</v>
      </c>
      <c r="R58" s="2584" t="s">
        <v>2466</v>
      </c>
    </row>
    <row r="59" spans="1:18" s="1454" customFormat="1" ht="29.25" thickBot="1">
      <c r="A59" s="2434" t="s">
        <v>2371</v>
      </c>
      <c r="B59" s="2398" t="s">
        <v>361</v>
      </c>
      <c r="C59" s="313">
        <f ca="1">ROUND(IF(项目基本情况!B11="自然人",C48*F59,C60+C61+C62),0)</f>
        <v>0</v>
      </c>
      <c r="D59" s="2415" t="s">
        <v>932</v>
      </c>
      <c r="E59" s="2416" t="s">
        <v>933</v>
      </c>
      <c r="F59" s="708" t="str">
        <f ca="1">IF(项目基本情况!B11="企业","",IF(INDIRECT("'数据-取费表'!c"&amp;$G$1)="住宅",5%,IF(F49*F50*F51/12/(1+'数据-取费表'!C42)&gt;20000,12%,7%)))</f>
        <v/>
      </c>
      <c r="I59" s="2541" t="s">
        <v>2425</v>
      </c>
      <c r="J59" s="2545" t="e">
        <f ca="1">IF(OR(M47="住宅",J51&lt;L48,J56="是"),"——",ROUND(C29*J58,0))</f>
        <v>#DIV/0!</v>
      </c>
      <c r="K59" s="2564" t="s">
        <v>2434</v>
      </c>
      <c r="L59" s="2164">
        <f ca="1">IF(ISERROR(POWER(1+L52,L47-J51)*(POWER(1+L52,J51)-1)/(POWER(1+L52,L47)-1)),0,POWER(1+L52,L47-J51)*(POWER(1+L52,J51)-1)/(POWER(1+L52,L47)-1))</f>
        <v>0</v>
      </c>
      <c r="O59" s="2585" t="s">
        <v>2450</v>
      </c>
      <c r="P59" s="2593" t="s">
        <v>2480</v>
      </c>
      <c r="Q59" s="2586">
        <f>L52</f>
        <v>0</v>
      </c>
      <c r="R59" s="2584"/>
    </row>
    <row r="60" spans="1:18" s="1454" customFormat="1" ht="20.25" thickBot="1">
      <c r="A60" s="2434" t="s">
        <v>2368</v>
      </c>
      <c r="B60" s="2398" t="s">
        <v>934</v>
      </c>
      <c r="C60" s="313">
        <f ca="1">IF(项目基本情况!B11="自然人","——",ROUND(C48*F60/(1+'数据-取费表'!C42),0))</f>
        <v>0</v>
      </c>
      <c r="D60" s="2416" t="s">
        <v>935</v>
      </c>
      <c r="E60" s="2398" t="s">
        <v>363</v>
      </c>
      <c r="F60" s="717">
        <f t="shared" ref="F60:F66" si="0">F32</f>
        <v>5.6000000000000001E-2</v>
      </c>
      <c r="I60" s="2542" t="s">
        <v>2426</v>
      </c>
      <c r="J60" s="2546" t="e">
        <f ca="1">IF(OR(M47="住宅",J51&lt;L48,J56="是"),"0",ROUND(J59/(1+J52)^J53,0))</f>
        <v>#DIV/0!</v>
      </c>
      <c r="K60" s="2548" t="s">
        <v>2429</v>
      </c>
      <c r="L60" s="2546" t="e">
        <f ca="1">IF(OR(M47="住宅",L48&lt;J51),0,ROUND(L57*(L58/L59-1),0))</f>
        <v>#DIV/0!</v>
      </c>
      <c r="O60" s="2585" t="s">
        <v>2451</v>
      </c>
      <c r="P60" s="2593" t="s">
        <v>2481</v>
      </c>
      <c r="Q60" s="2584">
        <f ca="1">L58</f>
        <v>0</v>
      </c>
      <c r="R60" s="2584" t="s">
        <v>2456</v>
      </c>
    </row>
    <row r="61" spans="1:18" s="1454" customFormat="1" ht="20.25" thickBot="1">
      <c r="A61" s="2434" t="s">
        <v>2369</v>
      </c>
      <c r="B61" s="2398" t="s">
        <v>937</v>
      </c>
      <c r="C61" s="313">
        <f ca="1">IF(项目基本情况!B11="自然人","——",IF(D61="按租金收入计税",ROUND(C48*F61,0),IF(D61="按房产原值计税",ROUND(C57*F61*0.7,0),INDIRECT("'数据-取费表'!Aj"&amp;$G$1))))</f>
        <v>0</v>
      </c>
      <c r="D61" s="1300" t="s">
        <v>2411</v>
      </c>
      <c r="E61" s="2398" t="s">
        <v>363</v>
      </c>
      <c r="F61" s="707">
        <f t="shared" si="0"/>
        <v>1.2E-2</v>
      </c>
      <c r="I61" s="2408"/>
      <c r="J61" s="2408"/>
      <c r="K61" s="2408"/>
      <c r="L61" s="2408"/>
      <c r="O61" s="2585" t="s">
        <v>2452</v>
      </c>
      <c r="P61" s="2593" t="s">
        <v>2482</v>
      </c>
      <c r="Q61" s="2584">
        <f ca="1">L59</f>
        <v>0</v>
      </c>
      <c r="R61" s="2584" t="s">
        <v>2457</v>
      </c>
    </row>
    <row r="62" spans="1:18" s="1454" customFormat="1" ht="15.75" thickBot="1">
      <c r="A62" s="2434" t="s">
        <v>2370</v>
      </c>
      <c r="B62" s="2397" t="s">
        <v>939</v>
      </c>
      <c r="C62" s="314">
        <f ca="1">IF(项目基本情况!B11="自然人","——",ROUND(F62*F63,0))</f>
        <v>0</v>
      </c>
      <c r="D62" s="2417" t="s">
        <v>940</v>
      </c>
      <c r="E62" s="2398" t="s">
        <v>941</v>
      </c>
      <c r="F62" s="711">
        <f t="shared" si="0"/>
        <v>4</v>
      </c>
      <c r="I62" s="2543" t="s">
        <v>2416</v>
      </c>
      <c r="J62" s="2544" t="s">
        <v>2417</v>
      </c>
      <c r="K62" s="2544" t="s">
        <v>2418</v>
      </c>
      <c r="L62" s="2544" t="s">
        <v>2414</v>
      </c>
      <c r="M62" s="3316" t="s">
        <v>3031</v>
      </c>
      <c r="O62" s="2583" t="s">
        <v>2453</v>
      </c>
      <c r="P62" s="2593" t="s">
        <v>2471</v>
      </c>
      <c r="Q62" s="2584" t="e">
        <f ca="1">Q56+Q57</f>
        <v>#DIV/0!</v>
      </c>
      <c r="R62" s="2584" t="s">
        <v>2454</v>
      </c>
    </row>
    <row r="63" spans="1:18" s="1454" customFormat="1" ht="16.5" thickBot="1">
      <c r="A63" s="712"/>
      <c r="B63" s="2404"/>
      <c r="C63" s="318"/>
      <c r="D63" s="2418"/>
      <c r="E63" s="2398" t="s">
        <v>945</v>
      </c>
      <c r="F63" s="685">
        <f t="shared" ca="1" si="0"/>
        <v>0</v>
      </c>
      <c r="I63" s="2543" t="s">
        <v>2430</v>
      </c>
      <c r="J63" s="3319">
        <v>70</v>
      </c>
      <c r="K63" s="3319">
        <v>50</v>
      </c>
      <c r="L63" s="3319">
        <v>80</v>
      </c>
      <c r="M63" s="3317">
        <v>0.02</v>
      </c>
      <c r="O63" s="2587" t="s">
        <v>2485</v>
      </c>
      <c r="P63" s="1295"/>
      <c r="Q63" s="1295"/>
      <c r="R63" s="1295"/>
    </row>
    <row r="64" spans="1:18" s="1454" customFormat="1" ht="15.75" thickBot="1">
      <c r="A64" s="2434" t="s">
        <v>2378</v>
      </c>
      <c r="B64" s="2398" t="s">
        <v>947</v>
      </c>
      <c r="C64" s="313">
        <f ca="1">ROUND(C57*F64,0)</f>
        <v>0</v>
      </c>
      <c r="D64" s="2416" t="s">
        <v>977</v>
      </c>
      <c r="E64" s="2398" t="s">
        <v>363</v>
      </c>
      <c r="F64" s="714">
        <f t="shared" ca="1" si="0"/>
        <v>0</v>
      </c>
      <c r="I64" s="2543" t="s">
        <v>105</v>
      </c>
      <c r="J64" s="3319">
        <v>50</v>
      </c>
      <c r="K64" s="3319">
        <v>35</v>
      </c>
      <c r="L64" s="3319">
        <v>60</v>
      </c>
      <c r="M64" s="3318">
        <v>0</v>
      </c>
      <c r="O64" s="2590" t="s">
        <v>2462</v>
      </c>
      <c r="P64" s="2591" t="s">
        <v>2463</v>
      </c>
      <c r="Q64" s="2592" t="s">
        <v>2461</v>
      </c>
      <c r="R64" s="2592" t="s">
        <v>2464</v>
      </c>
    </row>
    <row r="65" spans="1:18" s="1454" customFormat="1" ht="15.75" thickBot="1">
      <c r="A65" s="2434" t="s">
        <v>2372</v>
      </c>
      <c r="B65" s="2398" t="s">
        <v>366</v>
      </c>
      <c r="C65" s="313">
        <f ca="1">ROUND(C56*F65,0)</f>
        <v>0</v>
      </c>
      <c r="D65" s="2416" t="s">
        <v>367</v>
      </c>
      <c r="E65" s="2398" t="s">
        <v>363</v>
      </c>
      <c r="F65" s="716">
        <f t="shared" ca="1" si="0"/>
        <v>0</v>
      </c>
      <c r="I65" s="2543" t="s">
        <v>2432</v>
      </c>
      <c r="J65" s="3319">
        <v>40</v>
      </c>
      <c r="K65" s="3319">
        <v>30</v>
      </c>
      <c r="L65" s="3319">
        <v>50</v>
      </c>
      <c r="M65" s="3317">
        <v>0.02</v>
      </c>
      <c r="O65" s="2583" t="s">
        <v>2447</v>
      </c>
      <c r="P65" s="2593" t="s">
        <v>2465</v>
      </c>
      <c r="Q65" s="2584" t="e">
        <f ca="1">C40+J29</f>
        <v>#DIV/0!</v>
      </c>
      <c r="R65" s="2584" t="s">
        <v>2466</v>
      </c>
    </row>
    <row r="66" spans="1:18" s="1454" customFormat="1" ht="20.25" thickBot="1">
      <c r="A66" s="2434" t="s">
        <v>2373</v>
      </c>
      <c r="B66" s="2398" t="s">
        <v>365</v>
      </c>
      <c r="C66" s="313">
        <f ca="1">ROUND(C48*F66,0)</f>
        <v>0</v>
      </c>
      <c r="D66" s="2416" t="s">
        <v>369</v>
      </c>
      <c r="E66" s="2398" t="s">
        <v>363</v>
      </c>
      <c r="F66" s="694">
        <f t="shared" ca="1" si="0"/>
        <v>0</v>
      </c>
      <c r="O66" s="2583" t="s">
        <v>2448</v>
      </c>
      <c r="P66" s="2593" t="s">
        <v>2472</v>
      </c>
      <c r="Q66" s="2584" t="e">
        <f ca="1">L60</f>
        <v>#DIV/0!</v>
      </c>
      <c r="R66" s="2584" t="s">
        <v>2455</v>
      </c>
    </row>
    <row r="67" spans="1:18" s="1454" customFormat="1" ht="24.75" thickBot="1">
      <c r="A67" s="2405" t="s">
        <v>2351</v>
      </c>
      <c r="B67" s="2419" t="s">
        <v>375</v>
      </c>
      <c r="C67" s="698">
        <f ca="1">C48-C58</f>
        <v>0</v>
      </c>
      <c r="D67" s="2415" t="s">
        <v>376</v>
      </c>
      <c r="E67" s="2420"/>
      <c r="F67" s="2421"/>
      <c r="O67" s="2585" t="s">
        <v>2449</v>
      </c>
      <c r="P67" s="2593" t="s">
        <v>2479</v>
      </c>
      <c r="Q67" s="2588">
        <f ca="1">L51</f>
        <v>0</v>
      </c>
      <c r="R67" s="2589" t="s">
        <v>2489</v>
      </c>
    </row>
    <row r="68" spans="1:18" s="1454" customFormat="1" ht="20.25" thickBot="1">
      <c r="A68" s="2395" t="s">
        <v>2354</v>
      </c>
      <c r="B68" s="2396" t="s">
        <v>377</v>
      </c>
      <c r="C68" s="683" t="e">
        <f ca="1">ROUND(C67*(1-((1+F70)/(1+F68))^F69)/(F68-F70),0)</f>
        <v>#DIV/0!</v>
      </c>
      <c r="D68" s="2417" t="s">
        <v>371</v>
      </c>
      <c r="E68" s="2398" t="s">
        <v>372</v>
      </c>
      <c r="F68" s="694">
        <f ca="1">F40</f>
        <v>0</v>
      </c>
      <c r="O68" s="2585" t="s">
        <v>2450</v>
      </c>
      <c r="P68" s="2594" t="s">
        <v>2483</v>
      </c>
      <c r="Q68" s="2584">
        <f ca="1">ROUND(Q69-Q70*Q71,0)</f>
        <v>0</v>
      </c>
      <c r="R68" s="2584" t="s">
        <v>2488</v>
      </c>
    </row>
    <row r="69" spans="1:18" s="1454" customFormat="1" ht="15.75" thickBot="1">
      <c r="A69" s="2399"/>
      <c r="B69" s="2400"/>
      <c r="C69" s="688"/>
      <c r="D69" s="2422" t="s">
        <v>962</v>
      </c>
      <c r="E69" s="2398" t="s">
        <v>379</v>
      </c>
      <c r="F69" s="719">
        <f ca="1">F41</f>
        <v>0</v>
      </c>
      <c r="O69" s="2585" t="s">
        <v>2458</v>
      </c>
      <c r="P69" s="2594" t="s">
        <v>2473</v>
      </c>
      <c r="Q69" s="2584">
        <f ca="1">C39</f>
        <v>0</v>
      </c>
      <c r="R69" s="2584" t="s">
        <v>2466</v>
      </c>
    </row>
    <row r="70" spans="1:18" s="1454" customFormat="1" ht="15.75" thickBot="1">
      <c r="A70" s="2402"/>
      <c r="B70" s="2403"/>
      <c r="C70" s="692"/>
      <c r="D70" s="2418"/>
      <c r="E70" s="2398" t="s">
        <v>380</v>
      </c>
      <c r="F70" s="2528">
        <f ca="1">F42</f>
        <v>0</v>
      </c>
      <c r="O70" s="2585" t="s">
        <v>2459</v>
      </c>
      <c r="P70" s="2594" t="s">
        <v>2474</v>
      </c>
      <c r="Q70" s="2584">
        <f ca="1">C13</f>
        <v>0</v>
      </c>
      <c r="R70" s="2584" t="s">
        <v>2466</v>
      </c>
    </row>
    <row r="71" spans="1:18" s="1454" customFormat="1" ht="15.75" thickBot="1">
      <c r="A71" s="2423" t="s">
        <v>2361</v>
      </c>
      <c r="B71" s="2424" t="s">
        <v>381</v>
      </c>
      <c r="C71" s="722" t="e">
        <f ca="1">ROUND(C68/F71,0)</f>
        <v>#DIV/0!</v>
      </c>
      <c r="D71" s="2425" t="s">
        <v>382</v>
      </c>
      <c r="E71" s="2426" t="s">
        <v>383</v>
      </c>
      <c r="F71" s="725">
        <f ca="1">F43</f>
        <v>0</v>
      </c>
      <c r="I71" s="2393"/>
      <c r="K71" s="2393"/>
      <c r="O71" s="2585" t="s">
        <v>2460</v>
      </c>
      <c r="P71" s="2594" t="s">
        <v>2486</v>
      </c>
      <c r="Q71" s="2586">
        <f ca="1">C76</f>
        <v>0</v>
      </c>
      <c r="R71" s="2584"/>
    </row>
    <row r="72" spans="1:18" s="1454" customFormat="1" ht="15.75" thickBot="1">
      <c r="B72" s="1459"/>
      <c r="C72" s="1459"/>
      <c r="I72" s="2393"/>
      <c r="O72" s="2585" t="s">
        <v>2451</v>
      </c>
      <c r="P72" s="2593" t="s">
        <v>2480</v>
      </c>
      <c r="Q72" s="2586">
        <f>L52</f>
        <v>0</v>
      </c>
      <c r="R72" s="2584"/>
    </row>
    <row r="73" spans="1:18" ht="20.25" thickBot="1">
      <c r="A73" s="1454"/>
      <c r="B73" s="1459"/>
      <c r="C73" s="1459"/>
      <c r="D73" s="1454"/>
      <c r="E73" s="1454"/>
      <c r="F73" s="1454"/>
      <c r="I73" s="2579"/>
      <c r="O73" s="2585" t="s">
        <v>2452</v>
      </c>
      <c r="P73" s="2593" t="s">
        <v>2481</v>
      </c>
      <c r="Q73" s="2584">
        <f ca="1">L58</f>
        <v>0</v>
      </c>
      <c r="R73" s="2584" t="s">
        <v>2456</v>
      </c>
    </row>
    <row r="74" spans="1:18" ht="20.25" thickBot="1">
      <c r="A74" s="1454"/>
      <c r="B74" s="727" t="s">
        <v>384</v>
      </c>
      <c r="C74" s="728"/>
      <c r="D74" s="1454"/>
      <c r="E74" s="1454"/>
      <c r="F74" s="1454"/>
      <c r="O74" s="2585" t="s">
        <v>2490</v>
      </c>
      <c r="P74" s="2593" t="s">
        <v>2482</v>
      </c>
      <c r="Q74" s="2584">
        <f ca="1">L59</f>
        <v>0</v>
      </c>
      <c r="R74" s="2584" t="s">
        <v>2457</v>
      </c>
    </row>
    <row r="75" spans="1:18" ht="15.75" thickBot="1">
      <c r="A75" s="1454"/>
      <c r="B75" s="729" t="s">
        <v>975</v>
      </c>
      <c r="C75" s="730">
        <f ca="1">ROUND(C13*C76,0)</f>
        <v>0</v>
      </c>
      <c r="D75" s="1454"/>
      <c r="E75" s="1454"/>
      <c r="F75" s="1454"/>
      <c r="K75" s="1455"/>
      <c r="L75" s="1454"/>
      <c r="O75" s="2583" t="s">
        <v>2453</v>
      </c>
      <c r="P75" s="2593" t="s">
        <v>2471</v>
      </c>
      <c r="Q75" s="2584" t="e">
        <f ca="1">Q65+Q66</f>
        <v>#DIV/0!</v>
      </c>
      <c r="R75" s="2584" t="s">
        <v>2454</v>
      </c>
    </row>
    <row r="76" spans="1:18">
      <c r="B76" s="731" t="s">
        <v>976</v>
      </c>
      <c r="C76" s="732">
        <f ca="1">INDIRECT("'数据-取费表'!j"&amp;$G$1)</f>
        <v>0</v>
      </c>
      <c r="I76" s="1454"/>
      <c r="J76" s="1454"/>
      <c r="K76" s="1455"/>
      <c r="L76" s="1454"/>
    </row>
    <row r="77" spans="1:18">
      <c r="B77" s="733" t="s">
        <v>979</v>
      </c>
      <c r="C77" s="734"/>
      <c r="I77" s="1454"/>
      <c r="J77" s="1454"/>
      <c r="K77" s="1455"/>
      <c r="L77" s="1454"/>
    </row>
    <row r="78" spans="1:18">
      <c r="B78" s="646" t="s">
        <v>965</v>
      </c>
      <c r="C78" s="735"/>
    </row>
    <row r="79" spans="1:18">
      <c r="B79" s="2869" t="s">
        <v>2698</v>
      </c>
      <c r="C79" s="650" t="e">
        <f ca="1">1-C80</f>
        <v>#DIV/0!</v>
      </c>
    </row>
    <row r="80" spans="1:18">
      <c r="B80" s="2869" t="s">
        <v>2697</v>
      </c>
      <c r="C80" s="650" t="e">
        <f ca="1">ROUND(C75/C39,3)</f>
        <v>#DIV/0!</v>
      </c>
    </row>
    <row r="81" spans="2:3">
      <c r="B81" s="646" t="s">
        <v>385</v>
      </c>
      <c r="C81" s="647"/>
    </row>
    <row r="82" spans="2:3">
      <c r="B82" s="2868" t="s">
        <v>2696</v>
      </c>
      <c r="C82" s="651" t="e">
        <f ca="1">1-C83</f>
        <v>#DIV/0!</v>
      </c>
    </row>
    <row r="83" spans="2:3">
      <c r="B83" s="2868" t="s">
        <v>2695</v>
      </c>
      <c r="C83" s="650"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5">
      <formula>$L$48&gt;$J$51</formula>
    </cfRule>
  </conditionalFormatting>
  <conditionalFormatting sqref="I55 I60">
    <cfRule type="expression" dxfId="8" priority="4">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I63" sqref="I6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910</v>
      </c>
      <c r="B1" s="670"/>
      <c r="C1" s="2388" t="s">
        <v>3985</v>
      </c>
      <c r="D1" s="1273"/>
      <c r="E1" s="2581" t="s">
        <v>537</v>
      </c>
      <c r="F1" s="2582">
        <f ca="1">J53</f>
        <v>37.619999999999997</v>
      </c>
      <c r="G1" s="672">
        <f>MATCH(C1,'数据-取费表'!A6:A16,0)+5</f>
        <v>8</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f ca="1">C40+J29+L46</f>
        <v>20123</v>
      </c>
      <c r="C2" s="1299" t="s">
        <v>1100</v>
      </c>
      <c r="D2" s="1275"/>
      <c r="E2" s="2571"/>
      <c r="F2" s="1276"/>
      <c r="G2" s="2283"/>
      <c r="H2" s="1274"/>
      <c r="I2" s="1274"/>
      <c r="J2" s="1274"/>
      <c r="K2" s="1298"/>
      <c r="L2" s="1274"/>
      <c r="M2" s="1274"/>
    </row>
    <row r="3" spans="1:37" ht="18" customHeight="1" thickBot="1">
      <c r="A3" s="675" t="s">
        <v>344</v>
      </c>
      <c r="B3" s="1407">
        <f ca="1">IF(ISERROR(B2*10000/F43),0,ROUND(B2*10000/F43,0))</f>
        <v>2316</v>
      </c>
      <c r="C3" s="1299" t="s">
        <v>1101</v>
      </c>
      <c r="D3" s="1275"/>
      <c r="E3" s="2571"/>
      <c r="F3" s="1276"/>
      <c r="G3" s="2283"/>
      <c r="H3" s="676" t="s">
        <v>911</v>
      </c>
      <c r="I3" s="1274"/>
      <c r="J3" s="1274"/>
      <c r="K3" s="1298"/>
      <c r="L3" s="1274"/>
      <c r="M3" s="1274"/>
    </row>
    <row r="4" spans="1:37" ht="18" customHeight="1">
      <c r="A4" s="677" t="s">
        <v>912</v>
      </c>
      <c r="B4" s="678" t="s">
        <v>913</v>
      </c>
      <c r="C4" s="678" t="s">
        <v>914</v>
      </c>
      <c r="D4" s="678" t="s">
        <v>915</v>
      </c>
      <c r="E4" s="679" t="s">
        <v>916</v>
      </c>
      <c r="F4" s="680"/>
      <c r="G4" s="2284"/>
      <c r="H4" s="677" t="s">
        <v>912</v>
      </c>
      <c r="I4" s="678" t="s">
        <v>913</v>
      </c>
      <c r="J4" s="678" t="s">
        <v>914</v>
      </c>
      <c r="K4" s="678" t="s">
        <v>915</v>
      </c>
      <c r="L4" s="679" t="s">
        <v>916</v>
      </c>
      <c r="M4" s="680"/>
    </row>
    <row r="5" spans="1:37" ht="18" customHeight="1">
      <c r="A5" s="681">
        <v>1</v>
      </c>
      <c r="B5" s="682" t="s">
        <v>2330</v>
      </c>
      <c r="C5" s="2622">
        <f ca="1">C6+C10+C12</f>
        <v>1159</v>
      </c>
      <c r="D5" s="2632" t="s">
        <v>2533</v>
      </c>
      <c r="E5" s="2623"/>
      <c r="F5" s="2624"/>
      <c r="G5" s="2284"/>
      <c r="H5" s="681">
        <v>1</v>
      </c>
      <c r="I5" s="682" t="s">
        <v>2330</v>
      </c>
      <c r="J5" s="2622">
        <f ca="1">J6+J10+J12</f>
        <v>0</v>
      </c>
      <c r="K5" s="2625" t="s">
        <v>2533</v>
      </c>
      <c r="L5" s="2623"/>
      <c r="M5" s="2624"/>
    </row>
    <row r="6" spans="1:37" ht="18" customHeight="1">
      <c r="A6" s="2618" t="s">
        <v>2371</v>
      </c>
      <c r="B6" s="3760" t="s">
        <v>2532</v>
      </c>
      <c r="C6" s="2627">
        <f ca="1">ROUND(F6*F8*F7*(1-F9)/10000,0)</f>
        <v>1157</v>
      </c>
      <c r="D6" s="2621" t="s">
        <v>2534</v>
      </c>
      <c r="E6" s="684" t="s">
        <v>917</v>
      </c>
      <c r="F6" s="685">
        <f ca="1">INDIRECT("'数据-取费表'!u"&amp;$G$1)</f>
        <v>420</v>
      </c>
      <c r="G6" s="2284"/>
      <c r="H6" s="2618" t="s">
        <v>2371</v>
      </c>
      <c r="I6" s="3760" t="s">
        <v>2532</v>
      </c>
      <c r="J6" s="683">
        <f ca="1">ROUND(M6*M8*M7*(1-M9)/10000,0)</f>
        <v>0</v>
      </c>
      <c r="K6" s="2621" t="s">
        <v>2534</v>
      </c>
      <c r="L6" s="684" t="s">
        <v>917</v>
      </c>
      <c r="M6" s="685">
        <f ca="1">INDIRECT("'数据-取费表'!z"&amp;$G$1)</f>
        <v>0</v>
      </c>
    </row>
    <row r="7" spans="1:37" ht="18" customHeight="1">
      <c r="A7" s="2626"/>
      <c r="B7" s="3761"/>
      <c r="C7" s="2628"/>
      <c r="D7" s="2057"/>
      <c r="E7" s="2629" t="s">
        <v>918</v>
      </c>
      <c r="F7" s="685">
        <f ca="1">IF(INDIRECT("'数据-取费表'!ah"&amp;$G$1)="",INDIRECT("'数据-取费表'!k"&amp;$G$1),INDIRECT("'数据-取费表'!ah"&amp;$G$1))</f>
        <v>2550</v>
      </c>
      <c r="G7" s="2284"/>
      <c r="H7" s="686"/>
      <c r="I7" s="3761"/>
      <c r="J7" s="688"/>
      <c r="K7" s="689"/>
      <c r="L7" s="684" t="s">
        <v>918</v>
      </c>
      <c r="M7" s="685">
        <f ca="1">F7</f>
        <v>2550</v>
      </c>
    </row>
    <row r="8" spans="1:37" ht="18" customHeight="1">
      <c r="A8" s="686"/>
      <c r="B8" s="3761"/>
      <c r="C8" s="688"/>
      <c r="D8" s="689"/>
      <c r="E8" s="684" t="s">
        <v>919</v>
      </c>
      <c r="F8" s="685">
        <f ca="1">INDIRECT("'数据-取费表'!ai"&amp;$G$1)</f>
        <v>12</v>
      </c>
      <c r="G8" s="2284"/>
      <c r="H8" s="686"/>
      <c r="I8" s="3761"/>
      <c r="J8" s="688"/>
      <c r="K8" s="689"/>
      <c r="L8" s="684" t="s">
        <v>919</v>
      </c>
      <c r="M8" s="685">
        <f ca="1">INDIRECT("'数据-取费表'!ai"&amp;$G$1)</f>
        <v>12</v>
      </c>
    </row>
    <row r="9" spans="1:37" ht="18" customHeight="1">
      <c r="A9" s="686"/>
      <c r="B9" s="3762"/>
      <c r="C9" s="688"/>
      <c r="D9" s="689"/>
      <c r="E9" s="684" t="s">
        <v>920</v>
      </c>
      <c r="F9" s="694">
        <f ca="1">INDIRECT("'数据-取费表'!w"&amp;$G$1)</f>
        <v>0.1</v>
      </c>
      <c r="G9" s="2284"/>
      <c r="H9" s="686"/>
      <c r="I9" s="3762"/>
      <c r="J9" s="688"/>
      <c r="K9" s="689"/>
      <c r="L9" s="695" t="s">
        <v>920</v>
      </c>
      <c r="M9" s="696">
        <f ca="1">INDIRECT("'数据-取费表'!ab"&amp;$G$1)</f>
        <v>0</v>
      </c>
    </row>
    <row r="10" spans="1:37" ht="18" customHeight="1">
      <c r="A10" s="2618" t="s">
        <v>2378</v>
      </c>
      <c r="B10" s="2619" t="s">
        <v>2527</v>
      </c>
      <c r="C10" s="698">
        <f ca="1">ROUND(IF(F10="押一",F6*F8*F7/12*F11,IF(F10="押二",F6*F8*F7/12*2*F11,IF(F10="押三",F6*F8*F7/12*3*F11,C11*F11)))/10000,0)</f>
        <v>2</v>
      </c>
      <c r="D10" s="2630" t="s">
        <v>2535</v>
      </c>
      <c r="E10" s="2093" t="s">
        <v>2529</v>
      </c>
      <c r="F10" s="2824" t="s">
        <v>3901</v>
      </c>
      <c r="G10" s="2284"/>
      <c r="H10" s="2618" t="s">
        <v>2378</v>
      </c>
      <c r="I10" s="2619" t="s">
        <v>2527</v>
      </c>
      <c r="J10" s="683">
        <f ca="1">ROUND(IF(M10="押一",M6*M8*M7/12*M11,IF(M10="押二",M6*M8*M7/12*2*M11,IF(M10="押三",M6*M8*M7/12*3*M11,J11*M11)))/10000,0)</f>
        <v>0</v>
      </c>
      <c r="K10" s="2630" t="s">
        <v>2535</v>
      </c>
      <c r="L10" s="2093" t="s">
        <v>2529</v>
      </c>
      <c r="M10" s="2725" t="s">
        <v>3901</v>
      </c>
    </row>
    <row r="11" spans="1:37" ht="18" customHeight="1">
      <c r="A11" s="690"/>
      <c r="B11" s="2620" t="s">
        <v>2693</v>
      </c>
      <c r="C11" s="2411"/>
      <c r="D11" s="2863"/>
      <c r="E11" s="2093" t="s">
        <v>2530</v>
      </c>
      <c r="F11" s="696">
        <f ca="1">'数据-取费表'!B39</f>
        <v>1.4999999999999999E-2</v>
      </c>
      <c r="G11" s="2284"/>
      <c r="H11" s="2631"/>
      <c r="I11" s="2620" t="s">
        <v>2693</v>
      </c>
      <c r="J11" s="2411"/>
      <c r="K11" s="1280"/>
      <c r="L11" s="2093" t="s">
        <v>2530</v>
      </c>
      <c r="M11" s="2092">
        <f ca="1">'数据-取费表'!B39</f>
        <v>1.4999999999999999E-2</v>
      </c>
    </row>
    <row r="12" spans="1:37" ht="18" customHeight="1" thickBot="1">
      <c r="A12" s="2666" t="s">
        <v>2540</v>
      </c>
      <c r="B12" s="2667" t="s">
        <v>2528</v>
      </c>
      <c r="C12" s="2668"/>
      <c r="D12" s="2669"/>
      <c r="E12" s="2670"/>
      <c r="F12" s="2671"/>
      <c r="G12" s="2284"/>
      <c r="H12" s="2666" t="s">
        <v>2540</v>
      </c>
      <c r="I12" s="2667" t="s">
        <v>2528</v>
      </c>
      <c r="J12" s="2668"/>
      <c r="K12" s="2685"/>
      <c r="L12" s="2670"/>
      <c r="M12" s="2686"/>
    </row>
    <row r="13" spans="1:37" ht="18" customHeight="1" thickTop="1">
      <c r="A13" s="2662">
        <v>2</v>
      </c>
      <c r="B13" s="2663" t="s">
        <v>921</v>
      </c>
      <c r="C13" s="692">
        <f ca="1">ROUND(C29*F13,0)</f>
        <v>22462</v>
      </c>
      <c r="D13" s="2664" t="s">
        <v>922</v>
      </c>
      <c r="E13" s="2664" t="s">
        <v>923</v>
      </c>
      <c r="F13" s="2665">
        <f ca="1">INDIRECT("'数据-取费表'!y"&amp;$G$1)</f>
        <v>0.97</v>
      </c>
      <c r="G13" s="2284"/>
      <c r="H13" s="2662">
        <v>2</v>
      </c>
      <c r="I13" s="2663" t="s">
        <v>921</v>
      </c>
      <c r="J13" s="2617">
        <f ca="1">ROUND(J14*J15,0)</f>
        <v>0</v>
      </c>
      <c r="K13" s="2672" t="s">
        <v>922</v>
      </c>
      <c r="L13" s="2683"/>
      <c r="M13" s="2684"/>
    </row>
    <row r="14" spans="1:37" ht="18" customHeight="1">
      <c r="A14" s="2434" t="s">
        <v>2368</v>
      </c>
      <c r="B14" s="684" t="s">
        <v>357</v>
      </c>
      <c r="C14" s="702">
        <f ca="1">INDIRECT("'数据-取费表'!m"&amp;$G$1)+INDIRECT("'数据-取费表'!t"&amp;$G$1)</f>
        <v>15642</v>
      </c>
      <c r="D14" s="3392" t="s">
        <v>924</v>
      </c>
      <c r="E14" s="3391"/>
      <c r="F14" s="703"/>
      <c r="G14" s="2284"/>
      <c r="H14" s="2434" t="s">
        <v>2371</v>
      </c>
      <c r="I14" s="684" t="s">
        <v>925</v>
      </c>
      <c r="J14" s="313">
        <f ca="1">C29</f>
        <v>23157</v>
      </c>
      <c r="K14" s="303"/>
      <c r="L14" s="700"/>
      <c r="M14" s="701"/>
    </row>
    <row r="15" spans="1:37" s="706" customFormat="1" ht="18" customHeight="1" thickBot="1">
      <c r="A15" s="2434" t="s">
        <v>2604</v>
      </c>
      <c r="B15" s="684" t="s">
        <v>358</v>
      </c>
      <c r="C15" s="313">
        <f ca="1">ROUND(C14*F15,0)</f>
        <v>469</v>
      </c>
      <c r="D15" s="704" t="s">
        <v>926</v>
      </c>
      <c r="E15" s="704" t="s">
        <v>363</v>
      </c>
      <c r="F15" s="705">
        <f>'数据-取费表'!B33</f>
        <v>0.03</v>
      </c>
      <c r="G15" s="2285"/>
      <c r="H15" s="2674" t="s">
        <v>2378</v>
      </c>
      <c r="I15" s="2675" t="s">
        <v>923</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2605</v>
      </c>
      <c r="B16" s="684" t="s">
        <v>359</v>
      </c>
      <c r="C16" s="313">
        <f ca="1">ROUND(INDIRECT("'数据-取费表'!m"&amp;$G$1)*F16,0)</f>
        <v>0</v>
      </c>
      <c r="D16" s="684" t="s">
        <v>926</v>
      </c>
      <c r="E16" s="684" t="s">
        <v>363</v>
      </c>
      <c r="F16" s="707">
        <f ca="1">IF(INDIRECT("'数据-取费表'!c"&amp;$G$1)="住宅",'数据-取费表'!B34,0)</f>
        <v>0</v>
      </c>
      <c r="G16" s="2284"/>
      <c r="H16" s="2662" t="s">
        <v>2336</v>
      </c>
      <c r="I16" s="2663" t="s">
        <v>928</v>
      </c>
      <c r="J16" s="692">
        <f ca="1">ROUND(J17+J22+J23+J24,0)</f>
        <v>549</v>
      </c>
      <c r="K16" s="2672" t="s">
        <v>929</v>
      </c>
      <c r="L16" s="2673"/>
      <c r="M16" s="2624"/>
    </row>
    <row r="17" spans="1:37" s="706" customFormat="1" ht="18" customHeight="1">
      <c r="A17" s="2434" t="s">
        <v>2606</v>
      </c>
      <c r="B17" s="684" t="s">
        <v>360</v>
      </c>
      <c r="C17" s="313">
        <f ca="1">ROUND(F17*(F43+INDIRECT("'数据-取费表'!S"&amp;$G$1))/10000,0)</f>
        <v>1738</v>
      </c>
      <c r="D17" s="684" t="s">
        <v>930</v>
      </c>
      <c r="E17" s="684" t="s">
        <v>931</v>
      </c>
      <c r="F17" s="315">
        <f>'数据-取费表'!B35</f>
        <v>200</v>
      </c>
      <c r="G17" s="2285"/>
      <c r="H17" s="2434" t="s">
        <v>2371</v>
      </c>
      <c r="I17" s="684" t="s">
        <v>361</v>
      </c>
      <c r="J17" s="313">
        <f ca="1">ROUND(IF(项目基本情况!B11="自然人",J5*M17,J18+J19+J20),1)</f>
        <v>201.6</v>
      </c>
      <c r="K17" s="3392" t="s">
        <v>932</v>
      </c>
      <c r="L17" s="3394" t="s">
        <v>933</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2607</v>
      </c>
      <c r="B18" s="684" t="s">
        <v>362</v>
      </c>
      <c r="C18" s="313">
        <f ca="1">ROUND(C14*F18,0)</f>
        <v>235</v>
      </c>
      <c r="D18" s="684" t="s">
        <v>926</v>
      </c>
      <c r="E18" s="684" t="s">
        <v>363</v>
      </c>
      <c r="F18" s="707">
        <f>'数据-取费表'!B36</f>
        <v>1.4999999999999999E-2</v>
      </c>
      <c r="G18" s="2285"/>
      <c r="H18" s="2434" t="s">
        <v>2368</v>
      </c>
      <c r="I18" s="684" t="s">
        <v>934</v>
      </c>
      <c r="J18" s="313">
        <f ca="1">ROUND(J5*M18/(1+'数据-取费表'!C42),2)</f>
        <v>0</v>
      </c>
      <c r="K18" s="3394" t="s">
        <v>935</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2371</v>
      </c>
      <c r="B19" s="684" t="s">
        <v>364</v>
      </c>
      <c r="C19" s="313">
        <f ca="1">SUM(C14:C18)</f>
        <v>18084</v>
      </c>
      <c r="D19" s="471" t="s">
        <v>936</v>
      </c>
      <c r="E19" s="3397"/>
      <c r="F19" s="315"/>
      <c r="G19" s="2284"/>
      <c r="H19" s="2434" t="s">
        <v>2604</v>
      </c>
      <c r="I19" s="684" t="s">
        <v>937</v>
      </c>
      <c r="J19" s="313">
        <f ca="1">IF(K19="按租金收入计税",ROUND(J5*M19,2),ROUND(C29*M19*0.7,2))</f>
        <v>194.52</v>
      </c>
      <c r="K19" s="1300" t="s">
        <v>2411</v>
      </c>
      <c r="L19" s="684" t="s">
        <v>363</v>
      </c>
      <c r="M19" s="707">
        <f>IF(K19="按租金收入计税",'数据-取费表'!B51,'数据-取费表'!B50)</f>
        <v>1.2E-2</v>
      </c>
    </row>
    <row r="20" spans="1:37" s="706" customFormat="1" ht="18" customHeight="1">
      <c r="A20" s="2434" t="s">
        <v>2608</v>
      </c>
      <c r="B20" s="684" t="s">
        <v>365</v>
      </c>
      <c r="C20" s="313">
        <f ca="1">ROUND(C19*F20,0)</f>
        <v>271</v>
      </c>
      <c r="D20" s="709" t="s">
        <v>938</v>
      </c>
      <c r="E20" s="684" t="s">
        <v>363</v>
      </c>
      <c r="F20" s="707">
        <f>'数据-取费表'!B37</f>
        <v>1.4999999999999999E-2</v>
      </c>
      <c r="G20" s="2285"/>
      <c r="H20" s="2434" t="s">
        <v>2605</v>
      </c>
      <c r="I20" s="496" t="s">
        <v>939</v>
      </c>
      <c r="J20" s="314">
        <f ca="1">ROUND(M20*M21/10000,2)</f>
        <v>7.03</v>
      </c>
      <c r="K20" s="710" t="s">
        <v>940</v>
      </c>
      <c r="L20" s="684" t="s">
        <v>941</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2609</v>
      </c>
      <c r="B21" s="684" t="s">
        <v>942</v>
      </c>
      <c r="C21" s="313" t="s">
        <v>23</v>
      </c>
      <c r="D21" s="709" t="s">
        <v>943</v>
      </c>
      <c r="E21" s="684" t="s">
        <v>944</v>
      </c>
      <c r="F21" s="707">
        <f>'数据-取费表'!B38</f>
        <v>1.4999999999999999E-2</v>
      </c>
      <c r="G21" s="2285"/>
      <c r="H21" s="712"/>
      <c r="I21" s="693"/>
      <c r="J21" s="318"/>
      <c r="K21" s="713"/>
      <c r="L21" s="684" t="s">
        <v>945</v>
      </c>
      <c r="M21" s="685">
        <f ca="1">INDIRECT("'数据-取费表'!r"&amp;$G$1)</f>
        <v>17579.09</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2610</v>
      </c>
      <c r="B22" s="684" t="s">
        <v>946</v>
      </c>
      <c r="C22" s="313"/>
      <c r="D22" s="2697" t="str">
        <f>IF(F23&lt;=1,"单利计息。","复利计息。")&amp;"建造成本、管理费用、销售费用产生的利息。"</f>
        <v>复利计息。建造成本、管理费用、销售费用产生的利息。</v>
      </c>
      <c r="E22" s="3397"/>
      <c r="F22" s="315"/>
      <c r="G22" s="2284"/>
      <c r="H22" s="2434" t="s">
        <v>2378</v>
      </c>
      <c r="I22" s="684" t="s">
        <v>947</v>
      </c>
      <c r="J22" s="313">
        <f ca="1">ROUND(J14*M22,1)</f>
        <v>347.4</v>
      </c>
      <c r="K22" s="3394" t="s">
        <v>948</v>
      </c>
      <c r="L22" s="684" t="s">
        <v>363</v>
      </c>
      <c r="M22" s="714">
        <f ca="1">INDIRECT("'数据-取费表'!Ak"&amp;$G$1)</f>
        <v>1.4999999999999999E-2</v>
      </c>
    </row>
    <row r="23" spans="1:37" s="706" customFormat="1" ht="18" customHeight="1">
      <c r="A23" s="2434" t="s">
        <v>2368</v>
      </c>
      <c r="B23" s="684" t="s">
        <v>2524</v>
      </c>
      <c r="C23" s="313">
        <f ca="1">IF('数据-取费表'!B22&lt;=1,ROUND(C19*F24*F23/2,0)+ROUND(C20*F24*F23/2,0),ROUND(C19*(POWER((1+F24),F23/2)-1),0)+ROUND(C20*(POWER((1+F24),F23/2)-1),0))</f>
        <v>1324</v>
      </c>
      <c r="D23" s="2701" t="str">
        <f>IF(F23&lt;=1,"(建造成本+管理费用)×利率×(建设周期÷2)","(建造成本+管理费用)×((1+利率)^(建设周期÷2)-1)")</f>
        <v>(建造成本+管理费用)×((1+利率)^(建设周期÷2)-1)</v>
      </c>
      <c r="E23" s="684" t="s">
        <v>949</v>
      </c>
      <c r="F23" s="711">
        <f>'数据-取费表'!B20</f>
        <v>3</v>
      </c>
      <c r="G23" s="2285"/>
      <c r="H23" s="2434" t="s">
        <v>2609</v>
      </c>
      <c r="I23" s="684" t="s">
        <v>366</v>
      </c>
      <c r="J23" s="313">
        <f ca="1">ROUND(J13*M23,1)</f>
        <v>0</v>
      </c>
      <c r="K23" s="3394" t="s">
        <v>950</v>
      </c>
      <c r="L23" s="684" t="s">
        <v>363</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2374</v>
      </c>
      <c r="B24" s="684" t="s">
        <v>951</v>
      </c>
      <c r="C24" s="313">
        <f ca="1">ROUND(IF('数据-取费表'!B22&lt;=1,F21*F24*F23/2,F21*(POWER((1+F24),F23/2)-1)),4)</f>
        <v>1.1000000000000001E-3</v>
      </c>
      <c r="D24" s="2701" t="str">
        <f>IF(F23&lt;=1,"销售费用×利率×(建设周期÷2)","销售费用×((1+利率)^(建设周期÷2)-1)")</f>
        <v>销售费用×((1+利率)^(建设周期÷2)-1)</v>
      </c>
      <c r="E24" s="684" t="s">
        <v>952</v>
      </c>
      <c r="F24" s="717">
        <f ca="1">'数据-取费表'!B40</f>
        <v>4.7500000000000001E-2</v>
      </c>
      <c r="G24" s="2285"/>
      <c r="H24" s="2674" t="s">
        <v>2610</v>
      </c>
      <c r="I24" s="2675" t="s">
        <v>365</v>
      </c>
      <c r="J24" s="2676">
        <f ca="1">ROUND(J5*M24,1)</f>
        <v>0</v>
      </c>
      <c r="K24" s="2677" t="s">
        <v>369</v>
      </c>
      <c r="L24" s="2675" t="s">
        <v>363</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2375</v>
      </c>
      <c r="B25" s="684" t="s">
        <v>370</v>
      </c>
      <c r="C25" s="313"/>
      <c r="D25" s="471" t="s">
        <v>954</v>
      </c>
      <c r="E25" s="3397"/>
      <c r="F25" s="315"/>
      <c r="G25" s="2284"/>
      <c r="H25" s="2662" t="s">
        <v>2351</v>
      </c>
      <c r="I25" s="2679" t="s">
        <v>955</v>
      </c>
      <c r="J25" s="692">
        <f ca="1">J5-J16</f>
        <v>-549</v>
      </c>
      <c r="K25" s="2680" t="s">
        <v>376</v>
      </c>
      <c r="L25" s="2681"/>
      <c r="M25" s="2682"/>
    </row>
    <row r="26" spans="1:37" ht="18" customHeight="1">
      <c r="A26" s="2434" t="s">
        <v>2368</v>
      </c>
      <c r="B26" s="684" t="s">
        <v>2525</v>
      </c>
      <c r="C26" s="313">
        <f ca="1">ROUND((C19+C20)*F26,0)</f>
        <v>1836</v>
      </c>
      <c r="D26" s="709" t="s">
        <v>957</v>
      </c>
      <c r="E26" s="695" t="s">
        <v>958</v>
      </c>
      <c r="F26" s="694">
        <f ca="1">INDIRECT("'数据-取费表'!q"&amp;$G$1)</f>
        <v>0.1</v>
      </c>
      <c r="G26" s="2284"/>
      <c r="H26" s="681" t="s">
        <v>2354</v>
      </c>
      <c r="I26" s="682" t="s">
        <v>959</v>
      </c>
      <c r="J26" s="683">
        <f ca="1">IF(J5&lt;&gt;0,ROUND(J25*(1-((1+M28)/(1+M26))^M27)/(M26-M28),0),0)</f>
        <v>0</v>
      </c>
      <c r="K26" s="710" t="s">
        <v>960</v>
      </c>
      <c r="L26" s="684" t="s">
        <v>372</v>
      </c>
      <c r="M26" s="694">
        <f ca="1">INDIRECT("'数据-取费表'!I"&amp;$G$1)</f>
        <v>5.5E-2</v>
      </c>
    </row>
    <row r="27" spans="1:37" ht="18" customHeight="1">
      <c r="A27" s="2434" t="s">
        <v>2374</v>
      </c>
      <c r="B27" s="684" t="s">
        <v>373</v>
      </c>
      <c r="C27" s="313">
        <f ca="1">ROUND(F21*F26,4)</f>
        <v>1.5E-3</v>
      </c>
      <c r="D27" s="709" t="s">
        <v>961</v>
      </c>
      <c r="E27" s="704"/>
      <c r="F27" s="705"/>
      <c r="G27" s="2284"/>
      <c r="H27" s="686"/>
      <c r="I27" s="687"/>
      <c r="J27" s="688"/>
      <c r="K27" s="718" t="s">
        <v>962</v>
      </c>
      <c r="L27" s="684" t="s">
        <v>379</v>
      </c>
      <c r="M27" s="719">
        <f ca="1">INDIRECT("'数据-取费表'!ag"&amp;$G$1)</f>
        <v>0</v>
      </c>
    </row>
    <row r="28" spans="1:37" s="706" customFormat="1" ht="18" customHeight="1">
      <c r="A28" s="2434" t="s">
        <v>2376</v>
      </c>
      <c r="B28" s="684" t="s">
        <v>374</v>
      </c>
      <c r="C28" s="313">
        <f>ROUND(F28/(1+'数据-取费表'!C42),4)</f>
        <v>5.33E-2</v>
      </c>
      <c r="D28" s="709" t="s">
        <v>968</v>
      </c>
      <c r="E28" s="684" t="s">
        <v>363</v>
      </c>
      <c r="F28" s="707">
        <f>'数据-取费表'!B41</f>
        <v>5.6000000000000001E-2</v>
      </c>
      <c r="G28" s="2285"/>
      <c r="H28" s="690"/>
      <c r="I28" s="691"/>
      <c r="J28" s="692"/>
      <c r="K28" s="713"/>
      <c r="L28" s="684" t="s">
        <v>969</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2377</v>
      </c>
      <c r="B29" s="2675" t="s">
        <v>970</v>
      </c>
      <c r="C29" s="2676">
        <f ca="1">ROUND((C19+C20+C23+C26)/(1-F21-C24-C27-C28),0)</f>
        <v>23157</v>
      </c>
      <c r="D29" s="2677"/>
      <c r="E29" s="2675"/>
      <c r="F29" s="2678"/>
      <c r="G29" s="2285"/>
      <c r="H29" s="720" t="s">
        <v>2361</v>
      </c>
      <c r="I29" s="721" t="s">
        <v>963</v>
      </c>
      <c r="J29" s="722">
        <f ca="1">ROUND(J26/(1+F40)^F41,0)</f>
        <v>0</v>
      </c>
      <c r="K29" s="723" t="s">
        <v>964</v>
      </c>
      <c r="L29" s="724"/>
      <c r="M29" s="725">
        <f ca="1">INDIRECT("'数据-取费表'!k"&amp;$G$1)</f>
        <v>86900.44</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2336</v>
      </c>
      <c r="B30" s="2663" t="s">
        <v>928</v>
      </c>
      <c r="C30" s="692">
        <f ca="1">ROUND(C31+C36+C37+C38,0)</f>
        <v>667</v>
      </c>
      <c r="D30" s="2672" t="s">
        <v>929</v>
      </c>
      <c r="E30" s="2673"/>
      <c r="F30" s="2624"/>
      <c r="G30" s="2284"/>
      <c r="H30" s="1277"/>
      <c r="I30" s="1278"/>
      <c r="J30" s="1279"/>
      <c r="K30" s="1280"/>
      <c r="L30" s="1281"/>
      <c r="M30" s="1282"/>
    </row>
    <row r="31" spans="1:37" ht="18" customHeight="1">
      <c r="A31" s="2434" t="s">
        <v>2371</v>
      </c>
      <c r="B31" s="684" t="s">
        <v>361</v>
      </c>
      <c r="C31" s="313">
        <f ca="1">ROUND(IF(项目基本情况!B11="自然人",C5*F31,C32+C33+C34),1)</f>
        <v>263.39999999999998</v>
      </c>
      <c r="D31" s="3392" t="s">
        <v>932</v>
      </c>
      <c r="E31" s="3394" t="s">
        <v>971</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2368</v>
      </c>
      <c r="B32" s="684" t="s">
        <v>934</v>
      </c>
      <c r="C32" s="313">
        <f ca="1">IF(项目基本情况!B11="自然人","——",ROUND(C5*F32/(1+'数据-取费表'!C42),2))</f>
        <v>61.81</v>
      </c>
      <c r="D32" s="3394" t="s">
        <v>935</v>
      </c>
      <c r="E32" s="684" t="s">
        <v>363</v>
      </c>
      <c r="F32" s="717">
        <f>'数据-取费表'!B41</f>
        <v>5.6000000000000001E-2</v>
      </c>
      <c r="G32" s="2284"/>
      <c r="H32" s="1283"/>
      <c r="I32" s="1284"/>
      <c r="J32" s="1285"/>
      <c r="K32" s="1286"/>
      <c r="L32" s="1287"/>
      <c r="M32" s="1288"/>
    </row>
    <row r="33" spans="1:18" ht="18" customHeight="1">
      <c r="A33" s="2434" t="s">
        <v>2604</v>
      </c>
      <c r="B33" s="684" t="s">
        <v>937</v>
      </c>
      <c r="C33" s="313">
        <f ca="1">IF(项目基本情况!B11="自然人","——",IF(D33="按租金收入计税",ROUND(C5*F33,2),IF(D33="按房产原值计税",ROUND(C29*F33*0.7,2),INDIRECT("'数据-取费表'!Aj"&amp;$G$1))))</f>
        <v>194.52</v>
      </c>
      <c r="D33" s="1300" t="s">
        <v>2411</v>
      </c>
      <c r="E33" s="684" t="s">
        <v>363</v>
      </c>
      <c r="F33" s="707">
        <f>IF(D33="按票据","——",IF(D33="按租金收入计税",'数据-取费表'!B51,'数据-取费表'!B50))</f>
        <v>1.2E-2</v>
      </c>
      <c r="G33" s="2284"/>
      <c r="H33" s="1289"/>
      <c r="I33" s="2877"/>
      <c r="J33" s="2878"/>
      <c r="K33" s="1290"/>
      <c r="L33" s="1289"/>
      <c r="M33" s="1289"/>
    </row>
    <row r="34" spans="1:18" ht="18" customHeight="1">
      <c r="A34" s="2618" t="s">
        <v>2605</v>
      </c>
      <c r="B34" s="496" t="s">
        <v>939</v>
      </c>
      <c r="C34" s="314">
        <f ca="1">IF(项目基本情况!B11="自然人","——",ROUND(F34*F35/10000,2))</f>
        <v>7.03</v>
      </c>
      <c r="D34" s="710" t="s">
        <v>940</v>
      </c>
      <c r="E34" s="684" t="s">
        <v>941</v>
      </c>
      <c r="F34" s="711">
        <f>'数据-取费表'!B52</f>
        <v>4</v>
      </c>
      <c r="G34" s="2284"/>
      <c r="H34" s="1277"/>
      <c r="I34" s="2877"/>
      <c r="J34" s="2878"/>
      <c r="K34" s="1291"/>
      <c r="L34" s="1292"/>
      <c r="M34" s="1292"/>
    </row>
    <row r="35" spans="1:18" ht="18" customHeight="1">
      <c r="A35" s="2692"/>
      <c r="B35" s="2690"/>
      <c r="C35" s="318"/>
      <c r="D35" s="713"/>
      <c r="E35" s="684" t="s">
        <v>945</v>
      </c>
      <c r="F35" s="685">
        <f ca="1">INDIRECT("'数据-取费表'!r"&amp;$G$1)</f>
        <v>17579.09</v>
      </c>
      <c r="G35" s="2284"/>
      <c r="H35" s="1277"/>
      <c r="I35" s="2877"/>
      <c r="J35" s="2878"/>
      <c r="K35" s="1290"/>
      <c r="L35" s="1289"/>
      <c r="M35" s="1289"/>
    </row>
    <row r="36" spans="1:18" ht="18" customHeight="1">
      <c r="A36" s="2691" t="s">
        <v>2378</v>
      </c>
      <c r="B36" s="684" t="s">
        <v>947</v>
      </c>
      <c r="C36" s="313">
        <f ca="1">ROUND(C29*F36,1)</f>
        <v>347.4</v>
      </c>
      <c r="D36" s="3394" t="s">
        <v>977</v>
      </c>
      <c r="E36" s="684" t="s">
        <v>363</v>
      </c>
      <c r="F36" s="714">
        <f ca="1">INDIRECT("'数据-取费表'!Ak"&amp;$G$1)</f>
        <v>1.4999999999999999E-2</v>
      </c>
      <c r="G36" s="2284"/>
      <c r="H36" s="1289"/>
      <c r="I36" s="2877"/>
      <c r="J36" s="2878"/>
      <c r="K36" s="1293"/>
      <c r="L36" s="1289"/>
      <c r="M36" s="1289"/>
    </row>
    <row r="37" spans="1:18" ht="18" customHeight="1">
      <c r="A37" s="2434" t="s">
        <v>2609</v>
      </c>
      <c r="B37" s="684" t="s">
        <v>366</v>
      </c>
      <c r="C37" s="313">
        <f ca="1">ROUND(C13*F37,1)</f>
        <v>44.9</v>
      </c>
      <c r="D37" s="3394" t="s">
        <v>367</v>
      </c>
      <c r="E37" s="684" t="s">
        <v>363</v>
      </c>
      <c r="F37" s="716">
        <f ca="1">INDIRECT("'数据-取费表'!Al"&amp;$G$1)</f>
        <v>2E-3</v>
      </c>
      <c r="G37" s="2284"/>
      <c r="H37" s="1289"/>
      <c r="I37" s="2877"/>
      <c r="J37" s="2878"/>
      <c r="K37" s="1293"/>
      <c r="L37" s="1289"/>
      <c r="M37" s="1289"/>
    </row>
    <row r="38" spans="1:18" ht="18" customHeight="1" thickBot="1">
      <c r="A38" s="2674" t="s">
        <v>2610</v>
      </c>
      <c r="B38" s="2675" t="s">
        <v>365</v>
      </c>
      <c r="C38" s="2676">
        <f ca="1">ROUND(C5*F38,1)</f>
        <v>11.6</v>
      </c>
      <c r="D38" s="2677" t="s">
        <v>369</v>
      </c>
      <c r="E38" s="2675" t="s">
        <v>363</v>
      </c>
      <c r="F38" s="2671">
        <f ca="1">INDIRECT("'数据-取费表'!Am"&amp;$G$1)</f>
        <v>0.01</v>
      </c>
      <c r="G38" s="2284"/>
      <c r="H38" s="1289"/>
      <c r="I38" s="2877"/>
      <c r="J38" s="2878"/>
      <c r="K38" s="1294"/>
      <c r="L38" s="1289"/>
      <c r="M38" s="1289"/>
    </row>
    <row r="39" spans="1:18" ht="24.6" customHeight="1" thickTop="1">
      <c r="A39" s="2662" t="s">
        <v>2351</v>
      </c>
      <c r="B39" s="2679" t="s">
        <v>375</v>
      </c>
      <c r="C39" s="692">
        <f ca="1">C5-C30</f>
        <v>492</v>
      </c>
      <c r="D39" s="2680" t="s">
        <v>376</v>
      </c>
      <c r="E39" s="2681"/>
      <c r="F39" s="2682"/>
      <c r="G39" s="2284"/>
      <c r="H39" s="1289"/>
      <c r="I39" s="2877"/>
      <c r="J39" s="2878"/>
      <c r="K39" s="1294"/>
      <c r="L39" s="1289"/>
      <c r="M39" s="1289"/>
    </row>
    <row r="40" spans="1:18" ht="18" customHeight="1">
      <c r="A40" s="681" t="s">
        <v>2354</v>
      </c>
      <c r="B40" s="682" t="s">
        <v>377</v>
      </c>
      <c r="C40" s="683">
        <f ca="1">ROUND(C39*(1-((1+F42)/(1+F40))^F41)/(F40-F42),0)</f>
        <v>10860</v>
      </c>
      <c r="D40" s="710" t="s">
        <v>371</v>
      </c>
      <c r="E40" s="684" t="s">
        <v>372</v>
      </c>
      <c r="F40" s="694">
        <f ca="1">INDIRECT("'数据-取费表'!I"&amp;$G$1)</f>
        <v>5.5E-2</v>
      </c>
      <c r="G40" s="2284"/>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37.619999999999997</v>
      </c>
      <c r="G41" s="2284"/>
      <c r="H41" s="1191"/>
      <c r="I41" s="2877"/>
      <c r="J41" s="2878"/>
      <c r="K41" s="1293"/>
      <c r="L41" s="1191"/>
      <c r="M41" s="1191"/>
    </row>
    <row r="42" spans="1:18" ht="18" customHeight="1">
      <c r="A42" s="690"/>
      <c r="B42" s="691"/>
      <c r="C42" s="692"/>
      <c r="D42" s="713"/>
      <c r="E42" s="684" t="s">
        <v>380</v>
      </c>
      <c r="F42" s="694">
        <f ca="1">INDIRECT("'数据-取费表'!v"&amp;$G$1)</f>
        <v>2.5000000000000001E-2</v>
      </c>
      <c r="G42" s="2284"/>
      <c r="H42" s="1191"/>
      <c r="I42" s="2877"/>
      <c r="J42" s="2878"/>
      <c r="K42" s="1293"/>
      <c r="L42" s="1191"/>
      <c r="M42" s="1191"/>
    </row>
    <row r="43" spans="1:18" ht="18" customHeight="1" thickBot="1">
      <c r="A43" s="720" t="s">
        <v>2361</v>
      </c>
      <c r="B43" s="721" t="s">
        <v>381</v>
      </c>
      <c r="C43" s="722">
        <f ca="1">ROUND(C40*10000/F43,0)</f>
        <v>1250</v>
      </c>
      <c r="D43" s="723" t="s">
        <v>382</v>
      </c>
      <c r="E43" s="724" t="s">
        <v>383</v>
      </c>
      <c r="F43" s="725">
        <f ca="1">INDIRECT("'数据-取费表'!k"&amp;$G$1)</f>
        <v>86900.44</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2484</v>
      </c>
      <c r="P45" s="1295"/>
      <c r="Q45" s="1295"/>
      <c r="R45" s="1295"/>
    </row>
    <row r="46" spans="1:18" s="1454" customFormat="1" ht="21" thickBot="1">
      <c r="A46" s="2392" t="s">
        <v>2323</v>
      </c>
      <c r="B46" s="2393"/>
      <c r="C46" s="2721">
        <f ca="1">C68-C40</f>
        <v>-20219</v>
      </c>
      <c r="D46" s="2722" t="str">
        <f>C2</f>
        <v>万元</v>
      </c>
      <c r="E46" s="1432"/>
      <c r="F46" s="1432"/>
      <c r="I46" s="2574" t="s">
        <v>2419</v>
      </c>
      <c r="J46" s="2575"/>
      <c r="K46" s="2576"/>
      <c r="L46" s="2578">
        <f ca="1">IF(M47="住宅",0,IF(L48&gt;J51,L60,J60))</f>
        <v>9263</v>
      </c>
      <c r="O46" s="2590" t="s">
        <v>2462</v>
      </c>
      <c r="P46" s="2591" t="s">
        <v>2463</v>
      </c>
      <c r="Q46" s="2592" t="s">
        <v>2461</v>
      </c>
      <c r="R46" s="2592" t="s">
        <v>2464</v>
      </c>
    </row>
    <row r="47" spans="1:18" s="1454" customFormat="1" ht="15.75" thickBot="1">
      <c r="A47" s="2394" t="s">
        <v>2325</v>
      </c>
      <c r="B47" s="2430" t="s">
        <v>913</v>
      </c>
      <c r="C47" s="2726" t="s">
        <v>2327</v>
      </c>
      <c r="D47" s="2430" t="s">
        <v>915</v>
      </c>
      <c r="E47" s="2533" t="s">
        <v>2329</v>
      </c>
      <c r="F47" s="2534"/>
      <c r="G47" s="1456"/>
      <c r="I47" s="2549" t="s">
        <v>2412</v>
      </c>
      <c r="J47" s="2550" t="s">
        <v>3874</v>
      </c>
      <c r="K47" s="2559" t="s">
        <v>2435</v>
      </c>
      <c r="L47" s="2560">
        <f ca="1">INDIRECT("'数据-取费表'!d"&amp;$G$1)</f>
        <v>0</v>
      </c>
      <c r="M47" s="2580" t="str">
        <f>IF(ISNUMBER(FIND("住宅",C1)),"住宅","非住宅")</f>
        <v>非住宅</v>
      </c>
      <c r="O47" s="2583" t="s">
        <v>2447</v>
      </c>
      <c r="P47" s="2593" t="s">
        <v>2465</v>
      </c>
      <c r="Q47" s="2584">
        <f ca="1">C40+J29</f>
        <v>10860</v>
      </c>
      <c r="R47" s="2584" t="s">
        <v>2466</v>
      </c>
    </row>
    <row r="48" spans="1:18" s="1454" customFormat="1" ht="47.25" thickBot="1">
      <c r="A48" s="2707" t="s">
        <v>2615</v>
      </c>
      <c r="B48" s="682" t="s">
        <v>2330</v>
      </c>
      <c r="C48" s="3396">
        <f ca="1">C49+C53+C55</f>
        <v>0</v>
      </c>
      <c r="D48" s="2711"/>
      <c r="E48" s="2712"/>
      <c r="F48" s="2414"/>
      <c r="G48" s="1456"/>
      <c r="H48" s="1457"/>
      <c r="I48" s="2540" t="s">
        <v>2413</v>
      </c>
      <c r="J48" s="2551" t="s">
        <v>2414</v>
      </c>
      <c r="K48" s="2561" t="s">
        <v>681</v>
      </c>
      <c r="L48" s="2164">
        <f ca="1">INDIRECT("'数据-取费表'!f"&amp;$G$1)</f>
        <v>37.619999999999997</v>
      </c>
      <c r="O48" s="2583" t="s">
        <v>2448</v>
      </c>
      <c r="P48" s="2593" t="s">
        <v>2467</v>
      </c>
      <c r="Q48" s="2584">
        <f ca="1">J60</f>
        <v>9263</v>
      </c>
      <c r="R48" s="2584" t="s">
        <v>2475</v>
      </c>
    </row>
    <row r="49" spans="1:18" s="1454" customFormat="1" ht="15.75" thickBot="1">
      <c r="A49" s="2427" t="s">
        <v>2616</v>
      </c>
      <c r="B49" s="2710" t="s">
        <v>2618</v>
      </c>
      <c r="C49" s="2719">
        <f ca="1">ROUND(F49*F51*F50*(1-F52)/10000,0)</f>
        <v>0</v>
      </c>
      <c r="D49" s="2529" t="s">
        <v>2331</v>
      </c>
      <c r="E49" s="2532" t="s">
        <v>2324</v>
      </c>
      <c r="F49" s="2535"/>
      <c r="G49" s="1458"/>
      <c r="H49" s="1457"/>
      <c r="I49" s="2540" t="s">
        <v>2433</v>
      </c>
      <c r="J49" s="2552">
        <v>2015</v>
      </c>
      <c r="K49" s="2562" t="s">
        <v>2438</v>
      </c>
      <c r="L49" s="2563"/>
      <c r="O49" s="2585" t="s">
        <v>2449</v>
      </c>
      <c r="P49" s="2593" t="s">
        <v>2468</v>
      </c>
      <c r="Q49" s="2584">
        <f ca="1">C29</f>
        <v>23157</v>
      </c>
      <c r="R49" s="2584" t="s">
        <v>2466</v>
      </c>
    </row>
    <row r="50" spans="1:18" s="1454" customFormat="1" ht="15.75" thickBot="1">
      <c r="A50" s="2428"/>
      <c r="B50" s="2431"/>
      <c r="C50" s="2727"/>
      <c r="D50" s="2401"/>
      <c r="E50" s="2530" t="s">
        <v>918</v>
      </c>
      <c r="F50" s="2531">
        <f ca="1">F7</f>
        <v>2550</v>
      </c>
      <c r="H50" s="1457"/>
      <c r="I50" s="2540" t="s">
        <v>2415</v>
      </c>
      <c r="J50" s="2553">
        <f>SUMPRODUCT((I63:I65=J47)*(J62:L62=J48)*(J63:L65))</f>
        <v>60</v>
      </c>
      <c r="K50" s="2562" t="s">
        <v>2439</v>
      </c>
      <c r="L50" s="2563"/>
      <c r="M50" s="2557"/>
      <c r="O50" s="2585" t="s">
        <v>2450</v>
      </c>
      <c r="P50" s="2593" t="s">
        <v>2476</v>
      </c>
      <c r="Q50" s="2586">
        <f ca="1">J58</f>
        <v>0.4</v>
      </c>
      <c r="R50" s="2584"/>
    </row>
    <row r="51" spans="1:18" s="1454" customFormat="1" ht="15.75" thickBot="1">
      <c r="A51" s="2429"/>
      <c r="B51" s="2431"/>
      <c r="C51" s="2432"/>
      <c r="D51" s="2401"/>
      <c r="E51" s="2433" t="s">
        <v>2333</v>
      </c>
      <c r="F51" s="685">
        <f ca="1">F8</f>
        <v>12</v>
      </c>
      <c r="I51" s="2554" t="s">
        <v>2420</v>
      </c>
      <c r="J51" s="2555">
        <f>IF(J49="",J50,J49+J50-YEAR('数据-取费表'!B2))</f>
        <v>58</v>
      </c>
      <c r="K51" s="2564" t="s">
        <v>2440</v>
      </c>
      <c r="L51" s="2577">
        <f ca="1">ROUND(-PV(INDIRECT("'数据-取费表'!h"&amp;$G$1),L48,(C39-C13*C76),0),0)</f>
        <v>-11347</v>
      </c>
      <c r="M51" s="2558"/>
      <c r="O51" s="2585" t="s">
        <v>2451</v>
      </c>
      <c r="P51" s="2593" t="s">
        <v>2477</v>
      </c>
      <c r="Q51" s="2586">
        <f>J52</f>
        <v>0</v>
      </c>
      <c r="R51" s="2584"/>
    </row>
    <row r="52" spans="1:18" s="1454" customFormat="1" ht="15.75" thickBot="1">
      <c r="A52" s="2429"/>
      <c r="B52" s="2431"/>
      <c r="C52" s="2432"/>
      <c r="D52" s="2401"/>
      <c r="E52" s="2433" t="s">
        <v>2334</v>
      </c>
      <c r="F52" s="2528"/>
      <c r="I52" s="2556" t="s">
        <v>2443</v>
      </c>
      <c r="J52" s="2570"/>
      <c r="K52" s="2556" t="s">
        <v>2428</v>
      </c>
      <c r="L52" s="2570"/>
      <c r="M52" s="2393"/>
      <c r="O52" s="2585" t="s">
        <v>2452</v>
      </c>
      <c r="P52" s="2593" t="s">
        <v>2469</v>
      </c>
      <c r="Q52" s="2584">
        <f ca="1">J53</f>
        <v>37.619999999999997</v>
      </c>
      <c r="R52" s="2584" t="s">
        <v>2470</v>
      </c>
    </row>
    <row r="53" spans="1:18" s="1454" customFormat="1" ht="43.5" thickBot="1">
      <c r="A53" s="2822" t="s">
        <v>2617</v>
      </c>
      <c r="B53" s="433" t="s">
        <v>2527</v>
      </c>
      <c r="C53" s="698">
        <f ca="1">ROUND(IF(F53="押一",F49*F51*F50/12*F11,IF(F53="押二",F49*F51*F50/12*2*F11,IF(F53="押三",F49*F51*F50/12*3*F11,C54*F11)))/10000,0)</f>
        <v>0</v>
      </c>
      <c r="D53" s="2630" t="s">
        <v>2535</v>
      </c>
      <c r="E53" s="2093" t="s">
        <v>2529</v>
      </c>
      <c r="F53" s="2824"/>
      <c r="I53" s="2566" t="s">
        <v>2445</v>
      </c>
      <c r="J53" s="2567">
        <f ca="1">IF(M47="住宅",J51,MIN(J51,L48))</f>
        <v>37.619999999999997</v>
      </c>
      <c r="K53" s="3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9"/>
      <c r="O53" s="2583" t="s">
        <v>2453</v>
      </c>
      <c r="P53" s="2593" t="s">
        <v>2471</v>
      </c>
      <c r="Q53" s="2584">
        <f ca="1">Q47+Q48</f>
        <v>20123</v>
      </c>
      <c r="R53" s="2584" t="s">
        <v>2454</v>
      </c>
    </row>
    <row r="54" spans="1:18" s="1454" customFormat="1" ht="16.5" thickBot="1">
      <c r="A54" s="2823"/>
      <c r="B54" s="2620" t="s">
        <v>2693</v>
      </c>
      <c r="C54" s="2411"/>
      <c r="D54" s="2630"/>
      <c r="E54" s="3384"/>
      <c r="F54" s="2536"/>
      <c r="I54" s="2408"/>
      <c r="J54" s="2565"/>
      <c r="K54" s="2565"/>
      <c r="L54" s="2565"/>
      <c r="M54" s="1458"/>
      <c r="O54" s="2587" t="s">
        <v>2478</v>
      </c>
      <c r="P54" s="1295"/>
      <c r="Q54" s="1295"/>
      <c r="R54" s="1295"/>
    </row>
    <row r="55" spans="1:18" s="1454" customFormat="1" ht="15.75" thickBot="1">
      <c r="A55" s="2666" t="s">
        <v>2540</v>
      </c>
      <c r="B55" s="2667" t="s">
        <v>2528</v>
      </c>
      <c r="C55" s="2668"/>
      <c r="D55" s="2630"/>
      <c r="E55" s="3384"/>
      <c r="F55" s="2536"/>
      <c r="I55" s="3314" t="s">
        <v>2421</v>
      </c>
      <c r="J55" s="3313">
        <f ca="1">ROUND(IF(J47="钢混",J57/J50,1-(1-2%)*(J50-J57)/J50),3)</f>
        <v>0.34</v>
      </c>
      <c r="K55" s="2547" t="s">
        <v>2422</v>
      </c>
      <c r="L55" s="2569"/>
      <c r="O55" s="2590" t="s">
        <v>2462</v>
      </c>
      <c r="P55" s="2591" t="s">
        <v>2463</v>
      </c>
      <c r="Q55" s="2592" t="s">
        <v>2461</v>
      </c>
      <c r="R55" s="2592" t="s">
        <v>2464</v>
      </c>
    </row>
    <row r="56" spans="1:18" s="1454" customFormat="1" ht="44.25" thickTop="1" thickBot="1">
      <c r="A56" s="2405">
        <v>2</v>
      </c>
      <c r="B56" s="2406" t="s">
        <v>2335</v>
      </c>
      <c r="C56" s="608">
        <f ca="1">C13</f>
        <v>22462</v>
      </c>
      <c r="D56" s="2694"/>
      <c r="E56" s="2407"/>
      <c r="F56" s="2536"/>
      <c r="I56" s="2539" t="s">
        <v>2423</v>
      </c>
      <c r="J56" s="2568" t="s">
        <v>41</v>
      </c>
      <c r="K56" s="2540" t="s">
        <v>2427</v>
      </c>
      <c r="L56" s="2164" t="str">
        <f ca="1">IF(L48&lt;J51,"——",L48-J51)</f>
        <v>——</v>
      </c>
      <c r="O56" s="2583" t="s">
        <v>2447</v>
      </c>
      <c r="P56" s="2593" t="s">
        <v>2465</v>
      </c>
      <c r="Q56" s="2584">
        <f ca="1">C40+J29</f>
        <v>10860</v>
      </c>
      <c r="R56" s="2584" t="s">
        <v>2466</v>
      </c>
    </row>
    <row r="57" spans="1:18" s="1454" customFormat="1" ht="29.25" thickBot="1">
      <c r="A57" s="2537"/>
      <c r="B57" s="2398" t="s">
        <v>970</v>
      </c>
      <c r="C57" s="614">
        <f ca="1">C29</f>
        <v>23157</v>
      </c>
      <c r="D57" s="2409"/>
      <c r="E57" s="2410"/>
      <c r="F57" s="2538"/>
      <c r="I57" s="2541" t="s">
        <v>2444</v>
      </c>
      <c r="J57" s="2545">
        <f ca="1">IF(OR(M47="住宅",J51&lt;L48,J56="是"),"——",J51-L48)</f>
        <v>20.380000000000003</v>
      </c>
      <c r="K57" s="2540" t="s">
        <v>2896</v>
      </c>
      <c r="L57" s="2164" t="str">
        <f ca="1">IF(L48&lt;J51,"——",IF(L55="比较法",L49,IF(L55="基准地价",L50,L51)))</f>
        <v>——</v>
      </c>
      <c r="O57" s="2583" t="s">
        <v>2448</v>
      </c>
      <c r="P57" s="2593" t="s">
        <v>2472</v>
      </c>
      <c r="Q57" s="2584">
        <f ca="1">L60</f>
        <v>0</v>
      </c>
      <c r="R57" s="2584" t="s">
        <v>2487</v>
      </c>
    </row>
    <row r="58" spans="1:18" s="1454" customFormat="1" ht="29.25" thickBot="1">
      <c r="A58" s="697" t="s">
        <v>2336</v>
      </c>
      <c r="B58" s="2406" t="s">
        <v>928</v>
      </c>
      <c r="C58" s="698">
        <f ca="1">ROUND(C59+C64+C65+C66,0)</f>
        <v>594</v>
      </c>
      <c r="D58" s="2412" t="s">
        <v>2367</v>
      </c>
      <c r="E58" s="2413"/>
      <c r="F58" s="2414"/>
      <c r="I58" s="2541" t="s">
        <v>2424</v>
      </c>
      <c r="J58" s="3315">
        <f ca="1">IF(J55&lt;0.4,0.4,J55)</f>
        <v>0.4</v>
      </c>
      <c r="K58" s="2564" t="s">
        <v>2897</v>
      </c>
      <c r="L58" s="2164">
        <f ca="1">IF(ISERROR(POWER(1+L52,L47-L48)*(POWER(1+L52,L48)-1)/(POWER(1+L52,L47)-1)),0,POWER(1+L52,L47-L48)*(POWER(1+L52,L48)-1)/(POWER(1+L52,L47)-1))</f>
        <v>0</v>
      </c>
      <c r="O58" s="2585" t="s">
        <v>2449</v>
      </c>
      <c r="P58" s="2593" t="s">
        <v>2479</v>
      </c>
      <c r="Q58" s="2584">
        <f>IF(L55="比较法",L49,IF(L55="基准地价",L50,0))</f>
        <v>0</v>
      </c>
      <c r="R58" s="2584" t="s">
        <v>2466</v>
      </c>
    </row>
    <row r="59" spans="1:18" s="1454" customFormat="1" ht="29.25" thickBot="1">
      <c r="A59" s="2434" t="s">
        <v>2371</v>
      </c>
      <c r="B59" s="2398" t="s">
        <v>361</v>
      </c>
      <c r="C59" s="313">
        <f ca="1">ROUND(IF(项目基本情况!B11="自然人",C48*F59,C60+C61+C62),1)</f>
        <v>201.6</v>
      </c>
      <c r="D59" s="2415" t="s">
        <v>2337</v>
      </c>
      <c r="E59" s="2416" t="s">
        <v>2338</v>
      </c>
      <c r="F59" s="708" t="str">
        <f ca="1">IF(项目基本情况!B11="企业","",IF(INDIRECT("'数据-取费表'!c"&amp;$G$1)="住宅",5%,IF(F49*F50*F51/12/(1+'数据-取费表'!C42)&gt;20000,12%,7%)))</f>
        <v/>
      </c>
      <c r="I59" s="2541" t="s">
        <v>2425</v>
      </c>
      <c r="J59" s="2545">
        <f ca="1">IF(OR(M47="住宅",J51&lt;L48,J56="是"),"——",ROUND(C29*J58,0))</f>
        <v>9263</v>
      </c>
      <c r="K59" s="2564" t="s">
        <v>2898</v>
      </c>
      <c r="L59" s="2164">
        <f ca="1">IF(ISERROR(POWER(1+L52,L47-J51)*(POWER(1+L52,J51)-1)/(POWER(1+L52,L47)-1)),0,POWER(1+L52,L47-J51)*(POWER(1+L52,J51)-1)/(POWER(1+L52,L47)-1))</f>
        <v>0</v>
      </c>
      <c r="O59" s="2585" t="s">
        <v>2450</v>
      </c>
      <c r="P59" s="2593" t="s">
        <v>2480</v>
      </c>
      <c r="Q59" s="2586">
        <f>L52</f>
        <v>0</v>
      </c>
      <c r="R59" s="2584"/>
    </row>
    <row r="60" spans="1:18" s="1454" customFormat="1" ht="20.25" thickBot="1">
      <c r="A60" s="2434" t="s">
        <v>2368</v>
      </c>
      <c r="B60" s="2398" t="s">
        <v>2339</v>
      </c>
      <c r="C60" s="313">
        <f ca="1">IF(项目基本情况!B11="自然人","——",ROUND(C48*F60/(1+'数据-取费表'!C42),2))</f>
        <v>0</v>
      </c>
      <c r="D60" s="2416" t="s">
        <v>2340</v>
      </c>
      <c r="E60" s="2398" t="s">
        <v>363</v>
      </c>
      <c r="F60" s="717">
        <f t="shared" ref="F60:F66" si="0">F32</f>
        <v>5.6000000000000001E-2</v>
      </c>
      <c r="I60" s="2542" t="s">
        <v>2426</v>
      </c>
      <c r="J60" s="2546">
        <f ca="1">IF(OR(M47="住宅",J51&lt;L48,J56="是"),"0",ROUND(J59/(1+J52)^J53,0))</f>
        <v>9263</v>
      </c>
      <c r="K60" s="2548" t="s">
        <v>2429</v>
      </c>
      <c r="L60" s="2546">
        <f ca="1">IF(OR(M47="住宅",L48&lt;J51),0,ROUND(L57*(L58/L59-1),0))</f>
        <v>0</v>
      </c>
      <c r="O60" s="2585" t="s">
        <v>2451</v>
      </c>
      <c r="P60" s="2593" t="s">
        <v>2481</v>
      </c>
      <c r="Q60" s="2584">
        <f ca="1">L58</f>
        <v>0</v>
      </c>
      <c r="R60" s="2584" t="s">
        <v>2456</v>
      </c>
    </row>
    <row r="61" spans="1:18" s="1454" customFormat="1" ht="20.25" thickBot="1">
      <c r="A61" s="2434" t="s">
        <v>2369</v>
      </c>
      <c r="B61" s="2398" t="s">
        <v>937</v>
      </c>
      <c r="C61" s="313">
        <f ca="1">IF(项目基本情况!B11="自然人","——",IF(D61="按租金收入计税",ROUND(C48*F61,2),IF(D61="按房产原值计税",ROUND(C57*F61*0.7,2),INDIRECT("'数据-取费表'!Aj"&amp;$G$1))))</f>
        <v>194.52</v>
      </c>
      <c r="D61" s="1300" t="s">
        <v>2411</v>
      </c>
      <c r="E61" s="2398" t="s">
        <v>363</v>
      </c>
      <c r="F61" s="707">
        <f t="shared" si="0"/>
        <v>1.2E-2</v>
      </c>
      <c r="I61" s="2408"/>
      <c r="J61" s="2408"/>
      <c r="K61" s="2408"/>
      <c r="L61" s="2408"/>
      <c r="O61" s="2585" t="s">
        <v>2452</v>
      </c>
      <c r="P61" s="2593" t="s">
        <v>2482</v>
      </c>
      <c r="Q61" s="2584">
        <f ca="1">L59</f>
        <v>0</v>
      </c>
      <c r="R61" s="2584" t="s">
        <v>2457</v>
      </c>
    </row>
    <row r="62" spans="1:18" s="1454" customFormat="1" ht="15.75" thickBot="1">
      <c r="A62" s="2434" t="s">
        <v>2370</v>
      </c>
      <c r="B62" s="2397" t="s">
        <v>939</v>
      </c>
      <c r="C62" s="314">
        <f ca="1">IF(项目基本情况!B11="自然人","——",ROUND(F62*F63/10000,2))</f>
        <v>7.03</v>
      </c>
      <c r="D62" s="2417" t="s">
        <v>940</v>
      </c>
      <c r="E62" s="2398" t="s">
        <v>941</v>
      </c>
      <c r="F62" s="711">
        <f t="shared" si="0"/>
        <v>4</v>
      </c>
      <c r="I62" s="2543" t="s">
        <v>2416</v>
      </c>
      <c r="J62" s="2544" t="s">
        <v>2417</v>
      </c>
      <c r="K62" s="2544" t="s">
        <v>2418</v>
      </c>
      <c r="L62" s="2544" t="s">
        <v>2414</v>
      </c>
      <c r="M62" s="3316" t="s">
        <v>3031</v>
      </c>
      <c r="O62" s="2583" t="s">
        <v>2453</v>
      </c>
      <c r="P62" s="2593" t="s">
        <v>2471</v>
      </c>
      <c r="Q62" s="2584">
        <f ca="1">Q56+Q57</f>
        <v>10860</v>
      </c>
      <c r="R62" s="2584" t="s">
        <v>2454</v>
      </c>
    </row>
    <row r="63" spans="1:18" s="1454" customFormat="1" ht="16.5" thickBot="1">
      <c r="A63" s="712"/>
      <c r="B63" s="2404"/>
      <c r="C63" s="318"/>
      <c r="D63" s="2418"/>
      <c r="E63" s="2398" t="s">
        <v>945</v>
      </c>
      <c r="F63" s="685">
        <f t="shared" ca="1" si="0"/>
        <v>17579.09</v>
      </c>
      <c r="I63" s="2543" t="s">
        <v>2430</v>
      </c>
      <c r="J63" s="3319">
        <v>70</v>
      </c>
      <c r="K63" s="3319">
        <v>50</v>
      </c>
      <c r="L63" s="3319">
        <v>80</v>
      </c>
      <c r="M63" s="3317">
        <v>0.02</v>
      </c>
      <c r="O63" s="2587" t="s">
        <v>2485</v>
      </c>
      <c r="P63" s="1295"/>
      <c r="Q63" s="1295"/>
      <c r="R63" s="1295"/>
    </row>
    <row r="64" spans="1:18" s="1454" customFormat="1" ht="15.75" thickBot="1">
      <c r="A64" s="2434" t="s">
        <v>2378</v>
      </c>
      <c r="B64" s="2398" t="s">
        <v>2347</v>
      </c>
      <c r="C64" s="313">
        <f ca="1">ROUND(C57*F64,1)</f>
        <v>347.4</v>
      </c>
      <c r="D64" s="2416" t="s">
        <v>2348</v>
      </c>
      <c r="E64" s="2398" t="s">
        <v>363</v>
      </c>
      <c r="F64" s="714">
        <f t="shared" ca="1" si="0"/>
        <v>1.4999999999999999E-2</v>
      </c>
      <c r="I64" s="2543" t="s">
        <v>105</v>
      </c>
      <c r="J64" s="3319">
        <v>50</v>
      </c>
      <c r="K64" s="3319">
        <v>35</v>
      </c>
      <c r="L64" s="3319">
        <v>60</v>
      </c>
      <c r="M64" s="3318">
        <v>0</v>
      </c>
      <c r="O64" s="2590" t="s">
        <v>2462</v>
      </c>
      <c r="P64" s="2591" t="s">
        <v>2463</v>
      </c>
      <c r="Q64" s="2592" t="s">
        <v>2461</v>
      </c>
      <c r="R64" s="2592" t="s">
        <v>2464</v>
      </c>
    </row>
    <row r="65" spans="1:18" s="1454" customFormat="1" ht="15.75" thickBot="1">
      <c r="A65" s="2434" t="s">
        <v>2372</v>
      </c>
      <c r="B65" s="2398" t="s">
        <v>366</v>
      </c>
      <c r="C65" s="313">
        <f ca="1">ROUND(C56*F65,1)</f>
        <v>44.9</v>
      </c>
      <c r="D65" s="2416" t="s">
        <v>367</v>
      </c>
      <c r="E65" s="2398" t="s">
        <v>363</v>
      </c>
      <c r="F65" s="716">
        <f t="shared" ca="1" si="0"/>
        <v>2E-3</v>
      </c>
      <c r="I65" s="2543" t="s">
        <v>2432</v>
      </c>
      <c r="J65" s="3319">
        <v>40</v>
      </c>
      <c r="K65" s="3319">
        <v>30</v>
      </c>
      <c r="L65" s="3319">
        <v>50</v>
      </c>
      <c r="M65" s="3317">
        <v>0.02</v>
      </c>
      <c r="O65" s="2583" t="s">
        <v>2447</v>
      </c>
      <c r="P65" s="2593" t="s">
        <v>2465</v>
      </c>
      <c r="Q65" s="2584">
        <f ca="1">C40+J29</f>
        <v>10860</v>
      </c>
      <c r="R65" s="2584" t="s">
        <v>2466</v>
      </c>
    </row>
    <row r="66" spans="1:18" s="1454" customFormat="1" ht="20.25" thickBot="1">
      <c r="A66" s="2434" t="s">
        <v>2373</v>
      </c>
      <c r="B66" s="2398" t="s">
        <v>365</v>
      </c>
      <c r="C66" s="313">
        <f ca="1">ROUND(C48*F66,1)</f>
        <v>0</v>
      </c>
      <c r="D66" s="2416" t="s">
        <v>369</v>
      </c>
      <c r="E66" s="2398" t="s">
        <v>363</v>
      </c>
      <c r="F66" s="694">
        <f t="shared" ca="1" si="0"/>
        <v>0.01</v>
      </c>
      <c r="O66" s="2583" t="s">
        <v>2448</v>
      </c>
      <c r="P66" s="2593" t="s">
        <v>2472</v>
      </c>
      <c r="Q66" s="2584">
        <f ca="1">L60</f>
        <v>0</v>
      </c>
      <c r="R66" s="2584" t="s">
        <v>2455</v>
      </c>
    </row>
    <row r="67" spans="1:18" s="1454" customFormat="1" ht="24.75" thickBot="1">
      <c r="A67" s="2405" t="s">
        <v>2351</v>
      </c>
      <c r="B67" s="2419" t="s">
        <v>2352</v>
      </c>
      <c r="C67" s="698">
        <f ca="1">C48-C58</f>
        <v>-594</v>
      </c>
      <c r="D67" s="2415" t="s">
        <v>376</v>
      </c>
      <c r="E67" s="2420"/>
      <c r="F67" s="2421"/>
      <c r="O67" s="2585" t="s">
        <v>2449</v>
      </c>
      <c r="P67" s="2593" t="s">
        <v>2479</v>
      </c>
      <c r="Q67" s="2588">
        <f ca="1">L51</f>
        <v>-11347</v>
      </c>
      <c r="R67" s="2589" t="s">
        <v>2489</v>
      </c>
    </row>
    <row r="68" spans="1:18" s="1454" customFormat="1" ht="20.25" thickBot="1">
      <c r="A68" s="2395" t="s">
        <v>2354</v>
      </c>
      <c r="B68" s="2396" t="s">
        <v>2355</v>
      </c>
      <c r="C68" s="683">
        <f ca="1">ROUND(C67*(1-((1+F70)/(1+F68))^F69)/(F68-F70),0)</f>
        <v>-9359</v>
      </c>
      <c r="D68" s="2417" t="s">
        <v>2356</v>
      </c>
      <c r="E68" s="2398" t="s">
        <v>372</v>
      </c>
      <c r="F68" s="694">
        <f ca="1">F40</f>
        <v>5.5E-2</v>
      </c>
      <c r="O68" s="2585" t="s">
        <v>2450</v>
      </c>
      <c r="P68" s="2594" t="s">
        <v>2483</v>
      </c>
      <c r="Q68" s="2584">
        <f ca="1">ROUND(Q69-Q70*Q71,0)</f>
        <v>-631</v>
      </c>
      <c r="R68" s="2584" t="s">
        <v>2488</v>
      </c>
    </row>
    <row r="69" spans="1:18" s="1454" customFormat="1" ht="15.75" thickBot="1">
      <c r="A69" s="2399"/>
      <c r="B69" s="2400"/>
      <c r="C69" s="688"/>
      <c r="D69" s="2422" t="s">
        <v>2358</v>
      </c>
      <c r="E69" s="2398" t="s">
        <v>379</v>
      </c>
      <c r="F69" s="719">
        <f ca="1">F41</f>
        <v>37.619999999999997</v>
      </c>
      <c r="O69" s="2585" t="s">
        <v>2458</v>
      </c>
      <c r="P69" s="2594" t="s">
        <v>2473</v>
      </c>
      <c r="Q69" s="2584">
        <f ca="1">C39</f>
        <v>492</v>
      </c>
      <c r="R69" s="2584" t="s">
        <v>2466</v>
      </c>
    </row>
    <row r="70" spans="1:18" s="1454" customFormat="1" ht="15.75" thickBot="1">
      <c r="A70" s="2402"/>
      <c r="B70" s="2403"/>
      <c r="C70" s="692"/>
      <c r="D70" s="2418"/>
      <c r="E70" s="2398" t="s">
        <v>2360</v>
      </c>
      <c r="F70" s="2528"/>
      <c r="O70" s="2585" t="s">
        <v>2459</v>
      </c>
      <c r="P70" s="2594" t="s">
        <v>2474</v>
      </c>
      <c r="Q70" s="2584">
        <f ca="1">C13</f>
        <v>22462</v>
      </c>
      <c r="R70" s="2584" t="s">
        <v>2466</v>
      </c>
    </row>
    <row r="71" spans="1:18" s="1454" customFormat="1" ht="15.75" thickBot="1">
      <c r="A71" s="2423" t="s">
        <v>2361</v>
      </c>
      <c r="B71" s="2424" t="s">
        <v>2362</v>
      </c>
      <c r="C71" s="722">
        <f ca="1">ROUND(C68*10000/F71,0)</f>
        <v>-1077</v>
      </c>
      <c r="D71" s="2425" t="s">
        <v>382</v>
      </c>
      <c r="E71" s="2426" t="s">
        <v>383</v>
      </c>
      <c r="F71" s="725">
        <f ca="1">F43</f>
        <v>86900.44</v>
      </c>
      <c r="I71" s="2393"/>
      <c r="K71" s="2393"/>
      <c r="O71" s="2585" t="s">
        <v>2460</v>
      </c>
      <c r="P71" s="2594" t="s">
        <v>2486</v>
      </c>
      <c r="Q71" s="2586">
        <f ca="1">C76</f>
        <v>0.05</v>
      </c>
      <c r="R71" s="2584"/>
    </row>
    <row r="72" spans="1:18" s="1454" customFormat="1" ht="15.75" thickBot="1">
      <c r="B72" s="1459"/>
      <c r="C72" s="1459"/>
      <c r="I72" s="2393"/>
      <c r="O72" s="2585" t="s">
        <v>2451</v>
      </c>
      <c r="P72" s="2593" t="s">
        <v>2480</v>
      </c>
      <c r="Q72" s="2586">
        <f>L52</f>
        <v>0</v>
      </c>
      <c r="R72" s="2584"/>
    </row>
    <row r="73" spans="1:18" ht="20.25" thickBot="1">
      <c r="A73" s="1454"/>
      <c r="B73" s="1459"/>
      <c r="C73" s="1459"/>
      <c r="D73" s="1454"/>
      <c r="E73" s="1454"/>
      <c r="F73" s="1454"/>
      <c r="I73" s="2579"/>
      <c r="O73" s="2585" t="s">
        <v>2452</v>
      </c>
      <c r="P73" s="2593" t="s">
        <v>2481</v>
      </c>
      <c r="Q73" s="2584">
        <f ca="1">L58</f>
        <v>0</v>
      </c>
      <c r="R73" s="2584" t="s">
        <v>2456</v>
      </c>
    </row>
    <row r="74" spans="1:18" ht="20.25" thickBot="1">
      <c r="A74" s="1454"/>
      <c r="B74" s="727" t="s">
        <v>384</v>
      </c>
      <c r="C74" s="728"/>
      <c r="D74" s="1454"/>
      <c r="E74" s="1454"/>
      <c r="F74" s="1454"/>
      <c r="O74" s="2585" t="s">
        <v>2490</v>
      </c>
      <c r="P74" s="2593" t="s">
        <v>2482</v>
      </c>
      <c r="Q74" s="2584">
        <f ca="1">L59</f>
        <v>0</v>
      </c>
      <c r="R74" s="2584" t="s">
        <v>2457</v>
      </c>
    </row>
    <row r="75" spans="1:18" ht="15.75" thickBot="1">
      <c r="A75" s="1454"/>
      <c r="B75" s="729" t="s">
        <v>975</v>
      </c>
      <c r="C75" s="730">
        <f ca="1">ROUND(C13*C76,0)</f>
        <v>1123</v>
      </c>
      <c r="D75" s="1454"/>
      <c r="E75" s="1454"/>
      <c r="F75" s="1454"/>
      <c r="K75" s="1455"/>
      <c r="L75" s="1454"/>
      <c r="O75" s="2583" t="s">
        <v>2453</v>
      </c>
      <c r="P75" s="2593" t="s">
        <v>2471</v>
      </c>
      <c r="Q75" s="2584">
        <f ca="1">Q65+Q66</f>
        <v>10860</v>
      </c>
      <c r="R75" s="2584" t="s">
        <v>2454</v>
      </c>
    </row>
    <row r="76" spans="1:18">
      <c r="B76" s="731" t="s">
        <v>976</v>
      </c>
      <c r="C76" s="732">
        <f ca="1">INDIRECT("'数据-取费表'!j"&amp;$G$1)</f>
        <v>0.05</v>
      </c>
      <c r="I76" s="1454"/>
      <c r="J76" s="1454"/>
      <c r="K76" s="1455"/>
      <c r="L76" s="1454"/>
    </row>
    <row r="77" spans="1:18">
      <c r="B77" s="733" t="s">
        <v>979</v>
      </c>
      <c r="C77" s="734"/>
      <c r="I77" s="1454"/>
      <c r="J77" s="1454"/>
      <c r="K77" s="1455"/>
      <c r="L77" s="1454"/>
    </row>
    <row r="78" spans="1:18">
      <c r="B78" s="646" t="s">
        <v>2694</v>
      </c>
      <c r="C78" s="735"/>
    </row>
    <row r="79" spans="1:18">
      <c r="B79" s="2869" t="s">
        <v>2698</v>
      </c>
      <c r="C79" s="650">
        <f ca="1">1-C80</f>
        <v>-1.2829999999999999</v>
      </c>
    </row>
    <row r="80" spans="1:18">
      <c r="B80" s="2869" t="s">
        <v>2697</v>
      </c>
      <c r="C80" s="650">
        <f ca="1">ROUND(C75/C39,3)</f>
        <v>2.2829999999999999</v>
      </c>
    </row>
    <row r="81" spans="2:3">
      <c r="B81" s="646" t="s">
        <v>385</v>
      </c>
      <c r="C81" s="647"/>
    </row>
    <row r="82" spans="2:3">
      <c r="B82" s="2868" t="s">
        <v>2696</v>
      </c>
      <c r="C82" s="651">
        <f ca="1">1-C83</f>
        <v>-1.0680000000000001</v>
      </c>
    </row>
    <row r="83" spans="2:3">
      <c r="B83" s="2868" t="s">
        <v>2695</v>
      </c>
      <c r="C83" s="650">
        <f ca="1">ROUND(C13/C40,3)</f>
        <v>2.0680000000000001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dimension ref="A1:N73"/>
  <sheetViews>
    <sheetView tabSelected="1" topLeftCell="A19" workbookViewId="0">
      <selection activeCell="J44" sqref="J44"/>
    </sheetView>
  </sheetViews>
  <sheetFormatPr defaultRowHeight="13.5"/>
  <cols>
    <col min="2" max="2" width="12.125" customWidth="1"/>
    <col min="3" max="3" width="12.625" customWidth="1"/>
    <col min="4" max="4" width="13" customWidth="1"/>
    <col min="5" max="5" width="11.875" customWidth="1"/>
    <col min="6" max="6" width="11.75" customWidth="1"/>
    <col min="7" max="7" width="12.875" customWidth="1"/>
    <col min="8" max="8" width="13" customWidth="1"/>
    <col min="9" max="9" width="12.75" bestFit="1" customWidth="1"/>
  </cols>
  <sheetData>
    <row r="1" spans="1:14" ht="18.75">
      <c r="A1" s="3942" t="s">
        <v>3059</v>
      </c>
      <c r="B1" s="3942"/>
      <c r="C1" s="3942"/>
      <c r="D1" s="3942"/>
      <c r="E1" s="3942"/>
      <c r="F1" s="3942"/>
      <c r="G1" s="3942"/>
    </row>
    <row r="2" spans="1:14" ht="28.5">
      <c r="A2" s="3367" t="s">
        <v>3060</v>
      </c>
      <c r="B2" s="3943" t="s">
        <v>3061</v>
      </c>
      <c r="C2" s="3943"/>
      <c r="D2" s="3368" t="s">
        <v>3062</v>
      </c>
      <c r="E2" s="3369" t="s">
        <v>3063</v>
      </c>
      <c r="F2" s="3369" t="s">
        <v>3064</v>
      </c>
      <c r="G2" s="3369" t="s">
        <v>3114</v>
      </c>
      <c r="H2" s="3368" t="s">
        <v>3065</v>
      </c>
    </row>
    <row r="3" spans="1:14" ht="15.75">
      <c r="A3" s="3939" t="s">
        <v>3066</v>
      </c>
      <c r="B3" s="3939" t="s">
        <v>3067</v>
      </c>
      <c r="C3" s="3939"/>
      <c r="D3" s="3370">
        <v>268</v>
      </c>
      <c r="E3" s="3371">
        <v>33400.43</v>
      </c>
      <c r="F3" s="3371">
        <v>25234.14</v>
      </c>
      <c r="G3" s="3371">
        <f>[1]一期商业!$H$271</f>
        <v>7967.7399999999925</v>
      </c>
      <c r="H3" s="3372" t="s">
        <v>3068</v>
      </c>
      <c r="I3">
        <f>[1]一期商业!G271</f>
        <v>33400.429999999978</v>
      </c>
    </row>
    <row r="4" spans="1:14" ht="15.75">
      <c r="A4" s="3939"/>
      <c r="B4" s="3939" t="s">
        <v>3069</v>
      </c>
      <c r="C4" s="3373" t="s">
        <v>3070</v>
      </c>
      <c r="D4" s="3370">
        <v>245</v>
      </c>
      <c r="E4" s="3371">
        <v>7351.17</v>
      </c>
      <c r="F4" s="3371">
        <v>3049.5</v>
      </c>
      <c r="G4" s="3940">
        <f>[1]一期车位!$I$528</f>
        <v>3752.780000000002</v>
      </c>
      <c r="H4" s="3374"/>
      <c r="I4">
        <f>[1]一期车位!H528</f>
        <v>15731.789999999919</v>
      </c>
      <c r="K4" t="s">
        <v>3071</v>
      </c>
      <c r="L4" t="s">
        <v>3072</v>
      </c>
      <c r="M4" t="s">
        <v>3069</v>
      </c>
      <c r="N4" s="3398" t="s">
        <v>3118</v>
      </c>
    </row>
    <row r="5" spans="1:14" ht="15.75">
      <c r="A5" s="3939"/>
      <c r="B5" s="3939"/>
      <c r="C5" s="3373" t="s">
        <v>3073</v>
      </c>
      <c r="D5" s="3370">
        <v>140</v>
      </c>
      <c r="E5" s="3371">
        <v>8380.6200000000008</v>
      </c>
      <c r="F5" s="3371">
        <v>3476.45</v>
      </c>
      <c r="G5" s="3941"/>
      <c r="H5" s="3371"/>
      <c r="K5">
        <f>E3+E7+E12</f>
        <v>61657.18</v>
      </c>
      <c r="L5">
        <f>E8</f>
        <v>16940.830000000002</v>
      </c>
      <c r="M5">
        <f>E4+E5+E9+E10+E13+E14</f>
        <v>86900.44</v>
      </c>
      <c r="N5">
        <f>D4+D5+D9+D10+D13+D14</f>
        <v>2550</v>
      </c>
    </row>
    <row r="6" spans="1:14" ht="15.75">
      <c r="A6" s="3935" t="s">
        <v>3074</v>
      </c>
      <c r="B6" s="3935"/>
      <c r="C6" s="3935"/>
      <c r="D6" s="3375">
        <f>SUM(D3:D5)</f>
        <v>653</v>
      </c>
      <c r="E6" s="3375">
        <f>SUM(E3:E5)</f>
        <v>49132.22</v>
      </c>
      <c r="F6" s="3375">
        <f>SUM(F3:F5)</f>
        <v>31760.09</v>
      </c>
      <c r="G6" s="3375">
        <f>SUM(G3:G5)</f>
        <v>11720.519999999995</v>
      </c>
      <c r="H6" s="3371"/>
    </row>
    <row r="7" spans="1:14" ht="15.75">
      <c r="A7" s="3939" t="s">
        <v>3075</v>
      </c>
      <c r="B7" s="3939" t="s">
        <v>3067</v>
      </c>
      <c r="C7" s="3939"/>
      <c r="D7" s="3370">
        <v>135</v>
      </c>
      <c r="E7" s="3371">
        <v>13541.08</v>
      </c>
      <c r="F7" s="3371">
        <v>11556.04</v>
      </c>
      <c r="G7" s="3371">
        <f>[1]二期商业!$H$138</f>
        <v>2691.5700000000015</v>
      </c>
      <c r="H7" s="3372" t="s">
        <v>3076</v>
      </c>
      <c r="I7">
        <f>[1]二期商业!G138</f>
        <v>13541.079999999994</v>
      </c>
    </row>
    <row r="8" spans="1:14" ht="15.75">
      <c r="A8" s="3939"/>
      <c r="B8" s="3939" t="s">
        <v>3077</v>
      </c>
      <c r="C8" s="3939"/>
      <c r="D8" s="3370">
        <v>150</v>
      </c>
      <c r="E8" s="3371">
        <v>16940.830000000002</v>
      </c>
      <c r="F8" s="3371">
        <v>12238.88</v>
      </c>
      <c r="G8" s="3371">
        <f>[1]二期写字楼!$H$161</f>
        <v>3367.3800000000065</v>
      </c>
      <c r="H8" s="3376" t="s">
        <v>3078</v>
      </c>
      <c r="I8">
        <f>[1]二期写字楼!G161</f>
        <v>16940.830000000005</v>
      </c>
    </row>
    <row r="9" spans="1:14" ht="15.75">
      <c r="A9" s="3939"/>
      <c r="B9" s="3939" t="s">
        <v>3079</v>
      </c>
      <c r="C9" s="3373" t="s">
        <v>3080</v>
      </c>
      <c r="D9" s="3370">
        <v>686</v>
      </c>
      <c r="E9" s="3371">
        <v>23568.13</v>
      </c>
      <c r="F9" s="3371">
        <v>8721.4599999999991</v>
      </c>
      <c r="G9" s="3940">
        <f>[1]二期车位!$J$783</f>
        <v>5320.9999999999736</v>
      </c>
      <c r="H9" s="3371"/>
      <c r="I9">
        <f>[1]二期车位!I783</f>
        <v>26772.89</v>
      </c>
    </row>
    <row r="10" spans="1:14" ht="15.75">
      <c r="A10" s="3939"/>
      <c r="B10" s="3939"/>
      <c r="C10" s="3373" t="s">
        <v>3081</v>
      </c>
      <c r="D10" s="3370">
        <v>47</v>
      </c>
      <c r="E10" s="3371">
        <v>3204.76</v>
      </c>
      <c r="F10" s="3371">
        <v>1185.94</v>
      </c>
      <c r="G10" s="3941"/>
      <c r="H10" s="3371"/>
    </row>
    <row r="11" spans="1:14" ht="15.75">
      <c r="A11" s="3935" t="s">
        <v>3082</v>
      </c>
      <c r="B11" s="3935"/>
      <c r="C11" s="3935"/>
      <c r="D11" s="3375">
        <f>SUM(D7:D10)</f>
        <v>1018</v>
      </c>
      <c r="E11" s="3375">
        <f>SUM(E7:E10)</f>
        <v>57254.80000000001</v>
      </c>
      <c r="F11" s="3375">
        <f>SUM(F7:F10)</f>
        <v>33702.32</v>
      </c>
      <c r="G11" s="3375">
        <f>SUM(G7:G10)</f>
        <v>11379.949999999983</v>
      </c>
      <c r="H11" s="3371"/>
    </row>
    <row r="12" spans="1:14" ht="15.75">
      <c r="A12" s="3939" t="s">
        <v>3083</v>
      </c>
      <c r="B12" s="3939" t="s">
        <v>3084</v>
      </c>
      <c r="C12" s="3939"/>
      <c r="D12" s="3370">
        <v>138</v>
      </c>
      <c r="E12" s="3371">
        <v>14715.67</v>
      </c>
      <c r="F12" s="3371">
        <v>12942.5</v>
      </c>
      <c r="G12" s="3371">
        <f>[1]三期商业!$H$141</f>
        <v>2583.31</v>
      </c>
      <c r="H12" s="3371"/>
      <c r="I12">
        <f>[1]三期商业!G141</f>
        <v>14715.669999999991</v>
      </c>
    </row>
    <row r="13" spans="1:14" ht="15.75">
      <c r="A13" s="3939"/>
      <c r="B13" s="3939" t="s">
        <v>3079</v>
      </c>
      <c r="C13" s="3373" t="s">
        <v>3080</v>
      </c>
      <c r="D13" s="3370">
        <v>1406</v>
      </c>
      <c r="E13" s="3371">
        <v>42864.54</v>
      </c>
      <c r="F13" s="3371">
        <v>18142.28</v>
      </c>
      <c r="G13" s="3940">
        <f>[1]三期车位!$J$1461</f>
        <v>7794.91</v>
      </c>
      <c r="H13" s="3371"/>
      <c r="I13">
        <f>[1]三期车位!I1994</f>
        <v>90140.329999999929</v>
      </c>
    </row>
    <row r="14" spans="1:14" ht="15.75">
      <c r="A14" s="3939"/>
      <c r="B14" s="3939"/>
      <c r="C14" s="3373" t="s">
        <v>3081</v>
      </c>
      <c r="D14" s="3370">
        <v>26</v>
      </c>
      <c r="E14" s="3371">
        <v>1531.22</v>
      </c>
      <c r="F14" s="3371">
        <v>648.1</v>
      </c>
      <c r="G14" s="3941"/>
      <c r="H14" s="3371"/>
    </row>
    <row r="15" spans="1:14" ht="15.75">
      <c r="A15" s="3935" t="s">
        <v>3082</v>
      </c>
      <c r="B15" s="3935"/>
      <c r="C15" s="3935"/>
      <c r="D15" s="3375">
        <f>SUM(D12:D14)</f>
        <v>1570</v>
      </c>
      <c r="E15" s="3375">
        <f>SUM(E12:E14)</f>
        <v>59111.43</v>
      </c>
      <c r="F15" s="3375">
        <f>SUM(F12:F14)</f>
        <v>31732.879999999997</v>
      </c>
      <c r="G15" s="3375">
        <f>SUM(G12:G14)</f>
        <v>10378.219999999999</v>
      </c>
      <c r="H15" s="3371"/>
    </row>
    <row r="16" spans="1:14" ht="15.75">
      <c r="A16" s="3936" t="s">
        <v>3085</v>
      </c>
      <c r="B16" s="3937"/>
      <c r="C16" s="3938"/>
      <c r="D16" s="3377">
        <f>D6+D11+D15</f>
        <v>3241</v>
      </c>
      <c r="E16" s="3377">
        <f>E6+E11+E15</f>
        <v>165498.45000000001</v>
      </c>
      <c r="F16" s="3377">
        <f>F6+F11+F15</f>
        <v>97195.290000000008</v>
      </c>
      <c r="G16" s="3377">
        <f>G6+G11+G15</f>
        <v>33478.689999999981</v>
      </c>
      <c r="H16" s="3378"/>
    </row>
    <row r="17" spans="1:7">
      <c r="D17">
        <f>D4+D5+D9+D10+D14+D13</f>
        <v>2550</v>
      </c>
    </row>
    <row r="21" spans="1:7">
      <c r="A21" s="3944" t="s">
        <v>3930</v>
      </c>
      <c r="B21" s="3945"/>
      <c r="C21" s="3945"/>
      <c r="D21" s="3945"/>
      <c r="E21" s="3945"/>
      <c r="F21" s="3945"/>
      <c r="G21" s="3945"/>
    </row>
    <row r="22" spans="1:7">
      <c r="A22" s="3946" t="s">
        <v>3115</v>
      </c>
      <c r="B22" s="3540"/>
      <c r="C22" s="3540" t="s">
        <v>3916</v>
      </c>
      <c r="D22" s="3540" t="s">
        <v>3917</v>
      </c>
      <c r="E22" s="3540" t="s">
        <v>3918</v>
      </c>
      <c r="F22" s="3540" t="s">
        <v>3919</v>
      </c>
      <c r="G22" s="3540" t="s">
        <v>3920</v>
      </c>
    </row>
    <row r="23" spans="1:7" ht="14.25">
      <c r="A23" s="3946"/>
      <c r="B23" s="3540" t="s">
        <v>3921</v>
      </c>
      <c r="C23" s="3541">
        <v>706.26</v>
      </c>
      <c r="D23" s="3541">
        <v>1261.5</v>
      </c>
      <c r="E23" s="3541"/>
      <c r="F23" s="3541"/>
      <c r="G23" s="3541">
        <f>SUM(C23:F23)</f>
        <v>1967.76</v>
      </c>
    </row>
    <row r="24" spans="1:7" ht="14.25">
      <c r="A24" s="3946"/>
      <c r="B24" s="3540" t="s">
        <v>3922</v>
      </c>
      <c r="C24" s="3541">
        <v>1810.12</v>
      </c>
      <c r="D24" s="3541"/>
      <c r="E24" s="3541"/>
      <c r="F24" s="3541"/>
      <c r="G24" s="3541">
        <f t="shared" ref="G24:G43" si="0">SUM(C24:F24)</f>
        <v>1810.12</v>
      </c>
    </row>
    <row r="25" spans="1:7" ht="14.25">
      <c r="A25" s="3946"/>
      <c r="B25" s="3540" t="s">
        <v>3923</v>
      </c>
      <c r="C25" s="3541">
        <v>838.67</v>
      </c>
      <c r="D25" s="3541">
        <v>1058.2</v>
      </c>
      <c r="E25" s="3541">
        <v>1005.69</v>
      </c>
      <c r="F25" s="3541"/>
      <c r="G25" s="3541">
        <f t="shared" si="0"/>
        <v>2902.56</v>
      </c>
    </row>
    <row r="26" spans="1:7" ht="14.25">
      <c r="A26" s="3946"/>
      <c r="B26" s="3540" t="s">
        <v>3209</v>
      </c>
      <c r="C26" s="3541">
        <v>745.81</v>
      </c>
      <c r="D26" s="3541">
        <v>1025.8</v>
      </c>
      <c r="E26" s="3541">
        <v>975.33</v>
      </c>
      <c r="F26" s="3541"/>
      <c r="G26" s="3541">
        <f t="shared" si="0"/>
        <v>2746.94</v>
      </c>
    </row>
    <row r="27" spans="1:7" ht="14.25">
      <c r="A27" s="3946"/>
      <c r="B27" s="3540" t="s">
        <v>3924</v>
      </c>
      <c r="C27" s="3541">
        <v>648.87</v>
      </c>
      <c r="D27" s="3541">
        <v>876.02</v>
      </c>
      <c r="E27" s="3541">
        <v>830.26</v>
      </c>
      <c r="F27" s="3541"/>
      <c r="G27" s="3541">
        <f t="shared" si="0"/>
        <v>2355.1499999999996</v>
      </c>
    </row>
    <row r="28" spans="1:7" ht="14.25">
      <c r="A28" s="3946"/>
      <c r="B28" s="3540" t="s">
        <v>3247</v>
      </c>
      <c r="C28" s="3541">
        <v>910.51</v>
      </c>
      <c r="D28" s="3541">
        <v>1059.3499999999999</v>
      </c>
      <c r="E28" s="3541">
        <v>1004.24</v>
      </c>
      <c r="F28" s="3541"/>
      <c r="G28" s="3541">
        <f t="shared" si="0"/>
        <v>2974.1</v>
      </c>
    </row>
    <row r="29" spans="1:7" ht="14.25">
      <c r="A29" s="3946"/>
      <c r="B29" s="3540" t="s">
        <v>3925</v>
      </c>
      <c r="C29" s="3541">
        <v>1471.13</v>
      </c>
      <c r="D29" s="3541">
        <v>2711.25</v>
      </c>
      <c r="E29" s="3541"/>
      <c r="F29" s="3541"/>
      <c r="G29" s="3541">
        <f t="shared" si="0"/>
        <v>4182.38</v>
      </c>
    </row>
    <row r="30" spans="1:7" ht="14.25">
      <c r="A30" s="3946"/>
      <c r="B30" s="3540" t="s">
        <v>3926</v>
      </c>
      <c r="C30" s="3541">
        <v>727.08</v>
      </c>
      <c r="D30" s="3541">
        <v>1246.9000000000001</v>
      </c>
      <c r="E30" s="3541"/>
      <c r="F30" s="3541"/>
      <c r="G30" s="3541">
        <f t="shared" si="0"/>
        <v>1973.98</v>
      </c>
    </row>
    <row r="31" spans="1:7" ht="14.25">
      <c r="A31" s="3946"/>
      <c r="B31" s="3540" t="s">
        <v>3927</v>
      </c>
      <c r="C31" s="3541">
        <v>1479.09</v>
      </c>
      <c r="D31" s="3541">
        <v>1895.25</v>
      </c>
      <c r="E31" s="3541">
        <v>2011.62</v>
      </c>
      <c r="F31" s="3541">
        <v>2214.5700000000002</v>
      </c>
      <c r="G31" s="3541">
        <f t="shared" si="0"/>
        <v>7600.5300000000007</v>
      </c>
    </row>
    <row r="32" spans="1:7" ht="14.25">
      <c r="A32" s="3946"/>
      <c r="B32" s="3540" t="s">
        <v>3928</v>
      </c>
      <c r="C32" s="3541">
        <v>1586.5</v>
      </c>
      <c r="D32" s="3541">
        <v>1701.01</v>
      </c>
      <c r="E32" s="3541">
        <v>1599.4</v>
      </c>
      <c r="F32" s="3541"/>
      <c r="G32" s="3541">
        <f t="shared" si="0"/>
        <v>4886.91</v>
      </c>
    </row>
    <row r="33" spans="1:10" ht="14.25">
      <c r="A33" s="3946"/>
      <c r="B33" s="3949" t="s">
        <v>4020</v>
      </c>
      <c r="C33" s="3542">
        <v>10924.04</v>
      </c>
      <c r="D33" s="3542">
        <v>12835.28</v>
      </c>
      <c r="E33" s="3542">
        <v>7426.54</v>
      </c>
      <c r="F33" s="3542">
        <v>2214.5700000000002</v>
      </c>
      <c r="G33" s="3541">
        <f t="shared" si="0"/>
        <v>33400.43</v>
      </c>
    </row>
    <row r="34" spans="1:10" ht="14.25">
      <c r="A34" s="3946" t="s">
        <v>3116</v>
      </c>
      <c r="B34" s="3543" t="s">
        <v>3364</v>
      </c>
      <c r="C34" s="3544">
        <v>841.65</v>
      </c>
      <c r="D34" s="3544">
        <v>1029.6600000000001</v>
      </c>
      <c r="E34" s="3544"/>
      <c r="F34" s="3544"/>
      <c r="G34" s="3541">
        <f t="shared" si="0"/>
        <v>1871.31</v>
      </c>
    </row>
    <row r="35" spans="1:10" ht="14.25">
      <c r="A35" s="3946"/>
      <c r="B35" s="3543" t="s">
        <v>3385</v>
      </c>
      <c r="C35" s="3544">
        <v>956.91</v>
      </c>
      <c r="D35" s="3544">
        <v>1155.8599999999999</v>
      </c>
      <c r="E35" s="3544"/>
      <c r="F35" s="3544"/>
      <c r="G35" s="3541">
        <f t="shared" si="0"/>
        <v>2112.77</v>
      </c>
    </row>
    <row r="36" spans="1:10" ht="14.25">
      <c r="A36" s="3946"/>
      <c r="B36" s="3543" t="s">
        <v>3460</v>
      </c>
      <c r="C36" s="3544">
        <v>959.78</v>
      </c>
      <c r="D36" s="3542"/>
      <c r="E36" s="3544"/>
      <c r="F36" s="3544"/>
      <c r="G36" s="3541">
        <f t="shared" si="0"/>
        <v>959.78</v>
      </c>
    </row>
    <row r="37" spans="1:10" ht="14.25">
      <c r="A37" s="3946"/>
      <c r="B37" s="3543" t="s">
        <v>3437</v>
      </c>
      <c r="C37" s="3544">
        <v>871.29</v>
      </c>
      <c r="D37" s="3544"/>
      <c r="E37" s="3544"/>
      <c r="F37" s="3544"/>
      <c r="G37" s="3541">
        <f t="shared" si="0"/>
        <v>871.29</v>
      </c>
    </row>
    <row r="38" spans="1:10" ht="14.25">
      <c r="A38" s="3946"/>
      <c r="B38" s="3543" t="s">
        <v>3404</v>
      </c>
      <c r="C38" s="3544">
        <v>945</v>
      </c>
      <c r="D38" s="3544"/>
      <c r="E38" s="3544"/>
      <c r="F38" s="3544"/>
      <c r="G38" s="3541">
        <f t="shared" si="0"/>
        <v>945</v>
      </c>
    </row>
    <row r="39" spans="1:10" ht="14.25">
      <c r="A39" s="3946"/>
      <c r="B39" s="3543" t="s">
        <v>3639</v>
      </c>
      <c r="C39" s="3544">
        <v>1069.69</v>
      </c>
      <c r="D39" s="3544"/>
      <c r="E39" s="3544"/>
      <c r="F39" s="3544"/>
      <c r="G39" s="3541">
        <f t="shared" si="0"/>
        <v>1069.69</v>
      </c>
    </row>
    <row r="40" spans="1:10" ht="14.25">
      <c r="A40" s="3946"/>
      <c r="B40" s="3543" t="s">
        <v>3929</v>
      </c>
      <c r="C40" s="3544">
        <v>2466.42</v>
      </c>
      <c r="D40" s="3544">
        <v>3244.82</v>
      </c>
      <c r="E40" s="3544"/>
      <c r="F40" s="3544"/>
      <c r="G40" s="3541">
        <f t="shared" si="0"/>
        <v>5711.24</v>
      </c>
    </row>
    <row r="41" spans="1:10" ht="14.25">
      <c r="A41" s="3946"/>
      <c r="B41" s="3950" t="s">
        <v>4021</v>
      </c>
      <c r="C41" s="3545">
        <f>SUM(C34:C40)</f>
        <v>8110.74</v>
      </c>
      <c r="D41" s="3545">
        <f>SUM(D34:D40)</f>
        <v>5430.34</v>
      </c>
      <c r="E41" s="3545">
        <v>0</v>
      </c>
      <c r="F41" s="3545">
        <v>0</v>
      </c>
      <c r="G41" s="3541">
        <f t="shared" si="0"/>
        <v>13541.08</v>
      </c>
      <c r="I41" s="3548"/>
    </row>
    <row r="42" spans="1:10" ht="14.25">
      <c r="A42" s="3550" t="s">
        <v>3117</v>
      </c>
      <c r="B42" s="3952" t="s">
        <v>4022</v>
      </c>
      <c r="C42" s="3953">
        <v>9253.2199999999993</v>
      </c>
      <c r="D42" s="3953">
        <f>5466.92-4.47</f>
        <v>5462.45</v>
      </c>
      <c r="E42" s="3542"/>
      <c r="F42" s="3542"/>
      <c r="G42" s="3541">
        <f t="shared" si="0"/>
        <v>14715.669999999998</v>
      </c>
    </row>
    <row r="43" spans="1:10" ht="14.25">
      <c r="A43" s="3946" t="s">
        <v>3920</v>
      </c>
      <c r="B43" s="3946"/>
      <c r="C43" s="3542">
        <f>C41+C42+C33</f>
        <v>28288</v>
      </c>
      <c r="D43" s="3542">
        <f t="shared" ref="D43:F43" si="1">D41+D42+D33</f>
        <v>23728.07</v>
      </c>
      <c r="E43" s="3542">
        <f t="shared" si="1"/>
        <v>7426.54</v>
      </c>
      <c r="F43" s="3542">
        <f t="shared" si="1"/>
        <v>2214.5700000000002</v>
      </c>
      <c r="G43" s="3541">
        <f t="shared" si="0"/>
        <v>61657.18</v>
      </c>
      <c r="H43" s="3548"/>
      <c r="J43" s="3548"/>
    </row>
    <row r="45" spans="1:10">
      <c r="I45" s="3548"/>
    </row>
    <row r="48" spans="1:10" ht="28.5">
      <c r="A48" s="3367" t="s">
        <v>3060</v>
      </c>
      <c r="B48" s="3943" t="s">
        <v>3061</v>
      </c>
      <c r="C48" s="3943"/>
      <c r="D48" s="3555" t="s">
        <v>3062</v>
      </c>
      <c r="E48" s="3369" t="s">
        <v>3063</v>
      </c>
      <c r="F48" s="3369" t="s">
        <v>3114</v>
      </c>
    </row>
    <row r="49" spans="1:6" ht="15.75">
      <c r="A49" s="3939" t="s">
        <v>3066</v>
      </c>
      <c r="B49" s="3939" t="s">
        <v>3067</v>
      </c>
      <c r="C49" s="3939"/>
      <c r="D49" s="3370">
        <v>268</v>
      </c>
      <c r="E49" s="3371">
        <v>33400.43</v>
      </c>
      <c r="F49" s="3371">
        <f>[1]一期商业!$H$271</f>
        <v>7967.7399999999925</v>
      </c>
    </row>
    <row r="50" spans="1:6" ht="15.75">
      <c r="A50" s="3939"/>
      <c r="B50" s="3939" t="s">
        <v>3069</v>
      </c>
      <c r="C50" s="3373" t="s">
        <v>3070</v>
      </c>
      <c r="D50" s="3370">
        <v>245</v>
      </c>
      <c r="E50" s="3371">
        <v>7351.17</v>
      </c>
      <c r="F50" s="3940">
        <f>[1]一期车位!$I$528</f>
        <v>3752.780000000002</v>
      </c>
    </row>
    <row r="51" spans="1:6" ht="15.75">
      <c r="A51" s="3939"/>
      <c r="B51" s="3939"/>
      <c r="C51" s="3373" t="s">
        <v>3073</v>
      </c>
      <c r="D51" s="3370">
        <v>140</v>
      </c>
      <c r="E51" s="3371">
        <v>8380.6200000000008</v>
      </c>
      <c r="F51" s="3941"/>
    </row>
    <row r="52" spans="1:6" ht="15.75">
      <c r="A52" s="3935" t="s">
        <v>3074</v>
      </c>
      <c r="B52" s="3935"/>
      <c r="C52" s="3935"/>
      <c r="D52" s="3375">
        <f>SUM(D49:D51)</f>
        <v>653</v>
      </c>
      <c r="E52" s="3375">
        <f>SUM(E49:E51)</f>
        <v>49132.22</v>
      </c>
      <c r="F52" s="3375">
        <f>SUM(F49:F51)</f>
        <v>11720.519999999995</v>
      </c>
    </row>
    <row r="53" spans="1:6" ht="15.75">
      <c r="A53" s="3939" t="s">
        <v>3075</v>
      </c>
      <c r="B53" s="3939" t="s">
        <v>3067</v>
      </c>
      <c r="C53" s="3939"/>
      <c r="D53" s="3370">
        <v>135</v>
      </c>
      <c r="E53" s="3371">
        <v>13541.08</v>
      </c>
      <c r="F53" s="3371">
        <f>[1]二期商业!$H$138</f>
        <v>2691.5700000000015</v>
      </c>
    </row>
    <row r="54" spans="1:6" ht="15.75">
      <c r="A54" s="3939"/>
      <c r="B54" s="3939" t="s">
        <v>3077</v>
      </c>
      <c r="C54" s="3939"/>
      <c r="D54" s="3370">
        <v>150</v>
      </c>
      <c r="E54" s="3371">
        <v>16940.830000000002</v>
      </c>
      <c r="F54" s="3371">
        <f>[1]二期写字楼!$H$161</f>
        <v>3367.3800000000065</v>
      </c>
    </row>
    <row r="55" spans="1:6" ht="15.75">
      <c r="A55" s="3939"/>
      <c r="B55" s="3939" t="s">
        <v>3079</v>
      </c>
      <c r="C55" s="3373" t="s">
        <v>3080</v>
      </c>
      <c r="D55" s="3370">
        <v>686</v>
      </c>
      <c r="E55" s="3371">
        <v>23568.13</v>
      </c>
      <c r="F55" s="3940">
        <f>[1]二期车位!$J$783</f>
        <v>5320.9999999999736</v>
      </c>
    </row>
    <row r="56" spans="1:6" ht="15.75">
      <c r="A56" s="3939"/>
      <c r="B56" s="3939"/>
      <c r="C56" s="3373" t="s">
        <v>3081</v>
      </c>
      <c r="D56" s="3370">
        <v>47</v>
      </c>
      <c r="E56" s="3371">
        <v>3204.76</v>
      </c>
      <c r="F56" s="3941"/>
    </row>
    <row r="57" spans="1:6" ht="15.75">
      <c r="A57" s="3935" t="s">
        <v>3082</v>
      </c>
      <c r="B57" s="3935"/>
      <c r="C57" s="3935"/>
      <c r="D57" s="3375">
        <f>SUM(D53:D56)</f>
        <v>1018</v>
      </c>
      <c r="E57" s="3375">
        <f>SUM(E53:E56)</f>
        <v>57254.80000000001</v>
      </c>
      <c r="F57" s="3375">
        <f>SUM(F53:F56)</f>
        <v>11379.949999999983</v>
      </c>
    </row>
    <row r="58" spans="1:6" ht="15.75">
      <c r="A58" s="3939" t="s">
        <v>3083</v>
      </c>
      <c r="B58" s="3939" t="s">
        <v>3084</v>
      </c>
      <c r="C58" s="3939"/>
      <c r="D58" s="3370">
        <v>138</v>
      </c>
      <c r="E58" s="3371">
        <v>14715.67</v>
      </c>
      <c r="F58" s="3371">
        <f>[1]三期商业!$H$141</f>
        <v>2583.31</v>
      </c>
    </row>
    <row r="59" spans="1:6" ht="15.75">
      <c r="A59" s="3939"/>
      <c r="B59" s="3939" t="s">
        <v>3079</v>
      </c>
      <c r="C59" s="3373" t="s">
        <v>3080</v>
      </c>
      <c r="D59" s="3370">
        <v>1406</v>
      </c>
      <c r="E59" s="3371">
        <v>42864.54</v>
      </c>
      <c r="F59" s="3940">
        <f>[1]三期车位!$J$1461</f>
        <v>7794.91</v>
      </c>
    </row>
    <row r="60" spans="1:6" ht="15.75">
      <c r="A60" s="3939"/>
      <c r="B60" s="3939"/>
      <c r="C60" s="3373" t="s">
        <v>3081</v>
      </c>
      <c r="D60" s="3370">
        <v>26</v>
      </c>
      <c r="E60" s="3371">
        <v>1531.22</v>
      </c>
      <c r="F60" s="3941"/>
    </row>
    <row r="61" spans="1:6" ht="15.75">
      <c r="A61" s="3935" t="s">
        <v>3082</v>
      </c>
      <c r="B61" s="3935"/>
      <c r="C61" s="3935"/>
      <c r="D61" s="3375">
        <f>SUM(D58:D60)</f>
        <v>1570</v>
      </c>
      <c r="E61" s="3375">
        <f>SUM(E58:E60)</f>
        <v>59111.43</v>
      </c>
      <c r="F61" s="3375">
        <f>SUM(F58:F60)</f>
        <v>10378.219999999999</v>
      </c>
    </row>
    <row r="62" spans="1:6" ht="15.75">
      <c r="A62" s="3936" t="s">
        <v>3085</v>
      </c>
      <c r="B62" s="3937"/>
      <c r="C62" s="3938"/>
      <c r="D62" s="3377">
        <f>D52+D57+D61</f>
        <v>3241</v>
      </c>
      <c r="E62" s="3377">
        <f>E52+E57+E61</f>
        <v>165498.45000000001</v>
      </c>
      <c r="F62" s="3377">
        <f>F52+F57+F61</f>
        <v>33478.689999999981</v>
      </c>
    </row>
    <row r="65" spans="1:5" ht="28.5">
      <c r="A65" s="3555" t="s">
        <v>3060</v>
      </c>
      <c r="B65" s="3555" t="s">
        <v>3061</v>
      </c>
      <c r="C65" s="3555" t="s">
        <v>3062</v>
      </c>
      <c r="D65" s="3369" t="s">
        <v>3063</v>
      </c>
      <c r="E65" s="3369" t="s">
        <v>3114</v>
      </c>
    </row>
    <row r="66" spans="1:5">
      <c r="A66" s="3950" t="s">
        <v>4011</v>
      </c>
      <c r="B66" s="3950" t="s">
        <v>4012</v>
      </c>
      <c r="C66" s="3554">
        <v>268</v>
      </c>
      <c r="D66" s="3554">
        <f>E49</f>
        <v>33400.43</v>
      </c>
      <c r="E66" s="3554">
        <f>F49</f>
        <v>7967.7399999999925</v>
      </c>
    </row>
    <row r="67" spans="1:5">
      <c r="A67" s="3554"/>
      <c r="B67" s="3950" t="s">
        <v>4013</v>
      </c>
      <c r="C67" s="3554">
        <v>385</v>
      </c>
      <c r="D67" s="3554">
        <f>E50+E51</f>
        <v>15731.79</v>
      </c>
      <c r="E67" s="3554">
        <f>F50</f>
        <v>3752.780000000002</v>
      </c>
    </row>
    <row r="68" spans="1:5">
      <c r="A68" s="3950" t="s">
        <v>4014</v>
      </c>
      <c r="B68" s="3951" t="s">
        <v>4015</v>
      </c>
      <c r="C68" s="3554">
        <v>135</v>
      </c>
      <c r="D68" s="3554">
        <f>E53</f>
        <v>13541.08</v>
      </c>
      <c r="E68" s="3554">
        <f>F53</f>
        <v>2691.5700000000015</v>
      </c>
    </row>
    <row r="69" spans="1:5">
      <c r="A69" s="3554"/>
      <c r="B69" s="3951" t="s">
        <v>4016</v>
      </c>
      <c r="C69" s="3554">
        <v>150</v>
      </c>
      <c r="D69" s="3554">
        <f>E54</f>
        <v>16940.830000000002</v>
      </c>
      <c r="E69" s="3554">
        <f>F54</f>
        <v>3367.3800000000065</v>
      </c>
    </row>
    <row r="70" spans="1:5">
      <c r="A70" s="3554"/>
      <c r="B70" s="3951" t="s">
        <v>4013</v>
      </c>
      <c r="C70" s="3554">
        <v>733</v>
      </c>
      <c r="D70" s="3554">
        <f>E55+E56</f>
        <v>26772.89</v>
      </c>
      <c r="E70" s="3554">
        <f>F55</f>
        <v>5320.9999999999736</v>
      </c>
    </row>
    <row r="71" spans="1:5">
      <c r="A71" s="3950" t="s">
        <v>4017</v>
      </c>
      <c r="B71" s="3951" t="s">
        <v>4015</v>
      </c>
      <c r="C71" s="3554">
        <v>138</v>
      </c>
      <c r="D71" s="3554">
        <f>E58</f>
        <v>14715.67</v>
      </c>
      <c r="E71" s="3554">
        <f>F58</f>
        <v>2583.31</v>
      </c>
    </row>
    <row r="72" spans="1:5">
      <c r="A72" s="3554"/>
      <c r="B72" s="3951" t="s">
        <v>4013</v>
      </c>
      <c r="C72" s="3554">
        <v>1432</v>
      </c>
      <c r="D72" s="3554">
        <f>E59+E60</f>
        <v>44395.76</v>
      </c>
      <c r="E72" s="3554">
        <f>F59</f>
        <v>7794.91</v>
      </c>
    </row>
    <row r="73" spans="1:5">
      <c r="A73" s="3950" t="s">
        <v>4018</v>
      </c>
      <c r="B73" s="3951" t="s">
        <v>4019</v>
      </c>
      <c r="C73" s="3950" t="s">
        <v>4019</v>
      </c>
      <c r="D73" s="3554">
        <f>SUM(D66:D72)</f>
        <v>165498.45000000001</v>
      </c>
      <c r="E73" s="3554">
        <f>SUM(E66:E72)</f>
        <v>33478.689999999973</v>
      </c>
    </row>
  </sheetData>
  <mergeCells count="41">
    <mergeCell ref="A61:C61"/>
    <mergeCell ref="A62:C62"/>
    <mergeCell ref="A57:C57"/>
    <mergeCell ref="A58:A60"/>
    <mergeCell ref="B58:C58"/>
    <mergeCell ref="B59:B60"/>
    <mergeCell ref="F59:F60"/>
    <mergeCell ref="A53:A56"/>
    <mergeCell ref="B53:C53"/>
    <mergeCell ref="B54:C54"/>
    <mergeCell ref="B55:B56"/>
    <mergeCell ref="F55:F56"/>
    <mergeCell ref="A49:A51"/>
    <mergeCell ref="B49:C49"/>
    <mergeCell ref="B50:B51"/>
    <mergeCell ref="F50:F51"/>
    <mergeCell ref="A52:C52"/>
    <mergeCell ref="A21:G21"/>
    <mergeCell ref="A43:B43"/>
    <mergeCell ref="A22:A33"/>
    <mergeCell ref="A34:A41"/>
    <mergeCell ref="B48:C48"/>
    <mergeCell ref="G9:G10"/>
    <mergeCell ref="G13:G14"/>
    <mergeCell ref="A6:C6"/>
    <mergeCell ref="G4:G5"/>
    <mergeCell ref="A1:G1"/>
    <mergeCell ref="B2:C2"/>
    <mergeCell ref="A3:A5"/>
    <mergeCell ref="B3:C3"/>
    <mergeCell ref="B4:B5"/>
    <mergeCell ref="A15:C15"/>
    <mergeCell ref="A16:C16"/>
    <mergeCell ref="A7:A10"/>
    <mergeCell ref="B7:C7"/>
    <mergeCell ref="B8:C8"/>
    <mergeCell ref="B9:B10"/>
    <mergeCell ref="A11:C11"/>
    <mergeCell ref="A12:A14"/>
    <mergeCell ref="B12:C12"/>
    <mergeCell ref="B13:B14"/>
  </mergeCells>
  <phoneticPr fontId="205" type="noConversion"/>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dimension ref="A1:BF252"/>
  <sheetViews>
    <sheetView topLeftCell="AE1" workbookViewId="0">
      <selection activeCell="AO3" sqref="AO3"/>
    </sheetView>
  </sheetViews>
  <sheetFormatPr defaultRowHeight="13.5"/>
  <cols>
    <col min="1" max="1" width="0" style="268" hidden="1" customWidth="1"/>
    <col min="2" max="2" width="12.25" style="268" customWidth="1"/>
    <col min="3" max="7" width="0" style="268" hidden="1" customWidth="1"/>
    <col min="8" max="9" width="9" style="268"/>
    <col min="10" max="10" width="12.5" style="268" customWidth="1"/>
    <col min="11" max="11" width="12.625" style="268" customWidth="1"/>
    <col min="12" max="12" width="13.875" style="3410" customWidth="1"/>
    <col min="13" max="13" width="9" style="268"/>
    <col min="14" max="18" width="0" style="268" hidden="1" customWidth="1"/>
    <col min="19" max="19" width="9" style="268"/>
    <col min="20" max="20" width="13.375" style="268" customWidth="1"/>
    <col min="21" max="21" width="8" style="268" customWidth="1"/>
    <col min="22" max="23" width="0" style="268" hidden="1" customWidth="1"/>
    <col min="24" max="24" width="11.125" style="268" customWidth="1"/>
    <col min="25" max="25" width="7.875" style="268" customWidth="1"/>
    <col min="26" max="26" width="9" style="268"/>
    <col min="27" max="27" width="15.25" style="3412" customWidth="1"/>
    <col min="28" max="28" width="7.375" style="3412" customWidth="1"/>
    <col min="29" max="29" width="13.625" style="3412" bestFit="1" customWidth="1"/>
    <col min="30" max="30" width="7.375" style="3412" customWidth="1"/>
    <col min="31" max="31" width="13.625" style="3412" bestFit="1" customWidth="1"/>
    <col min="32" max="32" width="9" style="3412"/>
    <col min="33" max="33" width="10.125" style="3412" bestFit="1" customWidth="1"/>
    <col min="34" max="34" width="7.75" style="3412" customWidth="1"/>
    <col min="35" max="35" width="13.625" style="3412" bestFit="1" customWidth="1"/>
    <col min="36" max="36" width="6.875" style="3412" customWidth="1"/>
    <col min="37" max="37" width="11.875" style="3412" customWidth="1"/>
    <col min="38" max="38" width="11.25" style="3412" bestFit="1" customWidth="1"/>
    <col min="39" max="39" width="13.625" style="3412" bestFit="1" customWidth="1"/>
    <col min="40" max="40" width="9" style="3412"/>
    <col min="41" max="41" width="13.625" style="3412" bestFit="1" customWidth="1"/>
    <col min="42" max="58" width="9" style="3412"/>
    <col min="59" max="16384" width="9" style="268"/>
  </cols>
  <sheetData>
    <row r="1" spans="1:58" s="3399" customFormat="1" ht="28.5">
      <c r="B1" s="3400">
        <v>42970</v>
      </c>
      <c r="L1" s="3401"/>
      <c r="X1" s="3402" t="s">
        <v>3124</v>
      </c>
      <c r="Y1" s="3402">
        <v>0.05</v>
      </c>
      <c r="Z1" s="3402">
        <v>0.06</v>
      </c>
      <c r="AA1" s="3403">
        <v>131</v>
      </c>
      <c r="AB1" s="3403"/>
      <c r="AC1" s="3404">
        <v>365</v>
      </c>
      <c r="AD1" s="3404"/>
      <c r="AE1" s="3404">
        <v>365</v>
      </c>
      <c r="AF1" s="3405">
        <v>2.5000000000000001E-2</v>
      </c>
      <c r="AG1" s="3404">
        <v>365</v>
      </c>
      <c r="AH1" s="3405">
        <v>2.5000000000000001E-2</v>
      </c>
      <c r="AI1" s="3404">
        <v>365</v>
      </c>
      <c r="AJ1" s="3404"/>
      <c r="AK1" s="3404">
        <v>365</v>
      </c>
      <c r="AL1" s="3404"/>
      <c r="AM1" s="3404">
        <v>365</v>
      </c>
      <c r="AN1" s="3404" t="s">
        <v>3125</v>
      </c>
      <c r="AO1" s="3404">
        <f>AA1+AC1+AE1+AG1+AI1+AK1+AM1</f>
        <v>2321</v>
      </c>
      <c r="AP1" s="3404"/>
      <c r="AQ1" s="3404"/>
      <c r="AR1" s="3404"/>
      <c r="AS1" s="3404"/>
      <c r="AT1" s="3404"/>
      <c r="AU1" s="3404"/>
      <c r="AV1" s="3404"/>
      <c r="AW1" s="3404"/>
      <c r="AX1" s="3404"/>
      <c r="AY1" s="3404"/>
      <c r="AZ1" s="3404"/>
      <c r="BA1" s="3404"/>
      <c r="BB1" s="3404"/>
      <c r="BC1" s="3404"/>
      <c r="BD1" s="3404"/>
      <c r="BE1" s="3404"/>
      <c r="BF1" s="3404"/>
    </row>
    <row r="2" spans="1:58" s="3399" customFormat="1" ht="42.75">
      <c r="I2" s="3399" t="s">
        <v>3126</v>
      </c>
      <c r="J2" s="3399" t="s">
        <v>3127</v>
      </c>
      <c r="K2" s="3399" t="s">
        <v>3128</v>
      </c>
      <c r="L2" s="3401" t="s">
        <v>3129</v>
      </c>
      <c r="M2" s="3399" t="s">
        <v>3130</v>
      </c>
      <c r="R2" s="3399" t="s">
        <v>3131</v>
      </c>
      <c r="S2" s="3399" t="s">
        <v>3132</v>
      </c>
      <c r="T2" s="3399" t="s">
        <v>3089</v>
      </c>
      <c r="U2" s="3399" t="s">
        <v>3133</v>
      </c>
      <c r="X2" s="3406" t="s">
        <v>3134</v>
      </c>
      <c r="Y2" s="3406" t="s">
        <v>3135</v>
      </c>
      <c r="Z2" s="3406" t="s">
        <v>3136</v>
      </c>
      <c r="AA2" s="3403" t="s">
        <v>3137</v>
      </c>
      <c r="AB2" s="3403"/>
      <c r="AC2" s="3404"/>
      <c r="AD2" s="3404"/>
      <c r="AE2" s="3404"/>
      <c r="AF2" s="3404"/>
      <c r="AG2" s="3404"/>
      <c r="AH2" s="3404"/>
      <c r="AI2" s="3404"/>
      <c r="AJ2" s="3404"/>
      <c r="AK2" s="3404"/>
      <c r="AL2" s="3404"/>
      <c r="AM2" s="3404"/>
      <c r="AN2" s="3404" t="s">
        <v>3138</v>
      </c>
      <c r="AO2" s="3407">
        <f>T4</f>
        <v>39946.129999999997</v>
      </c>
      <c r="AP2" s="3404"/>
      <c r="AQ2" s="3404"/>
      <c r="AR2" s="3404"/>
      <c r="AS2" s="3404"/>
      <c r="AT2" s="3404"/>
      <c r="AU2" s="3404"/>
      <c r="AV2" s="3404"/>
      <c r="AW2" s="3404"/>
      <c r="AX2" s="3404"/>
      <c r="AY2" s="3404"/>
      <c r="AZ2" s="3404"/>
      <c r="BA2" s="3404"/>
      <c r="BB2" s="3404"/>
      <c r="BC2" s="3404"/>
      <c r="BD2" s="3404"/>
      <c r="BE2" s="3404"/>
      <c r="BF2" s="3404"/>
    </row>
    <row r="3" spans="1:58" s="3399" customFormat="1" ht="14.25">
      <c r="L3" s="3401"/>
      <c r="T3" s="3399">
        <f>AA4/T4/AA1</f>
        <v>0.98850767347260804</v>
      </c>
      <c r="X3" s="3406"/>
      <c r="Y3" s="3406"/>
      <c r="Z3" s="3406"/>
      <c r="AA3" s="3947">
        <f>SUM(AA4:AM4)</f>
        <v>177667912.72000006</v>
      </c>
      <c r="AB3" s="3948"/>
      <c r="AC3" s="3948"/>
      <c r="AD3" s="3948"/>
      <c r="AE3" s="3948"/>
      <c r="AF3" s="3948"/>
      <c r="AG3" s="3948"/>
      <c r="AH3" s="3948"/>
      <c r="AI3" s="3948"/>
      <c r="AJ3" s="3948"/>
      <c r="AK3" s="3948"/>
      <c r="AL3" s="3948"/>
      <c r="AM3" s="3948"/>
      <c r="AN3" s="3404"/>
      <c r="AO3" s="3408">
        <f>AA3/AO1/T4</f>
        <v>1.9162808020102633</v>
      </c>
      <c r="AP3" s="3404"/>
      <c r="AQ3" s="3404"/>
      <c r="AR3" s="3404"/>
      <c r="AS3" s="3404"/>
      <c r="AT3" s="3404"/>
      <c r="AU3" s="3404"/>
      <c r="AV3" s="3404"/>
      <c r="AW3" s="3404"/>
      <c r="AX3" s="3404"/>
      <c r="AY3" s="3404"/>
      <c r="AZ3" s="3404"/>
      <c r="BA3" s="3404"/>
      <c r="BB3" s="3404"/>
      <c r="BC3" s="3404"/>
      <c r="BD3" s="3404"/>
      <c r="BE3" s="3404"/>
      <c r="BF3" s="3404"/>
    </row>
    <row r="4" spans="1:58" s="3399" customFormat="1" ht="14.25">
      <c r="L4" s="3401"/>
      <c r="T4" s="3409">
        <f>SUM(T6:T244)</f>
        <v>39946.129999999997</v>
      </c>
      <c r="U4" s="3409"/>
      <c r="V4" s="3409"/>
      <c r="W4" s="3409"/>
      <c r="X4" s="3409"/>
      <c r="Y4" s="3409"/>
      <c r="Z4" s="3409"/>
      <c r="AA4" s="3409">
        <f>SUM(AA6:AA244)</f>
        <v>5172804.34</v>
      </c>
      <c r="AB4" s="3403"/>
      <c r="AC4" s="3404">
        <f>SUM(AC6:AC244)</f>
        <v>15268438.930000007</v>
      </c>
      <c r="AD4" s="3404"/>
      <c r="AE4" s="3404">
        <f>SUM(AE6:AE244)</f>
        <v>18549429.459999975</v>
      </c>
      <c r="AF4" s="3404"/>
      <c r="AG4" s="3404">
        <f>SUM(AG6:AG244)</f>
        <v>25811214.000000026</v>
      </c>
      <c r="AH4" s="3404"/>
      <c r="AI4" s="3404">
        <f>SUM(AI6:AI244)</f>
        <v>36685767.25</v>
      </c>
      <c r="AJ4" s="3404"/>
      <c r="AK4" s="3404">
        <f>SUM(AK6:AK244)</f>
        <v>37605548.450000048</v>
      </c>
      <c r="AL4" s="3404"/>
      <c r="AM4" s="3404">
        <f>SUM(AM6:AM244)</f>
        <v>38574710.289999999</v>
      </c>
      <c r="AN4" s="3404"/>
      <c r="AO4" s="3408" t="s">
        <v>3139</v>
      </c>
      <c r="AP4" s="3404"/>
      <c r="AQ4" s="3404"/>
      <c r="AR4" s="3404"/>
      <c r="AS4" s="3404"/>
      <c r="AT4" s="3404"/>
      <c r="AU4" s="3404"/>
      <c r="AV4" s="3404"/>
      <c r="AW4" s="3404"/>
      <c r="AX4" s="3404"/>
      <c r="AY4" s="3404"/>
      <c r="AZ4" s="3404"/>
      <c r="BA4" s="3404"/>
      <c r="BB4" s="3404"/>
      <c r="BC4" s="3404"/>
      <c r="BD4" s="3404"/>
      <c r="BE4" s="3404"/>
      <c r="BF4" s="3404"/>
    </row>
    <row r="5" spans="1:58" ht="42.75">
      <c r="T5" s="3411">
        <f>SUM(T6:T244)</f>
        <v>39946.129999999997</v>
      </c>
      <c r="AA5" s="3403" t="s">
        <v>3140</v>
      </c>
      <c r="AB5" s="3403"/>
      <c r="AC5" s="3404" t="s">
        <v>3141</v>
      </c>
      <c r="AE5" s="3404" t="s">
        <v>3142</v>
      </c>
      <c r="AG5" s="3404" t="s">
        <v>3143</v>
      </c>
      <c r="AI5" s="3412" t="s">
        <v>3144</v>
      </c>
      <c r="AK5" s="3412" t="s">
        <v>3145</v>
      </c>
      <c r="AM5" s="3412" t="s">
        <v>3146</v>
      </c>
    </row>
    <row r="6" spans="1:58" s="3399" customFormat="1" ht="57">
      <c r="A6" s="3413" t="s">
        <v>3147</v>
      </c>
      <c r="B6" s="3413" t="s">
        <v>3148</v>
      </c>
      <c r="C6" s="3413"/>
      <c r="D6" s="3414" t="s">
        <v>3149</v>
      </c>
      <c r="E6" s="3413" t="s">
        <v>3150</v>
      </c>
      <c r="F6" s="3414" t="s">
        <v>3151</v>
      </c>
      <c r="G6" s="3413" t="s">
        <v>3152</v>
      </c>
      <c r="H6" s="3413" t="s">
        <v>3153</v>
      </c>
      <c r="I6" s="3415">
        <v>0.05</v>
      </c>
      <c r="J6" s="3416">
        <v>42063</v>
      </c>
      <c r="K6" s="3416">
        <v>42064</v>
      </c>
      <c r="L6" s="3417">
        <v>44985</v>
      </c>
      <c r="M6" s="3418">
        <v>0</v>
      </c>
      <c r="N6" s="3413" t="s">
        <v>3154</v>
      </c>
      <c r="O6" s="3413" t="s">
        <v>3155</v>
      </c>
      <c r="P6" s="3413" t="s">
        <v>3156</v>
      </c>
      <c r="Q6" s="3413" t="s">
        <v>3157</v>
      </c>
      <c r="R6" s="3419">
        <v>1</v>
      </c>
      <c r="S6" s="3419">
        <v>80.91</v>
      </c>
      <c r="T6" s="3420">
        <v>80.91</v>
      </c>
      <c r="U6" s="3420">
        <v>80.86</v>
      </c>
      <c r="V6" s="3414" t="s">
        <v>3158</v>
      </c>
      <c r="W6" s="3421" t="s">
        <v>3159</v>
      </c>
      <c r="X6" s="3422">
        <f t="shared" ref="X6:X69" si="0">ROUND(T6*U6,0)</f>
        <v>6542</v>
      </c>
      <c r="Y6" s="3422">
        <f t="shared" ref="Y6:Y69" si="1">X6/T6/30</f>
        <v>2.6951757096362217</v>
      </c>
      <c r="Z6" s="3422">
        <f>Y6*(1+Y1)</f>
        <v>2.829934495118033</v>
      </c>
      <c r="AA6" s="3423">
        <f t="shared" ref="AA6:AA69" si="2">ROUND(Z6*T6*$AA$1,2)</f>
        <v>29995.07</v>
      </c>
      <c r="AB6" s="3424">
        <f>Z6*(1+Y1)</f>
        <v>2.9714312198739345</v>
      </c>
      <c r="AC6" s="3404">
        <f t="shared" ref="AC6:AC69" si="3">ROUND(AB6*T6*$AC$1,2)</f>
        <v>87752.75</v>
      </c>
      <c r="AD6" s="3407">
        <f>AB6*(1+Y1)</f>
        <v>3.1200027808676314</v>
      </c>
      <c r="AE6" s="3404">
        <f t="shared" ref="AE6:AE69" si="4">ROUND(AD6*T6*$AE$1,2)</f>
        <v>92140.39</v>
      </c>
      <c r="AF6" s="3407">
        <f>AD6*(1+Y1)</f>
        <v>3.2760029199110132</v>
      </c>
      <c r="AG6" s="3404">
        <f t="shared" ref="AG6:AG69" si="5">ROUND(AF6*T6*$AG$1,2)</f>
        <v>96747.41</v>
      </c>
      <c r="AH6" s="3407">
        <f>AF6*(1+Y1)</f>
        <v>3.4398030659065642</v>
      </c>
      <c r="AI6" s="3399">
        <f>ROUND(AH6*T6*$AI$1,2)</f>
        <v>101584.78</v>
      </c>
      <c r="AJ6" s="3407">
        <f>AH6*(1+Y1)</f>
        <v>3.6117932192018927</v>
      </c>
      <c r="AK6" s="3404">
        <f>ROUND(AJ6*T6*$AK$1,2)</f>
        <v>106664.02</v>
      </c>
      <c r="AL6" s="3407">
        <f>AJ6*(1+Y1)</f>
        <v>3.7923828801619877</v>
      </c>
      <c r="AM6" s="3404">
        <f>ROUND(AL6*T6*$AK$1,2)</f>
        <v>111997.22</v>
      </c>
      <c r="AN6" s="3404"/>
      <c r="AO6" s="3404"/>
      <c r="AP6" s="3404"/>
      <c r="AQ6" s="3404"/>
      <c r="AR6" s="3404"/>
      <c r="AS6" s="3404"/>
      <c r="AT6" s="3404"/>
      <c r="AU6" s="3404"/>
      <c r="AV6" s="3404"/>
      <c r="AW6" s="3404"/>
      <c r="AX6" s="3404"/>
      <c r="AY6" s="3404"/>
      <c r="AZ6" s="3404"/>
      <c r="BA6" s="3404"/>
      <c r="BB6" s="3404"/>
      <c r="BC6" s="3404"/>
      <c r="BD6" s="3404"/>
      <c r="BE6" s="3404"/>
      <c r="BF6" s="3404"/>
    </row>
    <row r="7" spans="1:58" s="3399" customFormat="1" ht="57">
      <c r="A7" s="3425" t="s">
        <v>3160</v>
      </c>
      <c r="B7" s="3413" t="s">
        <v>3161</v>
      </c>
      <c r="C7" s="3425" t="s">
        <v>3162</v>
      </c>
      <c r="D7" s="3413" t="s">
        <v>3161</v>
      </c>
      <c r="E7" s="3414" t="s">
        <v>139</v>
      </c>
      <c r="F7" s="3425" t="s">
        <v>3151</v>
      </c>
      <c r="G7" s="3426" t="s">
        <v>3152</v>
      </c>
      <c r="H7" s="3425" t="s">
        <v>3163</v>
      </c>
      <c r="I7" s="3427">
        <v>0.06</v>
      </c>
      <c r="J7" s="3428">
        <v>42513</v>
      </c>
      <c r="K7" s="3428">
        <v>42522</v>
      </c>
      <c r="L7" s="3429">
        <v>43616</v>
      </c>
      <c r="M7" s="3430">
        <v>2</v>
      </c>
      <c r="N7" s="3414" t="s">
        <v>3154</v>
      </c>
      <c r="O7" s="3425" t="s">
        <v>3164</v>
      </c>
      <c r="P7" s="3425" t="s">
        <v>3164</v>
      </c>
      <c r="Q7" s="3425" t="s">
        <v>3165</v>
      </c>
      <c r="R7" s="3431">
        <v>1</v>
      </c>
      <c r="S7" s="3431">
        <v>48.21</v>
      </c>
      <c r="T7" s="3431">
        <v>48.21</v>
      </c>
      <c r="U7" s="3431">
        <v>36</v>
      </c>
      <c r="V7" s="3425" t="s">
        <v>3158</v>
      </c>
      <c r="W7" s="3432" t="s">
        <v>3159</v>
      </c>
      <c r="X7" s="3422">
        <f t="shared" si="0"/>
        <v>1736</v>
      </c>
      <c r="Y7" s="3422">
        <f t="shared" si="1"/>
        <v>1.2003042245730484</v>
      </c>
      <c r="Z7" s="3433">
        <f>Y7*(1+$Z$1)</f>
        <v>1.2723224780474314</v>
      </c>
      <c r="AA7" s="3423">
        <f t="shared" si="2"/>
        <v>8035.37</v>
      </c>
      <c r="AB7" s="3407">
        <f t="shared" ref="AB7:AB13" si="6">Z7*(1+$Z$1)</f>
        <v>1.3486618267302772</v>
      </c>
      <c r="AC7" s="3404">
        <f t="shared" si="3"/>
        <v>23731.93</v>
      </c>
      <c r="AD7" s="3407">
        <f>AB7*(1+$Z$1)</f>
        <v>1.429581536334094</v>
      </c>
      <c r="AE7" s="3404">
        <f t="shared" si="4"/>
        <v>25155.85</v>
      </c>
      <c r="AF7" s="3407">
        <v>4</v>
      </c>
      <c r="AG7" s="3404">
        <f t="shared" si="5"/>
        <v>70386.600000000006</v>
      </c>
      <c r="AH7" s="3404">
        <f>AF7*(1+AH1)</f>
        <v>4.0999999999999996</v>
      </c>
      <c r="AI7" s="3399">
        <f t="shared" ref="AI7:AI70" si="7">ROUND(AH7*T7*$AI$1,2)</f>
        <v>72146.27</v>
      </c>
      <c r="AJ7" s="3404">
        <f>AH7*(1+AH1)</f>
        <v>4.2024999999999997</v>
      </c>
      <c r="AK7" s="3404">
        <f t="shared" ref="AK7:AK70" si="8">ROUND(AJ7*T7*$AK$1,2)</f>
        <v>73949.919999999998</v>
      </c>
      <c r="AL7" s="3404">
        <f>AJ7*(1+AH1)</f>
        <v>4.3075624999999995</v>
      </c>
      <c r="AM7" s="3404">
        <f t="shared" ref="AM7:AM70" si="9">ROUND(AL7*T7*$AK$1,2)</f>
        <v>75798.67</v>
      </c>
      <c r="AN7" s="3404"/>
      <c r="AO7" s="3404"/>
      <c r="AP7" s="3404"/>
      <c r="AQ7" s="3404"/>
      <c r="AR7" s="3404"/>
      <c r="AS7" s="3404"/>
      <c r="AT7" s="3404"/>
      <c r="AU7" s="3404"/>
      <c r="AV7" s="3404"/>
      <c r="AW7" s="3404"/>
      <c r="AX7" s="3404"/>
      <c r="AY7" s="3404"/>
      <c r="AZ7" s="3404"/>
      <c r="BA7" s="3404"/>
      <c r="BB7" s="3404"/>
      <c r="BC7" s="3404"/>
      <c r="BD7" s="3404"/>
      <c r="BE7" s="3404"/>
      <c r="BF7" s="3404"/>
    </row>
    <row r="8" spans="1:58" s="3399" customFormat="1" ht="57">
      <c r="A8" s="3425" t="s">
        <v>3166</v>
      </c>
      <c r="B8" s="3413" t="s">
        <v>3167</v>
      </c>
      <c r="C8" s="3414" t="s">
        <v>3168</v>
      </c>
      <c r="D8" s="3413" t="s">
        <v>3167</v>
      </c>
      <c r="E8" s="3414" t="s">
        <v>139</v>
      </c>
      <c r="F8" s="3425" t="s">
        <v>3151</v>
      </c>
      <c r="G8" s="3426" t="s">
        <v>3152</v>
      </c>
      <c r="H8" s="3425" t="s">
        <v>3169</v>
      </c>
      <c r="I8" s="3427">
        <v>0.06</v>
      </c>
      <c r="J8" s="3428">
        <v>42825</v>
      </c>
      <c r="K8" s="3428">
        <v>42826</v>
      </c>
      <c r="L8" s="3429">
        <v>43921</v>
      </c>
      <c r="M8" s="3430">
        <v>2</v>
      </c>
      <c r="N8" s="3414" t="s">
        <v>3170</v>
      </c>
      <c r="O8" s="3425" t="s">
        <v>3164</v>
      </c>
      <c r="P8" s="3425" t="s">
        <v>3164</v>
      </c>
      <c r="Q8" s="3414" t="s">
        <v>3171</v>
      </c>
      <c r="R8" s="3431">
        <v>3</v>
      </c>
      <c r="S8" s="3431">
        <v>253.35</v>
      </c>
      <c r="T8" s="3431">
        <v>253.35</v>
      </c>
      <c r="U8" s="3431">
        <v>36</v>
      </c>
      <c r="V8" s="3413" t="s">
        <v>3158</v>
      </c>
      <c r="W8" s="3432" t="s">
        <v>3159</v>
      </c>
      <c r="X8" s="3422">
        <f t="shared" si="0"/>
        <v>9121</v>
      </c>
      <c r="Y8" s="3422">
        <f t="shared" si="1"/>
        <v>1.2000526281165713</v>
      </c>
      <c r="Z8" s="3433">
        <f>Y8*(1+$Z$1)</f>
        <v>1.2720557858035657</v>
      </c>
      <c r="AA8" s="3423">
        <f t="shared" si="2"/>
        <v>42218.07</v>
      </c>
      <c r="AB8" s="3407">
        <f t="shared" si="6"/>
        <v>1.3483791329517798</v>
      </c>
      <c r="AC8" s="3404">
        <f t="shared" si="3"/>
        <v>124688.33</v>
      </c>
      <c r="AD8" s="3407">
        <f>AB8*(1+$Z$1)</f>
        <v>1.4292818809288867</v>
      </c>
      <c r="AE8" s="3404">
        <f t="shared" si="4"/>
        <v>132169.63</v>
      </c>
      <c r="AF8" s="3407">
        <f>AD8*(1+$Z$1)</f>
        <v>1.5150387937846201</v>
      </c>
      <c r="AG8" s="3404">
        <f t="shared" si="5"/>
        <v>140099.79999999999</v>
      </c>
      <c r="AH8" s="3404">
        <v>4</v>
      </c>
      <c r="AI8" s="3399">
        <f t="shared" si="7"/>
        <v>369891</v>
      </c>
      <c r="AJ8" s="3404">
        <f t="shared" ref="AJ8:AJ11" si="10">AH8*(1+AH2)</f>
        <v>4</v>
      </c>
      <c r="AK8" s="3404">
        <f t="shared" si="8"/>
        <v>369891</v>
      </c>
      <c r="AL8" s="3404">
        <f>AJ8*(1+$AH$1)</f>
        <v>4.0999999999999996</v>
      </c>
      <c r="AM8" s="3404">
        <f t="shared" si="9"/>
        <v>379138.28</v>
      </c>
      <c r="AN8" s="3404"/>
      <c r="AO8" s="3404"/>
      <c r="AP8" s="3404"/>
      <c r="AQ8" s="3404"/>
      <c r="AR8" s="3404"/>
      <c r="AS8" s="3404"/>
      <c r="AT8" s="3404"/>
      <c r="AU8" s="3404"/>
      <c r="AV8" s="3404"/>
      <c r="AW8" s="3404"/>
      <c r="AX8" s="3404"/>
      <c r="AY8" s="3404"/>
      <c r="AZ8" s="3404"/>
      <c r="BA8" s="3404"/>
      <c r="BB8" s="3404"/>
      <c r="BC8" s="3404"/>
      <c r="BD8" s="3404"/>
      <c r="BE8" s="3404"/>
      <c r="BF8" s="3404"/>
    </row>
    <row r="9" spans="1:58" s="3399" customFormat="1" ht="57">
      <c r="A9" s="3425" t="s">
        <v>3172</v>
      </c>
      <c r="B9" s="3413" t="s">
        <v>3173</v>
      </c>
      <c r="C9" s="3426" t="s">
        <v>3174</v>
      </c>
      <c r="D9" s="3413"/>
      <c r="E9" s="3414" t="s">
        <v>139</v>
      </c>
      <c r="F9" s="3425" t="s">
        <v>3151</v>
      </c>
      <c r="G9" s="3426" t="s">
        <v>3152</v>
      </c>
      <c r="H9" s="3426" t="s">
        <v>3175</v>
      </c>
      <c r="I9" s="3434">
        <v>0.06</v>
      </c>
      <c r="J9" s="3428">
        <v>42850</v>
      </c>
      <c r="K9" s="3428">
        <v>42856</v>
      </c>
      <c r="L9" s="3429">
        <v>43951</v>
      </c>
      <c r="M9" s="3430">
        <v>2</v>
      </c>
      <c r="N9" s="3414" t="s">
        <v>3170</v>
      </c>
      <c r="O9" s="3425" t="s">
        <v>3164</v>
      </c>
      <c r="P9" s="3425" t="s">
        <v>3164</v>
      </c>
      <c r="Q9" s="3426" t="s">
        <v>3176</v>
      </c>
      <c r="R9" s="3431">
        <v>1</v>
      </c>
      <c r="S9" s="3431">
        <v>131.03</v>
      </c>
      <c r="T9" s="3431">
        <v>131.03</v>
      </c>
      <c r="U9" s="3431">
        <v>36</v>
      </c>
      <c r="V9" s="3425" t="s">
        <v>3158</v>
      </c>
      <c r="W9" s="3432" t="s">
        <v>3159</v>
      </c>
      <c r="X9" s="3435">
        <f t="shared" si="0"/>
        <v>4717</v>
      </c>
      <c r="Y9" s="3422">
        <f t="shared" si="1"/>
        <v>1.199979648426569</v>
      </c>
      <c r="Z9" s="3433">
        <v>1.2</v>
      </c>
      <c r="AA9" s="3423">
        <f t="shared" si="2"/>
        <v>20597.919999999998</v>
      </c>
      <c r="AB9" s="3407">
        <f t="shared" si="6"/>
        <v>1.272</v>
      </c>
      <c r="AC9" s="3404">
        <f t="shared" si="3"/>
        <v>60834.61</v>
      </c>
      <c r="AD9" s="3407">
        <f>AB9*(1+$Z$1)</f>
        <v>1.3483200000000002</v>
      </c>
      <c r="AE9" s="3404">
        <f t="shared" si="4"/>
        <v>64484.68</v>
      </c>
      <c r="AF9" s="3407">
        <f>AD9*(1+$Z$1)</f>
        <v>1.4292192000000004</v>
      </c>
      <c r="AG9" s="3404">
        <f t="shared" si="5"/>
        <v>68353.77</v>
      </c>
      <c r="AH9" s="3404">
        <v>4</v>
      </c>
      <c r="AI9" s="3399">
        <f t="shared" si="7"/>
        <v>191303.8</v>
      </c>
      <c r="AJ9" s="3404">
        <f t="shared" si="10"/>
        <v>4</v>
      </c>
      <c r="AK9" s="3404">
        <f t="shared" si="8"/>
        <v>191303.8</v>
      </c>
      <c r="AL9" s="3404">
        <f t="shared" ref="AL9:AL72" si="11">AJ9*(1+$AH$1)</f>
        <v>4.0999999999999996</v>
      </c>
      <c r="AM9" s="3404">
        <f t="shared" si="9"/>
        <v>196086.39999999999</v>
      </c>
      <c r="AN9" s="3404"/>
      <c r="AO9" s="3404"/>
      <c r="AP9" s="3404"/>
      <c r="AQ9" s="3404"/>
      <c r="AR9" s="3404"/>
      <c r="AS9" s="3404"/>
      <c r="AT9" s="3404"/>
      <c r="AU9" s="3404"/>
      <c r="AV9" s="3404"/>
      <c r="AW9" s="3404"/>
      <c r="AX9" s="3404"/>
      <c r="AY9" s="3404"/>
      <c r="AZ9" s="3404"/>
      <c r="BA9" s="3404"/>
      <c r="BB9" s="3404"/>
      <c r="BC9" s="3404"/>
      <c r="BD9" s="3404"/>
      <c r="BE9" s="3404"/>
      <c r="BF9" s="3404"/>
    </row>
    <row r="10" spans="1:58" s="3399" customFormat="1" ht="57">
      <c r="A10" s="3425" t="s">
        <v>3177</v>
      </c>
      <c r="B10" s="3413" t="s">
        <v>3178</v>
      </c>
      <c r="C10" s="3426" t="s">
        <v>3179</v>
      </c>
      <c r="D10" s="3413"/>
      <c r="E10" s="3414" t="s">
        <v>139</v>
      </c>
      <c r="F10" s="3425" t="s">
        <v>3151</v>
      </c>
      <c r="G10" s="3426" t="s">
        <v>3152</v>
      </c>
      <c r="H10" s="3426" t="s">
        <v>3180</v>
      </c>
      <c r="I10" s="3434">
        <v>0.06</v>
      </c>
      <c r="J10" s="3428">
        <v>42858</v>
      </c>
      <c r="K10" s="3428">
        <v>42871</v>
      </c>
      <c r="L10" s="3429">
        <v>43966</v>
      </c>
      <c r="M10" s="3430">
        <v>3</v>
      </c>
      <c r="N10" s="3414" t="s">
        <v>3170</v>
      </c>
      <c r="O10" s="3425" t="s">
        <v>3164</v>
      </c>
      <c r="P10" s="3425" t="s">
        <v>3164</v>
      </c>
      <c r="Q10" s="3426" t="s">
        <v>3181</v>
      </c>
      <c r="R10" s="3431">
        <v>2</v>
      </c>
      <c r="S10" s="3431">
        <v>215.85</v>
      </c>
      <c r="T10" s="3431">
        <v>215.85</v>
      </c>
      <c r="U10" s="3431">
        <v>36</v>
      </c>
      <c r="V10" s="3425" t="s">
        <v>3158</v>
      </c>
      <c r="W10" s="3432" t="s">
        <v>3159</v>
      </c>
      <c r="X10" s="3435">
        <f t="shared" si="0"/>
        <v>7771</v>
      </c>
      <c r="Y10" s="3422">
        <f t="shared" si="1"/>
        <v>1.2000617712917923</v>
      </c>
      <c r="Z10" s="3433">
        <v>1.2</v>
      </c>
      <c r="AA10" s="3423">
        <f t="shared" si="2"/>
        <v>33931.620000000003</v>
      </c>
      <c r="AB10" s="3407">
        <f t="shared" si="6"/>
        <v>1.272</v>
      </c>
      <c r="AC10" s="3404">
        <f t="shared" si="3"/>
        <v>100214.84</v>
      </c>
      <c r="AD10" s="3407">
        <f>AB10*(1+$Z$1)</f>
        <v>1.3483200000000002</v>
      </c>
      <c r="AE10" s="3404">
        <f t="shared" si="4"/>
        <v>106227.73</v>
      </c>
      <c r="AF10" s="3407">
        <f>AD10*(1+$Z$1)</f>
        <v>1.4292192000000004</v>
      </c>
      <c r="AG10" s="3404">
        <f t="shared" si="5"/>
        <v>112601.39</v>
      </c>
      <c r="AH10" s="3404">
        <v>4</v>
      </c>
      <c r="AI10" s="3399">
        <f t="shared" si="7"/>
        <v>315141</v>
      </c>
      <c r="AJ10" s="3404">
        <f t="shared" si="10"/>
        <v>4</v>
      </c>
      <c r="AK10" s="3404">
        <f t="shared" si="8"/>
        <v>315141</v>
      </c>
      <c r="AL10" s="3404">
        <f t="shared" si="11"/>
        <v>4.0999999999999996</v>
      </c>
      <c r="AM10" s="3404">
        <f t="shared" si="9"/>
        <v>323019.53000000003</v>
      </c>
      <c r="AN10" s="3404"/>
      <c r="AO10" s="3404"/>
      <c r="AP10" s="3404"/>
      <c r="AQ10" s="3404"/>
      <c r="AR10" s="3404"/>
      <c r="AS10" s="3404"/>
      <c r="AT10" s="3404"/>
      <c r="AU10" s="3404"/>
      <c r="AV10" s="3404"/>
      <c r="AW10" s="3404"/>
      <c r="AX10" s="3404"/>
      <c r="AY10" s="3404"/>
      <c r="AZ10" s="3404"/>
      <c r="BA10" s="3404"/>
      <c r="BB10" s="3404"/>
      <c r="BC10" s="3404"/>
      <c r="BD10" s="3404"/>
      <c r="BE10" s="3404"/>
      <c r="BF10" s="3404"/>
    </row>
    <row r="11" spans="1:58" s="3399" customFormat="1" ht="57">
      <c r="A11" s="3425" t="s">
        <v>3182</v>
      </c>
      <c r="B11" s="3413" t="s">
        <v>3183</v>
      </c>
      <c r="C11" s="3426" t="s">
        <v>3184</v>
      </c>
      <c r="D11" s="3413" t="s">
        <v>3183</v>
      </c>
      <c r="E11" s="3414" t="s">
        <v>139</v>
      </c>
      <c r="F11" s="3425" t="s">
        <v>3151</v>
      </c>
      <c r="G11" s="3426" t="s">
        <v>3152</v>
      </c>
      <c r="H11" s="3426" t="s">
        <v>3185</v>
      </c>
      <c r="I11" s="3434">
        <v>0.06</v>
      </c>
      <c r="J11" s="3428">
        <v>42869</v>
      </c>
      <c r="K11" s="3428">
        <v>42887</v>
      </c>
      <c r="L11" s="3429">
        <v>43982</v>
      </c>
      <c r="M11" s="3430">
        <v>2</v>
      </c>
      <c r="N11" s="3414" t="s">
        <v>3170</v>
      </c>
      <c r="O11" s="3425" t="s">
        <v>3164</v>
      </c>
      <c r="P11" s="3425" t="s">
        <v>3164</v>
      </c>
      <c r="Q11" s="3426" t="s">
        <v>3186</v>
      </c>
      <c r="R11" s="3431">
        <v>1</v>
      </c>
      <c r="S11" s="3431">
        <v>78.33</v>
      </c>
      <c r="T11" s="3431">
        <v>78.33</v>
      </c>
      <c r="U11" s="3431">
        <v>36</v>
      </c>
      <c r="V11" s="3425" t="s">
        <v>3158</v>
      </c>
      <c r="W11" s="3432" t="s">
        <v>3159</v>
      </c>
      <c r="X11" s="3435">
        <f t="shared" si="0"/>
        <v>2820</v>
      </c>
      <c r="Y11" s="3422">
        <f t="shared" si="1"/>
        <v>1.2000510660028085</v>
      </c>
      <c r="Z11" s="3433">
        <v>1.2</v>
      </c>
      <c r="AA11" s="3423">
        <f t="shared" si="2"/>
        <v>12313.48</v>
      </c>
      <c r="AB11" s="3407">
        <f t="shared" si="6"/>
        <v>1.272</v>
      </c>
      <c r="AC11" s="3404">
        <f t="shared" si="3"/>
        <v>36367.050000000003</v>
      </c>
      <c r="AD11" s="3407">
        <f>AB11*(1+$Z$1)</f>
        <v>1.3483200000000002</v>
      </c>
      <c r="AE11" s="3404">
        <f t="shared" si="4"/>
        <v>38549.08</v>
      </c>
      <c r="AF11" s="3407">
        <f>AD11*(1+$Z$1)</f>
        <v>1.4292192000000004</v>
      </c>
      <c r="AG11" s="3404">
        <f t="shared" si="5"/>
        <v>40862.019999999997</v>
      </c>
      <c r="AH11" s="3404">
        <v>4</v>
      </c>
      <c r="AI11" s="3399">
        <f t="shared" si="7"/>
        <v>114361.8</v>
      </c>
      <c r="AJ11" s="3404">
        <f t="shared" si="10"/>
        <v>4</v>
      </c>
      <c r="AK11" s="3404">
        <f t="shared" si="8"/>
        <v>114361.8</v>
      </c>
      <c r="AL11" s="3404">
        <f t="shared" si="11"/>
        <v>4.0999999999999996</v>
      </c>
      <c r="AM11" s="3404">
        <f t="shared" si="9"/>
        <v>117220.85</v>
      </c>
      <c r="AN11" s="3404"/>
      <c r="AO11" s="3404"/>
      <c r="AP11" s="3404"/>
      <c r="AQ11" s="3404"/>
      <c r="AR11" s="3404"/>
      <c r="AS11" s="3404"/>
      <c r="AT11" s="3404"/>
      <c r="AU11" s="3404"/>
      <c r="AV11" s="3404"/>
      <c r="AW11" s="3404"/>
      <c r="AX11" s="3404"/>
      <c r="AY11" s="3404"/>
      <c r="AZ11" s="3404"/>
      <c r="BA11" s="3404"/>
      <c r="BB11" s="3404"/>
      <c r="BC11" s="3404"/>
      <c r="BD11" s="3404"/>
      <c r="BE11" s="3404"/>
      <c r="BF11" s="3404"/>
    </row>
    <row r="12" spans="1:58" s="3448" customFormat="1" ht="42.75">
      <c r="A12" s="3436" t="s">
        <v>3187</v>
      </c>
      <c r="B12" s="3436" t="s">
        <v>3188</v>
      </c>
      <c r="C12" s="3436" t="s">
        <v>3189</v>
      </c>
      <c r="D12" s="3436" t="s">
        <v>3190</v>
      </c>
      <c r="E12" s="3436" t="s">
        <v>3191</v>
      </c>
      <c r="F12" s="3436" t="s">
        <v>3151</v>
      </c>
      <c r="G12" s="3437" t="s">
        <v>3152</v>
      </c>
      <c r="H12" s="3436" t="s">
        <v>3192</v>
      </c>
      <c r="I12" s="3438">
        <v>0.06</v>
      </c>
      <c r="J12" s="3439">
        <v>42293</v>
      </c>
      <c r="K12" s="3440">
        <v>42278</v>
      </c>
      <c r="L12" s="3417">
        <v>43373</v>
      </c>
      <c r="M12" s="3441">
        <v>0</v>
      </c>
      <c r="N12" s="3436" t="s">
        <v>3154</v>
      </c>
      <c r="O12" s="3437" t="s">
        <v>3155</v>
      </c>
      <c r="P12" s="3436" t="s">
        <v>3193</v>
      </c>
      <c r="Q12" s="3436" t="s">
        <v>3194</v>
      </c>
      <c r="R12" s="3442">
        <v>1</v>
      </c>
      <c r="S12" s="3443">
        <v>170.26</v>
      </c>
      <c r="T12" s="3442">
        <v>170.26</v>
      </c>
      <c r="U12" s="3443">
        <v>39.22</v>
      </c>
      <c r="V12" s="3436" t="s">
        <v>3195</v>
      </c>
      <c r="W12" s="3444" t="s">
        <v>3159</v>
      </c>
      <c r="X12" s="3445">
        <f t="shared" si="0"/>
        <v>6678</v>
      </c>
      <c r="Y12" s="3422">
        <f t="shared" si="1"/>
        <v>1.3074121931164102</v>
      </c>
      <c r="Z12" s="3433">
        <f>Y12*(1+$Z$1)</f>
        <v>1.3858569247033949</v>
      </c>
      <c r="AA12" s="3423">
        <f t="shared" si="2"/>
        <v>30910.240000000002</v>
      </c>
      <c r="AB12" s="3407">
        <f t="shared" si="6"/>
        <v>1.4690083401855987</v>
      </c>
      <c r="AC12" s="3404">
        <f t="shared" si="3"/>
        <v>91291.38</v>
      </c>
      <c r="AD12" s="3446">
        <v>4.5</v>
      </c>
      <c r="AE12" s="3404">
        <f t="shared" si="4"/>
        <v>279652.05</v>
      </c>
      <c r="AF12" s="3446">
        <f>AD12*(1+$AF$1)</f>
        <v>4.6124999999999998</v>
      </c>
      <c r="AG12" s="3404">
        <f t="shared" si="5"/>
        <v>286643.34999999998</v>
      </c>
      <c r="AH12" s="3447">
        <f t="shared" ref="AH12:AH18" si="12">AF12*(1+$AH$1)</f>
        <v>4.7278124999999998</v>
      </c>
      <c r="AI12" s="3399">
        <f t="shared" si="7"/>
        <v>293809.44</v>
      </c>
      <c r="AJ12" s="3404">
        <f>AH12*(1+$AH$1)</f>
        <v>4.846007812499999</v>
      </c>
      <c r="AK12" s="3404">
        <f t="shared" si="8"/>
        <v>301154.67</v>
      </c>
      <c r="AL12" s="3404">
        <f t="shared" si="11"/>
        <v>4.9671580078124986</v>
      </c>
      <c r="AM12" s="3404">
        <f t="shared" si="9"/>
        <v>308683.53999999998</v>
      </c>
      <c r="AN12" s="3447"/>
      <c r="AO12" s="3447"/>
      <c r="AP12" s="3447"/>
      <c r="AQ12" s="3447"/>
      <c r="AR12" s="3447"/>
      <c r="AS12" s="3447"/>
      <c r="AT12" s="3447"/>
      <c r="AU12" s="3447"/>
      <c r="AV12" s="3447"/>
      <c r="AW12" s="3447"/>
      <c r="AX12" s="3447"/>
      <c r="AY12" s="3447"/>
      <c r="AZ12" s="3447"/>
      <c r="BA12" s="3447"/>
      <c r="BB12" s="3447"/>
      <c r="BC12" s="3447"/>
      <c r="BD12" s="3447"/>
      <c r="BE12" s="3447"/>
      <c r="BF12" s="3447"/>
    </row>
    <row r="13" spans="1:58" s="3399" customFormat="1" ht="42.75">
      <c r="A13" s="3414" t="s">
        <v>3196</v>
      </c>
      <c r="B13" s="3414" t="s">
        <v>3197</v>
      </c>
      <c r="C13" s="3414" t="s">
        <v>3198</v>
      </c>
      <c r="D13" s="3414" t="s">
        <v>3199</v>
      </c>
      <c r="E13" s="3414" t="s">
        <v>3200</v>
      </c>
      <c r="F13" s="3414" t="s">
        <v>3151</v>
      </c>
      <c r="G13" s="3413" t="s">
        <v>3152</v>
      </c>
      <c r="H13" s="3414" t="s">
        <v>3201</v>
      </c>
      <c r="I13" s="3449">
        <v>0.06</v>
      </c>
      <c r="J13" s="3450">
        <v>42291</v>
      </c>
      <c r="K13" s="3416">
        <v>42186</v>
      </c>
      <c r="L13" s="3417">
        <v>43646</v>
      </c>
      <c r="M13" s="3418">
        <v>0</v>
      </c>
      <c r="N13" s="3414" t="s">
        <v>3154</v>
      </c>
      <c r="O13" s="3413" t="s">
        <v>3155</v>
      </c>
      <c r="P13" s="3413" t="s">
        <v>3202</v>
      </c>
      <c r="Q13" s="3414" t="s">
        <v>3203</v>
      </c>
      <c r="R13" s="3420">
        <v>0.5</v>
      </c>
      <c r="S13" s="3419">
        <v>60.55</v>
      </c>
      <c r="T13" s="3420">
        <v>60.55</v>
      </c>
      <c r="U13" s="3419">
        <v>43</v>
      </c>
      <c r="V13" s="3451" t="s">
        <v>3195</v>
      </c>
      <c r="W13" s="3421" t="s">
        <v>3159</v>
      </c>
      <c r="X13" s="3422">
        <f t="shared" si="0"/>
        <v>2604</v>
      </c>
      <c r="Y13" s="3422">
        <f t="shared" si="1"/>
        <v>1.4335260115606938</v>
      </c>
      <c r="Z13" s="3433">
        <v>1.43</v>
      </c>
      <c r="AA13" s="3423">
        <f t="shared" si="2"/>
        <v>11342.83</v>
      </c>
      <c r="AB13" s="3407">
        <f t="shared" si="6"/>
        <v>1.5158</v>
      </c>
      <c r="AC13" s="3404">
        <f t="shared" si="3"/>
        <v>33500.32</v>
      </c>
      <c r="AD13" s="3446">
        <f>AB13*(1+$Z$1)</f>
        <v>1.6067480000000001</v>
      </c>
      <c r="AE13" s="3404">
        <f t="shared" si="4"/>
        <v>35510.339999999997</v>
      </c>
      <c r="AF13" s="3446">
        <v>4</v>
      </c>
      <c r="AG13" s="3404">
        <f t="shared" si="5"/>
        <v>88403</v>
      </c>
      <c r="AH13" s="3404">
        <f t="shared" si="12"/>
        <v>4.0999999999999996</v>
      </c>
      <c r="AI13" s="3399">
        <f t="shared" si="7"/>
        <v>90613.08</v>
      </c>
      <c r="AJ13" s="3404">
        <f>AH13*(1+$AH$1)</f>
        <v>4.2024999999999997</v>
      </c>
      <c r="AK13" s="3404">
        <f t="shared" si="8"/>
        <v>92878.399999999994</v>
      </c>
      <c r="AL13" s="3404">
        <f t="shared" si="11"/>
        <v>4.3075624999999995</v>
      </c>
      <c r="AM13" s="3404">
        <f t="shared" si="9"/>
        <v>95200.36</v>
      </c>
      <c r="AN13" s="3404"/>
      <c r="AO13" s="3404"/>
      <c r="AP13" s="3404"/>
      <c r="AQ13" s="3404"/>
      <c r="AR13" s="3404"/>
      <c r="AS13" s="3404"/>
      <c r="AT13" s="3404"/>
      <c r="AU13" s="3404"/>
      <c r="AV13" s="3404"/>
      <c r="AW13" s="3404"/>
      <c r="AX13" s="3404"/>
      <c r="AY13" s="3404"/>
      <c r="AZ13" s="3404"/>
      <c r="BA13" s="3404"/>
      <c r="BB13" s="3404"/>
      <c r="BC13" s="3404"/>
      <c r="BD13" s="3404"/>
      <c r="BE13" s="3404"/>
      <c r="BF13" s="3404"/>
    </row>
    <row r="14" spans="1:58" s="3465" customFormat="1" ht="42.75">
      <c r="A14" s="3452" t="s">
        <v>3204</v>
      </c>
      <c r="B14" s="3453" t="s">
        <v>3205</v>
      </c>
      <c r="C14" s="3453" t="s">
        <v>3206</v>
      </c>
      <c r="D14" s="3453" t="s">
        <v>3207</v>
      </c>
      <c r="E14" s="3453" t="s">
        <v>3150</v>
      </c>
      <c r="F14" s="3452" t="s">
        <v>3151</v>
      </c>
      <c r="G14" s="3453" t="s">
        <v>3152</v>
      </c>
      <c r="H14" s="3453" t="s">
        <v>3208</v>
      </c>
      <c r="I14" s="3454">
        <v>0.05</v>
      </c>
      <c r="J14" s="3455">
        <v>42246</v>
      </c>
      <c r="K14" s="3455">
        <v>42248</v>
      </c>
      <c r="L14" s="3417">
        <v>43343</v>
      </c>
      <c r="M14" s="3456">
        <v>0</v>
      </c>
      <c r="N14" s="3453" t="s">
        <v>3154</v>
      </c>
      <c r="O14" s="3453" t="s">
        <v>3155</v>
      </c>
      <c r="P14" s="3452" t="s">
        <v>3209</v>
      </c>
      <c r="Q14" s="3453" t="s">
        <v>3210</v>
      </c>
      <c r="R14" s="3457">
        <v>1</v>
      </c>
      <c r="S14" s="3457">
        <v>106.73</v>
      </c>
      <c r="T14" s="3458">
        <v>106.73</v>
      </c>
      <c r="U14" s="3457">
        <v>90.83</v>
      </c>
      <c r="V14" s="3452" t="s">
        <v>3158</v>
      </c>
      <c r="W14" s="3459" t="s">
        <v>3159</v>
      </c>
      <c r="X14" s="3460">
        <f t="shared" si="0"/>
        <v>9694</v>
      </c>
      <c r="Y14" s="3460">
        <f t="shared" si="1"/>
        <v>3.0275773759330398</v>
      </c>
      <c r="Z14" s="3461">
        <f>Y14*(1+Y1)</f>
        <v>3.178956244729692</v>
      </c>
      <c r="AA14" s="3462">
        <f t="shared" si="2"/>
        <v>44446.99</v>
      </c>
      <c r="AB14" s="3463">
        <f>Z14*(1+Y1)</f>
        <v>3.3379040569661766</v>
      </c>
      <c r="AC14" s="3404">
        <f t="shared" si="3"/>
        <v>130032.89</v>
      </c>
      <c r="AD14" s="3463">
        <v>4.5</v>
      </c>
      <c r="AE14" s="3404">
        <f t="shared" si="4"/>
        <v>175304.03</v>
      </c>
      <c r="AF14" s="3463">
        <f>AD14*(1+AF1)</f>
        <v>4.6124999999999998</v>
      </c>
      <c r="AG14" s="3404">
        <f t="shared" si="5"/>
        <v>179686.63</v>
      </c>
      <c r="AH14" s="3404">
        <f t="shared" si="12"/>
        <v>4.7278124999999998</v>
      </c>
      <c r="AI14" s="3399">
        <f t="shared" si="7"/>
        <v>184178.79</v>
      </c>
      <c r="AJ14" s="3404">
        <f t="shared" ref="AJ14:AJ77" si="13">AH14*(1+$AH$1)</f>
        <v>4.846007812499999</v>
      </c>
      <c r="AK14" s="3404">
        <f t="shared" si="8"/>
        <v>188783.26</v>
      </c>
      <c r="AL14" s="3404">
        <f t="shared" si="11"/>
        <v>4.9671580078124986</v>
      </c>
      <c r="AM14" s="3404">
        <f t="shared" si="9"/>
        <v>193502.84</v>
      </c>
      <c r="AN14" s="3464"/>
      <c r="AO14" s="3464"/>
      <c r="AP14" s="3464"/>
      <c r="AQ14" s="3464"/>
      <c r="AR14" s="3464"/>
      <c r="AS14" s="3464"/>
      <c r="AT14" s="3464"/>
      <c r="AU14" s="3464"/>
      <c r="AV14" s="3464"/>
      <c r="AW14" s="3464"/>
      <c r="AX14" s="3464"/>
      <c r="AY14" s="3464"/>
      <c r="AZ14" s="3464"/>
      <c r="BA14" s="3464"/>
      <c r="BB14" s="3464"/>
      <c r="BC14" s="3464"/>
      <c r="BD14" s="3464"/>
      <c r="BE14" s="3464"/>
      <c r="BF14" s="3464"/>
    </row>
    <row r="15" spans="1:58" s="3448" customFormat="1" ht="42.75">
      <c r="A15" s="3436" t="s">
        <v>3211</v>
      </c>
      <c r="B15" s="3436" t="s">
        <v>3212</v>
      </c>
      <c r="C15" s="3437" t="s">
        <v>3213</v>
      </c>
      <c r="D15" s="3437" t="s">
        <v>3214</v>
      </c>
      <c r="E15" s="3437" t="s">
        <v>3215</v>
      </c>
      <c r="F15" s="3436" t="s">
        <v>3216</v>
      </c>
      <c r="G15" s="3437" t="s">
        <v>3152</v>
      </c>
      <c r="H15" s="3437" t="s">
        <v>3201</v>
      </c>
      <c r="I15" s="3466">
        <v>0.06</v>
      </c>
      <c r="J15" s="3440">
        <v>42278</v>
      </c>
      <c r="K15" s="3440">
        <v>42278</v>
      </c>
      <c r="L15" s="3417">
        <v>43373</v>
      </c>
      <c r="M15" s="3441">
        <v>12</v>
      </c>
      <c r="N15" s="3437" t="s">
        <v>3154</v>
      </c>
      <c r="O15" s="3437" t="s">
        <v>3155</v>
      </c>
      <c r="P15" s="3436" t="s">
        <v>3209</v>
      </c>
      <c r="Q15" s="3437" t="s">
        <v>3217</v>
      </c>
      <c r="R15" s="3443">
        <v>0.5</v>
      </c>
      <c r="S15" s="3443">
        <v>100</v>
      </c>
      <c r="T15" s="3442">
        <v>100</v>
      </c>
      <c r="U15" s="3443">
        <v>25</v>
      </c>
      <c r="V15" s="3436" t="s">
        <v>3158</v>
      </c>
      <c r="W15" s="3467" t="s">
        <v>3218</v>
      </c>
      <c r="X15" s="3445">
        <f t="shared" si="0"/>
        <v>2500</v>
      </c>
      <c r="Y15" s="3422">
        <f t="shared" si="1"/>
        <v>0.83333333333333337</v>
      </c>
      <c r="Z15" s="3433">
        <f>Y15</f>
        <v>0.83333333333333337</v>
      </c>
      <c r="AA15" s="3423">
        <f t="shared" si="2"/>
        <v>10916.67</v>
      </c>
      <c r="AB15" s="3407">
        <f t="shared" ref="AB15:AB56" si="14">Z15*(1+$Z$1)</f>
        <v>0.88333333333333341</v>
      </c>
      <c r="AC15" s="3404">
        <f t="shared" si="3"/>
        <v>32241.67</v>
      </c>
      <c r="AD15" s="3446">
        <v>2.2000000000000002</v>
      </c>
      <c r="AE15" s="3404">
        <f t="shared" si="4"/>
        <v>80300</v>
      </c>
      <c r="AF15" s="3446">
        <f>AD15*(1+$AF$1)</f>
        <v>2.2549999999999999</v>
      </c>
      <c r="AG15" s="3404">
        <f t="shared" si="5"/>
        <v>82307.5</v>
      </c>
      <c r="AH15" s="3404">
        <f t="shared" si="12"/>
        <v>2.3113749999999995</v>
      </c>
      <c r="AI15" s="3399">
        <f t="shared" si="7"/>
        <v>84365.19</v>
      </c>
      <c r="AJ15" s="3404">
        <f t="shared" si="13"/>
        <v>2.3691593749999993</v>
      </c>
      <c r="AK15" s="3404">
        <f t="shared" si="8"/>
        <v>86474.32</v>
      </c>
      <c r="AL15" s="3404">
        <f t="shared" si="11"/>
        <v>2.4283883593749991</v>
      </c>
      <c r="AM15" s="3404">
        <f t="shared" si="9"/>
        <v>88636.18</v>
      </c>
      <c r="AN15" s="3447"/>
      <c r="AO15" s="3447"/>
      <c r="AP15" s="3447"/>
      <c r="AQ15" s="3447"/>
      <c r="AR15" s="3447"/>
      <c r="AS15" s="3447"/>
      <c r="AT15" s="3447"/>
      <c r="AU15" s="3447"/>
      <c r="AV15" s="3447"/>
      <c r="AW15" s="3447"/>
      <c r="AX15" s="3447"/>
      <c r="AY15" s="3447"/>
      <c r="AZ15" s="3447"/>
      <c r="BA15" s="3447"/>
      <c r="BB15" s="3447"/>
      <c r="BC15" s="3447"/>
      <c r="BD15" s="3447"/>
      <c r="BE15" s="3447"/>
      <c r="BF15" s="3447"/>
    </row>
    <row r="16" spans="1:58" s="3448" customFormat="1" ht="42.75">
      <c r="A16" s="3436" t="s">
        <v>3211</v>
      </c>
      <c r="B16" s="3436" t="s">
        <v>3212</v>
      </c>
      <c r="C16" s="3437" t="s">
        <v>3213</v>
      </c>
      <c r="D16" s="3437" t="s">
        <v>3214</v>
      </c>
      <c r="E16" s="3437" t="s">
        <v>3215</v>
      </c>
      <c r="F16" s="3436" t="s">
        <v>3216</v>
      </c>
      <c r="G16" s="3437" t="s">
        <v>3152</v>
      </c>
      <c r="H16" s="3437" t="s">
        <v>3201</v>
      </c>
      <c r="I16" s="3466">
        <v>0.06</v>
      </c>
      <c r="J16" s="3440">
        <v>42278</v>
      </c>
      <c r="K16" s="3440">
        <v>42278</v>
      </c>
      <c r="L16" s="3417">
        <v>43373</v>
      </c>
      <c r="M16" s="3441">
        <v>6</v>
      </c>
      <c r="N16" s="3437" t="s">
        <v>3154</v>
      </c>
      <c r="O16" s="3437" t="s">
        <v>3155</v>
      </c>
      <c r="P16" s="3436" t="s">
        <v>3209</v>
      </c>
      <c r="Q16" s="3437" t="s">
        <v>3217</v>
      </c>
      <c r="R16" s="3443">
        <v>0.5</v>
      </c>
      <c r="S16" s="3443">
        <v>100</v>
      </c>
      <c r="T16" s="3442">
        <v>100</v>
      </c>
      <c r="U16" s="3443">
        <v>25</v>
      </c>
      <c r="V16" s="3436" t="s">
        <v>3158</v>
      </c>
      <c r="W16" s="3467" t="s">
        <v>3159</v>
      </c>
      <c r="X16" s="3445">
        <f t="shared" si="0"/>
        <v>2500</v>
      </c>
      <c r="Y16" s="3422">
        <f t="shared" si="1"/>
        <v>0.83333333333333337</v>
      </c>
      <c r="Z16" s="3433">
        <f t="shared" ref="Z16:Z79" si="15">Y16</f>
        <v>0.83333333333333337</v>
      </c>
      <c r="AA16" s="3423">
        <f t="shared" si="2"/>
        <v>10916.67</v>
      </c>
      <c r="AB16" s="3407">
        <f t="shared" si="14"/>
        <v>0.88333333333333341</v>
      </c>
      <c r="AC16" s="3404">
        <f t="shared" si="3"/>
        <v>32241.67</v>
      </c>
      <c r="AD16" s="3446">
        <v>2.2000000000000002</v>
      </c>
      <c r="AE16" s="3404">
        <f t="shared" si="4"/>
        <v>80300</v>
      </c>
      <c r="AF16" s="3446">
        <f>AD16*(1+$AF$1)</f>
        <v>2.2549999999999999</v>
      </c>
      <c r="AG16" s="3404">
        <f t="shared" si="5"/>
        <v>82307.5</v>
      </c>
      <c r="AH16" s="3404">
        <f t="shared" si="12"/>
        <v>2.3113749999999995</v>
      </c>
      <c r="AI16" s="3399">
        <f t="shared" si="7"/>
        <v>84365.19</v>
      </c>
      <c r="AJ16" s="3404">
        <f t="shared" si="13"/>
        <v>2.3691593749999993</v>
      </c>
      <c r="AK16" s="3404">
        <f t="shared" si="8"/>
        <v>86474.32</v>
      </c>
      <c r="AL16" s="3404">
        <f t="shared" si="11"/>
        <v>2.4283883593749991</v>
      </c>
      <c r="AM16" s="3404">
        <f t="shared" si="9"/>
        <v>88636.18</v>
      </c>
      <c r="AN16" s="3447"/>
      <c r="AO16" s="3447"/>
      <c r="AP16" s="3447"/>
      <c r="AQ16" s="3447"/>
      <c r="AR16" s="3447"/>
      <c r="AS16" s="3447"/>
      <c r="AT16" s="3447"/>
      <c r="AU16" s="3447"/>
      <c r="AV16" s="3447"/>
      <c r="AW16" s="3447"/>
      <c r="AX16" s="3447"/>
      <c r="AY16" s="3447"/>
      <c r="AZ16" s="3447"/>
      <c r="BA16" s="3447"/>
      <c r="BB16" s="3447"/>
      <c r="BC16" s="3447"/>
      <c r="BD16" s="3447"/>
      <c r="BE16" s="3447"/>
      <c r="BF16" s="3447"/>
    </row>
    <row r="17" spans="1:58" s="3448" customFormat="1" ht="42.75">
      <c r="A17" s="3436" t="s">
        <v>3219</v>
      </c>
      <c r="B17" s="3436" t="s">
        <v>3212</v>
      </c>
      <c r="C17" s="3437" t="s">
        <v>3213</v>
      </c>
      <c r="D17" s="3437" t="s">
        <v>3214</v>
      </c>
      <c r="E17" s="3437" t="s">
        <v>3215</v>
      </c>
      <c r="F17" s="3436" t="s">
        <v>3216</v>
      </c>
      <c r="G17" s="3437" t="s">
        <v>3152</v>
      </c>
      <c r="H17" s="3437" t="s">
        <v>3201</v>
      </c>
      <c r="I17" s="3466">
        <v>0.06</v>
      </c>
      <c r="J17" s="3440">
        <v>42278</v>
      </c>
      <c r="K17" s="3440">
        <v>42278</v>
      </c>
      <c r="L17" s="3417">
        <v>43373</v>
      </c>
      <c r="M17" s="3441">
        <v>12</v>
      </c>
      <c r="N17" s="3436" t="s">
        <v>3154</v>
      </c>
      <c r="O17" s="3437" t="s">
        <v>3155</v>
      </c>
      <c r="P17" s="3436" t="s">
        <v>3209</v>
      </c>
      <c r="Q17" s="3437" t="s">
        <v>3220</v>
      </c>
      <c r="R17" s="3443">
        <v>0.5</v>
      </c>
      <c r="S17" s="3443">
        <v>77.010000000000005</v>
      </c>
      <c r="T17" s="3442">
        <v>77.010000000000005</v>
      </c>
      <c r="U17" s="3443">
        <v>25</v>
      </c>
      <c r="V17" s="3436" t="s">
        <v>3158</v>
      </c>
      <c r="W17" s="3467" t="s">
        <v>3218</v>
      </c>
      <c r="X17" s="3445">
        <f t="shared" si="0"/>
        <v>1925</v>
      </c>
      <c r="Y17" s="3422">
        <f t="shared" si="1"/>
        <v>0.83322512227849188</v>
      </c>
      <c r="Z17" s="3433">
        <f t="shared" si="15"/>
        <v>0.83322512227849188</v>
      </c>
      <c r="AA17" s="3423">
        <f t="shared" si="2"/>
        <v>8405.83</v>
      </c>
      <c r="AB17" s="3407">
        <f t="shared" si="14"/>
        <v>0.88321862961520148</v>
      </c>
      <c r="AC17" s="3404">
        <f t="shared" si="3"/>
        <v>24826.080000000002</v>
      </c>
      <c r="AD17" s="3446">
        <v>2.2000000000000002</v>
      </c>
      <c r="AE17" s="3404">
        <f t="shared" si="4"/>
        <v>61839.03</v>
      </c>
      <c r="AF17" s="3446">
        <f>AD17*(1+$AF$1)</f>
        <v>2.2549999999999999</v>
      </c>
      <c r="AG17" s="3404">
        <f t="shared" si="5"/>
        <v>63385.01</v>
      </c>
      <c r="AH17" s="3404">
        <f t="shared" si="12"/>
        <v>2.3113749999999995</v>
      </c>
      <c r="AI17" s="3399">
        <f t="shared" si="7"/>
        <v>64969.63</v>
      </c>
      <c r="AJ17" s="3404">
        <f t="shared" si="13"/>
        <v>2.3691593749999993</v>
      </c>
      <c r="AK17" s="3404">
        <f t="shared" si="8"/>
        <v>66593.87</v>
      </c>
      <c r="AL17" s="3404">
        <f t="shared" si="11"/>
        <v>2.4283883593749991</v>
      </c>
      <c r="AM17" s="3404">
        <f t="shared" si="9"/>
        <v>68258.720000000001</v>
      </c>
      <c r="AN17" s="3447"/>
      <c r="AO17" s="3447"/>
      <c r="AP17" s="3447"/>
      <c r="AQ17" s="3447"/>
      <c r="AR17" s="3447"/>
      <c r="AS17" s="3447"/>
      <c r="AT17" s="3447"/>
      <c r="AU17" s="3447"/>
      <c r="AV17" s="3447"/>
      <c r="AW17" s="3447"/>
      <c r="AX17" s="3447"/>
      <c r="AY17" s="3447"/>
      <c r="AZ17" s="3447"/>
      <c r="BA17" s="3447"/>
      <c r="BB17" s="3447"/>
      <c r="BC17" s="3447"/>
      <c r="BD17" s="3447"/>
      <c r="BE17" s="3447"/>
      <c r="BF17" s="3447"/>
    </row>
    <row r="18" spans="1:58" s="3448" customFormat="1" ht="42.75">
      <c r="A18" s="3436" t="s">
        <v>3219</v>
      </c>
      <c r="B18" s="3436" t="s">
        <v>3212</v>
      </c>
      <c r="C18" s="3437" t="s">
        <v>3213</v>
      </c>
      <c r="D18" s="3437" t="s">
        <v>3214</v>
      </c>
      <c r="E18" s="3437" t="s">
        <v>3215</v>
      </c>
      <c r="F18" s="3436" t="s">
        <v>3216</v>
      </c>
      <c r="G18" s="3437" t="s">
        <v>3152</v>
      </c>
      <c r="H18" s="3437" t="s">
        <v>3201</v>
      </c>
      <c r="I18" s="3466">
        <v>0.06</v>
      </c>
      <c r="J18" s="3440">
        <v>42278</v>
      </c>
      <c r="K18" s="3440">
        <v>42278</v>
      </c>
      <c r="L18" s="3417">
        <v>43373</v>
      </c>
      <c r="M18" s="3441">
        <v>6</v>
      </c>
      <c r="N18" s="3436" t="s">
        <v>3154</v>
      </c>
      <c r="O18" s="3437" t="s">
        <v>3155</v>
      </c>
      <c r="P18" s="3436" t="s">
        <v>3209</v>
      </c>
      <c r="Q18" s="3437" t="s">
        <v>3220</v>
      </c>
      <c r="R18" s="3443">
        <v>0.5</v>
      </c>
      <c r="S18" s="3443">
        <v>77.010000000000005</v>
      </c>
      <c r="T18" s="3442">
        <v>77.010000000000005</v>
      </c>
      <c r="U18" s="3443">
        <v>25</v>
      </c>
      <c r="V18" s="3436" t="s">
        <v>3158</v>
      </c>
      <c r="W18" s="3467" t="s">
        <v>3159</v>
      </c>
      <c r="X18" s="3445">
        <f t="shared" si="0"/>
        <v>1925</v>
      </c>
      <c r="Y18" s="3422">
        <f t="shared" si="1"/>
        <v>0.83322512227849188</v>
      </c>
      <c r="Z18" s="3433">
        <f t="shared" si="15"/>
        <v>0.83322512227849188</v>
      </c>
      <c r="AA18" s="3423">
        <f t="shared" si="2"/>
        <v>8405.83</v>
      </c>
      <c r="AB18" s="3407">
        <f t="shared" si="14"/>
        <v>0.88321862961520148</v>
      </c>
      <c r="AC18" s="3404">
        <f t="shared" si="3"/>
        <v>24826.080000000002</v>
      </c>
      <c r="AD18" s="3446">
        <v>2.2000000000000002</v>
      </c>
      <c r="AE18" s="3404">
        <f t="shared" si="4"/>
        <v>61839.03</v>
      </c>
      <c r="AF18" s="3446">
        <f>AD18*(1+$AF$1)</f>
        <v>2.2549999999999999</v>
      </c>
      <c r="AG18" s="3404">
        <f t="shared" si="5"/>
        <v>63385.01</v>
      </c>
      <c r="AH18" s="3404">
        <f t="shared" si="12"/>
        <v>2.3113749999999995</v>
      </c>
      <c r="AI18" s="3399">
        <f t="shared" si="7"/>
        <v>64969.63</v>
      </c>
      <c r="AJ18" s="3404">
        <f t="shared" si="13"/>
        <v>2.3691593749999993</v>
      </c>
      <c r="AK18" s="3404">
        <f t="shared" si="8"/>
        <v>66593.87</v>
      </c>
      <c r="AL18" s="3404">
        <f t="shared" si="11"/>
        <v>2.4283883593749991</v>
      </c>
      <c r="AM18" s="3404">
        <f t="shared" si="9"/>
        <v>68258.720000000001</v>
      </c>
      <c r="AN18" s="3447"/>
      <c r="AO18" s="3447"/>
      <c r="AP18" s="3447"/>
      <c r="AQ18" s="3447"/>
      <c r="AR18" s="3447"/>
      <c r="AS18" s="3447"/>
      <c r="AT18" s="3447"/>
      <c r="AU18" s="3447"/>
      <c r="AV18" s="3447"/>
      <c r="AW18" s="3447"/>
      <c r="AX18" s="3447"/>
      <c r="AY18" s="3447"/>
      <c r="AZ18" s="3447"/>
      <c r="BA18" s="3447"/>
      <c r="BB18" s="3447"/>
      <c r="BC18" s="3447"/>
      <c r="BD18" s="3447"/>
      <c r="BE18" s="3447"/>
      <c r="BF18" s="3447"/>
    </row>
    <row r="19" spans="1:58" s="3399" customFormat="1" ht="42.75">
      <c r="A19" s="3414" t="s">
        <v>3221</v>
      </c>
      <c r="B19" s="3414" t="s">
        <v>3222</v>
      </c>
      <c r="C19" s="3414" t="s">
        <v>3223</v>
      </c>
      <c r="D19" s="3414" t="s">
        <v>3224</v>
      </c>
      <c r="E19" s="3414" t="s">
        <v>3200</v>
      </c>
      <c r="F19" s="3414" t="s">
        <v>3151</v>
      </c>
      <c r="G19" s="3413" t="s">
        <v>3152</v>
      </c>
      <c r="H19" s="3414" t="s">
        <v>3225</v>
      </c>
      <c r="I19" s="3449">
        <v>0.06</v>
      </c>
      <c r="J19" s="3450">
        <v>42301</v>
      </c>
      <c r="K19" s="3416">
        <v>42217</v>
      </c>
      <c r="L19" s="3417">
        <v>44043</v>
      </c>
      <c r="M19" s="3418">
        <v>0</v>
      </c>
      <c r="N19" s="3414" t="s">
        <v>3154</v>
      </c>
      <c r="O19" s="3413" t="s">
        <v>3155</v>
      </c>
      <c r="P19" s="3414" t="s">
        <v>3226</v>
      </c>
      <c r="Q19" s="3414" t="s">
        <v>3227</v>
      </c>
      <c r="R19" s="3420">
        <v>2</v>
      </c>
      <c r="S19" s="3419">
        <v>175.12</v>
      </c>
      <c r="T19" s="3420">
        <v>175.12</v>
      </c>
      <c r="U19" s="3419">
        <v>55</v>
      </c>
      <c r="V19" s="3414" t="s">
        <v>3158</v>
      </c>
      <c r="W19" s="3432" t="s">
        <v>3159</v>
      </c>
      <c r="X19" s="3422">
        <f t="shared" si="0"/>
        <v>9632</v>
      </c>
      <c r="Y19" s="3422">
        <f t="shared" si="1"/>
        <v>1.8334094716004263</v>
      </c>
      <c r="Z19" s="3433">
        <f t="shared" si="15"/>
        <v>1.8334094716004263</v>
      </c>
      <c r="AA19" s="3423">
        <f t="shared" si="2"/>
        <v>42059.73</v>
      </c>
      <c r="AB19" s="3407">
        <f t="shared" si="14"/>
        <v>1.9434140398964521</v>
      </c>
      <c r="AC19" s="3404">
        <f t="shared" si="3"/>
        <v>124220.69</v>
      </c>
      <c r="AD19" s="3446">
        <f>AB19*(1+$Z$1)</f>
        <v>2.0600188822902394</v>
      </c>
      <c r="AE19" s="3404">
        <f t="shared" si="4"/>
        <v>131673.93</v>
      </c>
      <c r="AF19" s="3446">
        <f>AD19*(1+$Z$1)</f>
        <v>2.1836200152276537</v>
      </c>
      <c r="AG19" s="3404">
        <f t="shared" si="5"/>
        <v>139574.37</v>
      </c>
      <c r="AH19" s="3404">
        <v>4</v>
      </c>
      <c r="AI19" s="3399">
        <f t="shared" si="7"/>
        <v>255675.2</v>
      </c>
      <c r="AJ19" s="3404">
        <f t="shared" si="13"/>
        <v>4.0999999999999996</v>
      </c>
      <c r="AK19" s="3404">
        <f t="shared" si="8"/>
        <v>262067.08</v>
      </c>
      <c r="AL19" s="3404">
        <f t="shared" si="11"/>
        <v>4.2024999999999997</v>
      </c>
      <c r="AM19" s="3404">
        <f t="shared" si="9"/>
        <v>268618.76</v>
      </c>
      <c r="AN19" s="3404"/>
      <c r="AO19" s="3404"/>
      <c r="AP19" s="3404"/>
      <c r="AQ19" s="3404"/>
      <c r="AR19" s="3404"/>
      <c r="AS19" s="3404"/>
      <c r="AT19" s="3404"/>
      <c r="AU19" s="3404"/>
      <c r="AV19" s="3404"/>
      <c r="AW19" s="3404"/>
      <c r="AX19" s="3404"/>
      <c r="AY19" s="3404"/>
      <c r="AZ19" s="3404"/>
      <c r="BA19" s="3404"/>
      <c r="BB19" s="3404"/>
      <c r="BC19" s="3404"/>
      <c r="BD19" s="3404"/>
      <c r="BE19" s="3404"/>
      <c r="BF19" s="3404"/>
    </row>
    <row r="20" spans="1:58" s="3399" customFormat="1" ht="42.75">
      <c r="A20" s="3414" t="s">
        <v>3228</v>
      </c>
      <c r="B20" s="3413" t="s">
        <v>3229</v>
      </c>
      <c r="C20" s="3413" t="s">
        <v>3230</v>
      </c>
      <c r="D20" s="3413" t="s">
        <v>3231</v>
      </c>
      <c r="E20" s="3413" t="s">
        <v>3215</v>
      </c>
      <c r="F20" s="3414" t="s">
        <v>3151</v>
      </c>
      <c r="G20" s="3413" t="s">
        <v>3152</v>
      </c>
      <c r="H20" s="3413" t="s">
        <v>3201</v>
      </c>
      <c r="I20" s="3415">
        <v>0.06</v>
      </c>
      <c r="J20" s="3416">
        <v>42248</v>
      </c>
      <c r="K20" s="3416">
        <v>42248</v>
      </c>
      <c r="L20" s="3417">
        <v>44074</v>
      </c>
      <c r="M20" s="3418">
        <v>0</v>
      </c>
      <c r="N20" s="3414" t="s">
        <v>3154</v>
      </c>
      <c r="O20" s="3413" t="s">
        <v>3155</v>
      </c>
      <c r="P20" s="3414" t="s">
        <v>3232</v>
      </c>
      <c r="Q20" s="3413" t="s">
        <v>3233</v>
      </c>
      <c r="R20" s="3419">
        <v>2</v>
      </c>
      <c r="S20" s="3419">
        <v>109.93</v>
      </c>
      <c r="T20" s="3420">
        <v>109.93</v>
      </c>
      <c r="U20" s="3419">
        <v>60</v>
      </c>
      <c r="V20" s="3414" t="s">
        <v>3195</v>
      </c>
      <c r="W20" s="3468" t="s">
        <v>3159</v>
      </c>
      <c r="X20" s="3422">
        <f t="shared" si="0"/>
        <v>6596</v>
      </c>
      <c r="Y20" s="3422">
        <f t="shared" si="1"/>
        <v>2.0000606446526574</v>
      </c>
      <c r="Z20" s="3433">
        <f t="shared" si="15"/>
        <v>2.0000606446526574</v>
      </c>
      <c r="AA20" s="3423">
        <f t="shared" si="2"/>
        <v>28802.53</v>
      </c>
      <c r="AB20" s="3407">
        <f t="shared" si="14"/>
        <v>2.1200642833318168</v>
      </c>
      <c r="AC20" s="3404">
        <f t="shared" si="3"/>
        <v>85066.41</v>
      </c>
      <c r="AD20" s="3446">
        <f>AB20*(1+$Z$1)</f>
        <v>2.2472681403317258</v>
      </c>
      <c r="AE20" s="3404">
        <f t="shared" si="4"/>
        <v>90170.4</v>
      </c>
      <c r="AF20" s="3446">
        <f>AD20*(1+$Z$1)</f>
        <v>2.3821042287516296</v>
      </c>
      <c r="AG20" s="3404">
        <f t="shared" si="5"/>
        <v>95580.62</v>
      </c>
      <c r="AH20" s="3404">
        <v>4</v>
      </c>
      <c r="AI20" s="3399">
        <f t="shared" si="7"/>
        <v>160497.79999999999</v>
      </c>
      <c r="AJ20" s="3404">
        <f t="shared" si="13"/>
        <v>4.0999999999999996</v>
      </c>
      <c r="AK20" s="3404">
        <f t="shared" si="8"/>
        <v>164510.25</v>
      </c>
      <c r="AL20" s="3404">
        <f t="shared" si="11"/>
        <v>4.2024999999999997</v>
      </c>
      <c r="AM20" s="3404">
        <f t="shared" si="9"/>
        <v>168623</v>
      </c>
      <c r="AN20" s="3404"/>
      <c r="AO20" s="3404"/>
      <c r="AP20" s="3404"/>
      <c r="AQ20" s="3404"/>
      <c r="AR20" s="3404"/>
      <c r="AS20" s="3404"/>
      <c r="AT20" s="3404"/>
      <c r="AU20" s="3404"/>
      <c r="AV20" s="3404"/>
      <c r="AW20" s="3404"/>
      <c r="AX20" s="3404"/>
      <c r="AY20" s="3404"/>
      <c r="AZ20" s="3404"/>
      <c r="BA20" s="3404"/>
      <c r="BB20" s="3404"/>
      <c r="BC20" s="3404"/>
      <c r="BD20" s="3404"/>
      <c r="BE20" s="3404"/>
      <c r="BF20" s="3404"/>
    </row>
    <row r="21" spans="1:58" s="3448" customFormat="1" ht="42.75">
      <c r="A21" s="3436" t="s">
        <v>3234</v>
      </c>
      <c r="B21" s="3436" t="s">
        <v>3235</v>
      </c>
      <c r="C21" s="3436" t="s">
        <v>3236</v>
      </c>
      <c r="D21" s="3436" t="s">
        <v>3237</v>
      </c>
      <c r="E21" s="3436" t="s">
        <v>3238</v>
      </c>
      <c r="F21" s="3436" t="s">
        <v>3216</v>
      </c>
      <c r="G21" s="3437" t="s">
        <v>3152</v>
      </c>
      <c r="H21" s="3436" t="s">
        <v>3201</v>
      </c>
      <c r="I21" s="3438">
        <v>0.06</v>
      </c>
      <c r="J21" s="3439">
        <v>42248</v>
      </c>
      <c r="K21" s="3440">
        <v>42248</v>
      </c>
      <c r="L21" s="3417">
        <v>43343</v>
      </c>
      <c r="M21" s="3441">
        <v>12</v>
      </c>
      <c r="N21" s="3436" t="s">
        <v>3154</v>
      </c>
      <c r="O21" s="3437" t="s">
        <v>3155</v>
      </c>
      <c r="P21" s="3436" t="s">
        <v>3226</v>
      </c>
      <c r="Q21" s="3436" t="s">
        <v>3239</v>
      </c>
      <c r="R21" s="3442">
        <v>1</v>
      </c>
      <c r="S21" s="3443">
        <v>107.14</v>
      </c>
      <c r="T21" s="3442">
        <v>107.14</v>
      </c>
      <c r="U21" s="3443">
        <v>17.5</v>
      </c>
      <c r="V21" s="3436" t="s">
        <v>3158</v>
      </c>
      <c r="W21" s="3467" t="s">
        <v>3218</v>
      </c>
      <c r="X21" s="3445">
        <f t="shared" si="0"/>
        <v>1875</v>
      </c>
      <c r="Y21" s="3422">
        <f t="shared" si="1"/>
        <v>0.58334888930371476</v>
      </c>
      <c r="Z21" s="3433">
        <f t="shared" si="15"/>
        <v>0.58334888930371476</v>
      </c>
      <c r="AA21" s="3423">
        <f t="shared" si="2"/>
        <v>8187.5</v>
      </c>
      <c r="AB21" s="3407">
        <f t="shared" si="14"/>
        <v>0.61834982266193772</v>
      </c>
      <c r="AC21" s="3404">
        <f t="shared" si="3"/>
        <v>24181.25</v>
      </c>
      <c r="AD21" s="3446">
        <v>2.2000000000000002</v>
      </c>
      <c r="AE21" s="3404">
        <f t="shared" si="4"/>
        <v>86033.42</v>
      </c>
      <c r="AF21" s="3446">
        <f>AD21*(1+$AF$1)</f>
        <v>2.2549999999999999</v>
      </c>
      <c r="AG21" s="3404">
        <f t="shared" si="5"/>
        <v>88184.26</v>
      </c>
      <c r="AH21" s="3447">
        <f>AF21*(1+$AH$1)</f>
        <v>2.3113749999999995</v>
      </c>
      <c r="AI21" s="3399">
        <f t="shared" si="7"/>
        <v>90388.86</v>
      </c>
      <c r="AJ21" s="3404">
        <f t="shared" si="13"/>
        <v>2.3691593749999993</v>
      </c>
      <c r="AK21" s="3404">
        <f t="shared" si="8"/>
        <v>92648.58</v>
      </c>
      <c r="AL21" s="3404">
        <f t="shared" si="11"/>
        <v>2.4283883593749991</v>
      </c>
      <c r="AM21" s="3404">
        <f t="shared" si="9"/>
        <v>94964.800000000003</v>
      </c>
      <c r="AN21" s="3447"/>
      <c r="AO21" s="3447"/>
      <c r="AP21" s="3447"/>
      <c r="AQ21" s="3447"/>
      <c r="AR21" s="3447"/>
      <c r="AS21" s="3447"/>
      <c r="AT21" s="3447"/>
      <c r="AU21" s="3447"/>
      <c r="AV21" s="3447"/>
      <c r="AW21" s="3447"/>
      <c r="AX21" s="3447"/>
      <c r="AY21" s="3447"/>
      <c r="AZ21" s="3447"/>
      <c r="BA21" s="3447"/>
      <c r="BB21" s="3447"/>
      <c r="BC21" s="3447"/>
      <c r="BD21" s="3447"/>
      <c r="BE21" s="3447"/>
      <c r="BF21" s="3447"/>
    </row>
    <row r="22" spans="1:58" s="3448" customFormat="1" ht="42.75">
      <c r="A22" s="3436" t="s">
        <v>3234</v>
      </c>
      <c r="B22" s="3436" t="s">
        <v>3235</v>
      </c>
      <c r="C22" s="3436" t="s">
        <v>3236</v>
      </c>
      <c r="D22" s="3436" t="s">
        <v>3237</v>
      </c>
      <c r="E22" s="3436" t="s">
        <v>3238</v>
      </c>
      <c r="F22" s="3436" t="s">
        <v>3216</v>
      </c>
      <c r="G22" s="3437" t="s">
        <v>3152</v>
      </c>
      <c r="H22" s="3436" t="s">
        <v>3201</v>
      </c>
      <c r="I22" s="3438">
        <v>0.06</v>
      </c>
      <c r="J22" s="3439">
        <v>42248</v>
      </c>
      <c r="K22" s="3440">
        <v>42248</v>
      </c>
      <c r="L22" s="3417">
        <v>43343</v>
      </c>
      <c r="M22" s="3441">
        <v>3</v>
      </c>
      <c r="N22" s="3436" t="s">
        <v>3154</v>
      </c>
      <c r="O22" s="3437" t="s">
        <v>3155</v>
      </c>
      <c r="P22" s="3436" t="s">
        <v>3226</v>
      </c>
      <c r="Q22" s="3436" t="s">
        <v>3239</v>
      </c>
      <c r="R22" s="3442">
        <v>1</v>
      </c>
      <c r="S22" s="3443">
        <v>107.14</v>
      </c>
      <c r="T22" s="3442">
        <v>107.14</v>
      </c>
      <c r="U22" s="3443">
        <v>17.5</v>
      </c>
      <c r="V22" s="3436" t="s">
        <v>3158</v>
      </c>
      <c r="W22" s="3467" t="s">
        <v>3159</v>
      </c>
      <c r="X22" s="3445">
        <f t="shared" si="0"/>
        <v>1875</v>
      </c>
      <c r="Y22" s="3422">
        <f t="shared" si="1"/>
        <v>0.58334888930371476</v>
      </c>
      <c r="Z22" s="3433">
        <f t="shared" si="15"/>
        <v>0.58334888930371476</v>
      </c>
      <c r="AA22" s="3423">
        <f t="shared" si="2"/>
        <v>8187.5</v>
      </c>
      <c r="AB22" s="3407">
        <f t="shared" si="14"/>
        <v>0.61834982266193772</v>
      </c>
      <c r="AC22" s="3404">
        <f t="shared" si="3"/>
        <v>24181.25</v>
      </c>
      <c r="AD22" s="3446">
        <v>2.2000000000000002</v>
      </c>
      <c r="AE22" s="3404">
        <f t="shared" si="4"/>
        <v>86033.42</v>
      </c>
      <c r="AF22" s="3446">
        <f t="shared" ref="AF22:AF24" si="16">AD22*(1+$AF$1)</f>
        <v>2.2549999999999999</v>
      </c>
      <c r="AG22" s="3404">
        <f t="shared" si="5"/>
        <v>88184.26</v>
      </c>
      <c r="AH22" s="3447">
        <f t="shared" ref="AH22:AH24" si="17">AF22*(1+$AH$1)</f>
        <v>2.3113749999999995</v>
      </c>
      <c r="AI22" s="3399">
        <f t="shared" si="7"/>
        <v>90388.86</v>
      </c>
      <c r="AJ22" s="3404">
        <f t="shared" si="13"/>
        <v>2.3691593749999993</v>
      </c>
      <c r="AK22" s="3404">
        <f t="shared" si="8"/>
        <v>92648.58</v>
      </c>
      <c r="AL22" s="3404">
        <f t="shared" si="11"/>
        <v>2.4283883593749991</v>
      </c>
      <c r="AM22" s="3404">
        <f t="shared" si="9"/>
        <v>94964.800000000003</v>
      </c>
      <c r="AN22" s="3447"/>
      <c r="AO22" s="3447"/>
      <c r="AP22" s="3447"/>
      <c r="AQ22" s="3447"/>
      <c r="AR22" s="3447"/>
      <c r="AS22" s="3447"/>
      <c r="AT22" s="3447"/>
      <c r="AU22" s="3447"/>
      <c r="AV22" s="3447"/>
      <c r="AW22" s="3447"/>
      <c r="AX22" s="3447"/>
      <c r="AY22" s="3447"/>
      <c r="AZ22" s="3447"/>
      <c r="BA22" s="3447"/>
      <c r="BB22" s="3447"/>
      <c r="BC22" s="3447"/>
      <c r="BD22" s="3447"/>
      <c r="BE22" s="3447"/>
      <c r="BF22" s="3447"/>
    </row>
    <row r="23" spans="1:58" s="3448" customFormat="1" ht="42.75">
      <c r="A23" s="3436" t="s">
        <v>3240</v>
      </c>
      <c r="B23" s="3436" t="s">
        <v>3235</v>
      </c>
      <c r="C23" s="3436" t="s">
        <v>3236</v>
      </c>
      <c r="D23" s="3436" t="s">
        <v>3237</v>
      </c>
      <c r="E23" s="3436" t="s">
        <v>3238</v>
      </c>
      <c r="F23" s="3436" t="s">
        <v>3216</v>
      </c>
      <c r="G23" s="3437" t="s">
        <v>3152</v>
      </c>
      <c r="H23" s="3436" t="s">
        <v>3201</v>
      </c>
      <c r="I23" s="3438">
        <v>0.06</v>
      </c>
      <c r="J23" s="3439">
        <v>42248</v>
      </c>
      <c r="K23" s="3440">
        <v>42248</v>
      </c>
      <c r="L23" s="3417">
        <v>43343</v>
      </c>
      <c r="M23" s="3441">
        <v>12</v>
      </c>
      <c r="N23" s="3436" t="s">
        <v>3154</v>
      </c>
      <c r="O23" s="3437" t="s">
        <v>3155</v>
      </c>
      <c r="P23" s="3436" t="s">
        <v>3226</v>
      </c>
      <c r="Q23" s="3436" t="s">
        <v>3241</v>
      </c>
      <c r="R23" s="3442">
        <v>1</v>
      </c>
      <c r="S23" s="3443">
        <v>98.15</v>
      </c>
      <c r="T23" s="3442">
        <v>98.15</v>
      </c>
      <c r="U23" s="3443">
        <v>17.5</v>
      </c>
      <c r="V23" s="3436" t="s">
        <v>3158</v>
      </c>
      <c r="W23" s="3467" t="s">
        <v>3218</v>
      </c>
      <c r="X23" s="3445">
        <f t="shared" si="0"/>
        <v>1718</v>
      </c>
      <c r="Y23" s="3422">
        <f t="shared" si="1"/>
        <v>0.5834606894209543</v>
      </c>
      <c r="Z23" s="3433">
        <f t="shared" si="15"/>
        <v>0.5834606894209543</v>
      </c>
      <c r="AA23" s="3423">
        <f t="shared" si="2"/>
        <v>7501.93</v>
      </c>
      <c r="AB23" s="3407">
        <f t="shared" si="14"/>
        <v>0.61846833078621155</v>
      </c>
      <c r="AC23" s="3404">
        <f t="shared" si="3"/>
        <v>22156.47</v>
      </c>
      <c r="AD23" s="3446">
        <v>2.2000000000000002</v>
      </c>
      <c r="AE23" s="3404">
        <f t="shared" si="4"/>
        <v>78814.45</v>
      </c>
      <c r="AF23" s="3446">
        <f t="shared" si="16"/>
        <v>2.2549999999999999</v>
      </c>
      <c r="AG23" s="3404">
        <f t="shared" si="5"/>
        <v>80784.81</v>
      </c>
      <c r="AH23" s="3447">
        <f t="shared" si="17"/>
        <v>2.3113749999999995</v>
      </c>
      <c r="AI23" s="3399">
        <f t="shared" si="7"/>
        <v>82804.429999999993</v>
      </c>
      <c r="AJ23" s="3404">
        <f t="shared" si="13"/>
        <v>2.3691593749999993</v>
      </c>
      <c r="AK23" s="3404">
        <f t="shared" si="8"/>
        <v>84874.54</v>
      </c>
      <c r="AL23" s="3404">
        <f t="shared" si="11"/>
        <v>2.4283883593749991</v>
      </c>
      <c r="AM23" s="3404">
        <f t="shared" si="9"/>
        <v>86996.41</v>
      </c>
      <c r="AN23" s="3447"/>
      <c r="AO23" s="3447"/>
      <c r="AP23" s="3447"/>
      <c r="AQ23" s="3447"/>
      <c r="AR23" s="3447"/>
      <c r="AS23" s="3447"/>
      <c r="AT23" s="3447"/>
      <c r="AU23" s="3447"/>
      <c r="AV23" s="3447"/>
      <c r="AW23" s="3447"/>
      <c r="AX23" s="3447"/>
      <c r="AY23" s="3447"/>
      <c r="AZ23" s="3447"/>
      <c r="BA23" s="3447"/>
      <c r="BB23" s="3447"/>
      <c r="BC23" s="3447"/>
      <c r="BD23" s="3447"/>
      <c r="BE23" s="3447"/>
      <c r="BF23" s="3447"/>
    </row>
    <row r="24" spans="1:58" s="3448" customFormat="1" ht="42.75">
      <c r="A24" s="3436" t="s">
        <v>3240</v>
      </c>
      <c r="B24" s="3436" t="s">
        <v>3235</v>
      </c>
      <c r="C24" s="3436" t="s">
        <v>3236</v>
      </c>
      <c r="D24" s="3436" t="s">
        <v>3237</v>
      </c>
      <c r="E24" s="3436" t="s">
        <v>3238</v>
      </c>
      <c r="F24" s="3436" t="s">
        <v>3216</v>
      </c>
      <c r="G24" s="3437" t="s">
        <v>3152</v>
      </c>
      <c r="H24" s="3436" t="s">
        <v>3201</v>
      </c>
      <c r="I24" s="3438">
        <v>0.06</v>
      </c>
      <c r="J24" s="3439">
        <v>42248</v>
      </c>
      <c r="K24" s="3440">
        <v>42248</v>
      </c>
      <c r="L24" s="3417">
        <v>43343</v>
      </c>
      <c r="M24" s="3441">
        <v>3</v>
      </c>
      <c r="N24" s="3436" t="s">
        <v>3154</v>
      </c>
      <c r="O24" s="3437" t="s">
        <v>3155</v>
      </c>
      <c r="P24" s="3436" t="s">
        <v>3226</v>
      </c>
      <c r="Q24" s="3436" t="s">
        <v>3241</v>
      </c>
      <c r="R24" s="3442">
        <v>1</v>
      </c>
      <c r="S24" s="3443">
        <v>98.15</v>
      </c>
      <c r="T24" s="3442">
        <v>98.15</v>
      </c>
      <c r="U24" s="3443">
        <v>17.5</v>
      </c>
      <c r="V24" s="3436" t="s">
        <v>3158</v>
      </c>
      <c r="W24" s="3467" t="s">
        <v>3159</v>
      </c>
      <c r="X24" s="3445">
        <f t="shared" si="0"/>
        <v>1718</v>
      </c>
      <c r="Y24" s="3422">
        <f t="shared" si="1"/>
        <v>0.5834606894209543</v>
      </c>
      <c r="Z24" s="3433">
        <f t="shared" si="15"/>
        <v>0.5834606894209543</v>
      </c>
      <c r="AA24" s="3423">
        <f t="shared" si="2"/>
        <v>7501.93</v>
      </c>
      <c r="AB24" s="3407">
        <f t="shared" si="14"/>
        <v>0.61846833078621155</v>
      </c>
      <c r="AC24" s="3404">
        <f t="shared" si="3"/>
        <v>22156.47</v>
      </c>
      <c r="AD24" s="3446">
        <v>2.2000000000000002</v>
      </c>
      <c r="AE24" s="3404">
        <f t="shared" si="4"/>
        <v>78814.45</v>
      </c>
      <c r="AF24" s="3446">
        <f t="shared" si="16"/>
        <v>2.2549999999999999</v>
      </c>
      <c r="AG24" s="3404">
        <f t="shared" si="5"/>
        <v>80784.81</v>
      </c>
      <c r="AH24" s="3447">
        <f t="shared" si="17"/>
        <v>2.3113749999999995</v>
      </c>
      <c r="AI24" s="3399">
        <f t="shared" si="7"/>
        <v>82804.429999999993</v>
      </c>
      <c r="AJ24" s="3404">
        <f t="shared" si="13"/>
        <v>2.3691593749999993</v>
      </c>
      <c r="AK24" s="3404">
        <f t="shared" si="8"/>
        <v>84874.54</v>
      </c>
      <c r="AL24" s="3404">
        <f t="shared" si="11"/>
        <v>2.4283883593749991</v>
      </c>
      <c r="AM24" s="3404">
        <f t="shared" si="9"/>
        <v>86996.41</v>
      </c>
      <c r="AN24" s="3447"/>
      <c r="AO24" s="3447"/>
      <c r="AP24" s="3447"/>
      <c r="AQ24" s="3447"/>
      <c r="AR24" s="3447"/>
      <c r="AS24" s="3447"/>
      <c r="AT24" s="3447"/>
      <c r="AU24" s="3447"/>
      <c r="AV24" s="3447"/>
      <c r="AW24" s="3447"/>
      <c r="AX24" s="3447"/>
      <c r="AY24" s="3447"/>
      <c r="AZ24" s="3447"/>
      <c r="BA24" s="3447"/>
      <c r="BB24" s="3447"/>
      <c r="BC24" s="3447"/>
      <c r="BD24" s="3447"/>
      <c r="BE24" s="3447"/>
      <c r="BF24" s="3447"/>
    </row>
    <row r="25" spans="1:58" s="3399" customFormat="1" ht="42.75">
      <c r="A25" s="3414" t="s">
        <v>3242</v>
      </c>
      <c r="B25" s="3414" t="s">
        <v>3243</v>
      </c>
      <c r="C25" s="3414" t="s">
        <v>3244</v>
      </c>
      <c r="D25" s="3414" t="s">
        <v>3245</v>
      </c>
      <c r="E25" s="3414" t="s">
        <v>3246</v>
      </c>
      <c r="F25" s="3414" t="s">
        <v>3216</v>
      </c>
      <c r="G25" s="3413" t="s">
        <v>3152</v>
      </c>
      <c r="H25" s="3414" t="s">
        <v>3201</v>
      </c>
      <c r="I25" s="3449">
        <v>0.06</v>
      </c>
      <c r="J25" s="3450">
        <v>42217</v>
      </c>
      <c r="K25" s="3416">
        <v>42217</v>
      </c>
      <c r="L25" s="3417">
        <v>44043</v>
      </c>
      <c r="M25" s="3418">
        <v>13</v>
      </c>
      <c r="N25" s="3414" t="s">
        <v>3154</v>
      </c>
      <c r="O25" s="3413" t="s">
        <v>3155</v>
      </c>
      <c r="P25" s="3414" t="s">
        <v>3247</v>
      </c>
      <c r="Q25" s="3414" t="s">
        <v>3248</v>
      </c>
      <c r="R25" s="3420">
        <v>1</v>
      </c>
      <c r="S25" s="3419">
        <v>56.26</v>
      </c>
      <c r="T25" s="3420">
        <v>56.26</v>
      </c>
      <c r="U25" s="3419">
        <v>30</v>
      </c>
      <c r="V25" s="3414" t="s">
        <v>3158</v>
      </c>
      <c r="W25" s="3432" t="s">
        <v>3218</v>
      </c>
      <c r="X25" s="3422">
        <f t="shared" si="0"/>
        <v>1688</v>
      </c>
      <c r="Y25" s="3422">
        <f t="shared" si="1"/>
        <v>1.0001184974523047</v>
      </c>
      <c r="Z25" s="3433">
        <f t="shared" si="15"/>
        <v>1.0001184974523047</v>
      </c>
      <c r="AA25" s="3423">
        <f t="shared" si="2"/>
        <v>7370.93</v>
      </c>
      <c r="AB25" s="3407">
        <f t="shared" si="14"/>
        <v>1.0601256072994432</v>
      </c>
      <c r="AC25" s="3404">
        <f t="shared" si="3"/>
        <v>21769.57</v>
      </c>
      <c r="AD25" s="3446">
        <f t="shared" ref="AD25:AD30" si="18">AB25*(1+$Z$1)</f>
        <v>1.1237331437374098</v>
      </c>
      <c r="AE25" s="3404">
        <f t="shared" si="4"/>
        <v>23075.75</v>
      </c>
      <c r="AF25" s="3446">
        <f t="shared" ref="AF25:AF30" si="19">AD25*(1+$Z$1)</f>
        <v>1.1911571323616545</v>
      </c>
      <c r="AG25" s="3404">
        <f t="shared" si="5"/>
        <v>24460.29</v>
      </c>
      <c r="AH25" s="3404">
        <v>4</v>
      </c>
      <c r="AI25" s="3399">
        <f t="shared" si="7"/>
        <v>82139.600000000006</v>
      </c>
      <c r="AJ25" s="3404">
        <f t="shared" si="13"/>
        <v>4.0999999999999996</v>
      </c>
      <c r="AK25" s="3404">
        <f t="shared" si="8"/>
        <v>84193.09</v>
      </c>
      <c r="AL25" s="3404">
        <f t="shared" si="11"/>
        <v>4.2024999999999997</v>
      </c>
      <c r="AM25" s="3404">
        <f t="shared" si="9"/>
        <v>86297.919999999998</v>
      </c>
      <c r="AN25" s="3404"/>
      <c r="AO25" s="3404"/>
      <c r="AP25" s="3404"/>
      <c r="AQ25" s="3404"/>
      <c r="AR25" s="3404"/>
      <c r="AS25" s="3404"/>
      <c r="AT25" s="3404"/>
      <c r="AU25" s="3404"/>
      <c r="AV25" s="3404"/>
      <c r="AW25" s="3404"/>
      <c r="AX25" s="3404"/>
      <c r="AY25" s="3404"/>
      <c r="AZ25" s="3404"/>
      <c r="BA25" s="3404"/>
      <c r="BB25" s="3404"/>
      <c r="BC25" s="3404"/>
      <c r="BD25" s="3404"/>
      <c r="BE25" s="3404"/>
      <c r="BF25" s="3404"/>
    </row>
    <row r="26" spans="1:58" s="3399" customFormat="1" ht="42.75">
      <c r="A26" s="3414" t="s">
        <v>3242</v>
      </c>
      <c r="B26" s="3414" t="s">
        <v>3243</v>
      </c>
      <c r="C26" s="3414" t="s">
        <v>3244</v>
      </c>
      <c r="D26" s="3414" t="s">
        <v>3245</v>
      </c>
      <c r="E26" s="3414" t="s">
        <v>3246</v>
      </c>
      <c r="F26" s="3414" t="s">
        <v>3216</v>
      </c>
      <c r="G26" s="3413" t="s">
        <v>3152</v>
      </c>
      <c r="H26" s="3414" t="s">
        <v>3201</v>
      </c>
      <c r="I26" s="3449">
        <v>0.06</v>
      </c>
      <c r="J26" s="3450">
        <v>42217</v>
      </c>
      <c r="K26" s="3416">
        <v>42217</v>
      </c>
      <c r="L26" s="3417">
        <v>44043</v>
      </c>
      <c r="M26" s="3418">
        <v>6</v>
      </c>
      <c r="N26" s="3414" t="s">
        <v>3154</v>
      </c>
      <c r="O26" s="3413" t="s">
        <v>3155</v>
      </c>
      <c r="P26" s="3414" t="s">
        <v>3247</v>
      </c>
      <c r="Q26" s="3414" t="s">
        <v>3248</v>
      </c>
      <c r="R26" s="3420">
        <v>1</v>
      </c>
      <c r="S26" s="3419">
        <v>56.26</v>
      </c>
      <c r="T26" s="3420">
        <v>56.26</v>
      </c>
      <c r="U26" s="3419">
        <v>30</v>
      </c>
      <c r="V26" s="3414" t="s">
        <v>3158</v>
      </c>
      <c r="W26" s="3432" t="s">
        <v>3159</v>
      </c>
      <c r="X26" s="3422">
        <f t="shared" si="0"/>
        <v>1688</v>
      </c>
      <c r="Y26" s="3422">
        <f t="shared" si="1"/>
        <v>1.0001184974523047</v>
      </c>
      <c r="Z26" s="3433">
        <f t="shared" si="15"/>
        <v>1.0001184974523047</v>
      </c>
      <c r="AA26" s="3423">
        <f t="shared" si="2"/>
        <v>7370.93</v>
      </c>
      <c r="AB26" s="3407">
        <f t="shared" si="14"/>
        <v>1.0601256072994432</v>
      </c>
      <c r="AC26" s="3404">
        <f t="shared" si="3"/>
        <v>21769.57</v>
      </c>
      <c r="AD26" s="3446">
        <f t="shared" si="18"/>
        <v>1.1237331437374098</v>
      </c>
      <c r="AE26" s="3404">
        <f t="shared" si="4"/>
        <v>23075.75</v>
      </c>
      <c r="AF26" s="3446">
        <f t="shared" si="19"/>
        <v>1.1911571323616545</v>
      </c>
      <c r="AG26" s="3404">
        <f t="shared" si="5"/>
        <v>24460.29</v>
      </c>
      <c r="AH26" s="3404">
        <v>4</v>
      </c>
      <c r="AI26" s="3399">
        <f t="shared" si="7"/>
        <v>82139.600000000006</v>
      </c>
      <c r="AJ26" s="3404">
        <f t="shared" si="13"/>
        <v>4.0999999999999996</v>
      </c>
      <c r="AK26" s="3404">
        <f t="shared" si="8"/>
        <v>84193.09</v>
      </c>
      <c r="AL26" s="3404">
        <f t="shared" si="11"/>
        <v>4.2024999999999997</v>
      </c>
      <c r="AM26" s="3404">
        <f t="shared" si="9"/>
        <v>86297.919999999998</v>
      </c>
      <c r="AN26" s="3404"/>
      <c r="AO26" s="3404"/>
      <c r="AP26" s="3404"/>
      <c r="AQ26" s="3404"/>
      <c r="AR26" s="3404"/>
      <c r="AS26" s="3404"/>
      <c r="AT26" s="3404"/>
      <c r="AU26" s="3404"/>
      <c r="AV26" s="3404"/>
      <c r="AW26" s="3404"/>
      <c r="AX26" s="3404"/>
      <c r="AY26" s="3404"/>
      <c r="AZ26" s="3404"/>
      <c r="BA26" s="3404"/>
      <c r="BB26" s="3404"/>
      <c r="BC26" s="3404"/>
      <c r="BD26" s="3404"/>
      <c r="BE26" s="3404"/>
      <c r="BF26" s="3404"/>
    </row>
    <row r="27" spans="1:58" s="3399" customFormat="1" ht="42.75">
      <c r="A27" s="3469" t="s">
        <v>3249</v>
      </c>
      <c r="B27" s="3469" t="s">
        <v>3250</v>
      </c>
      <c r="C27" s="3414" t="s">
        <v>3251</v>
      </c>
      <c r="D27" s="3414" t="s">
        <v>3252</v>
      </c>
      <c r="E27" s="3414" t="s">
        <v>3238</v>
      </c>
      <c r="F27" s="3414" t="s">
        <v>3151</v>
      </c>
      <c r="G27" s="3413" t="s">
        <v>3152</v>
      </c>
      <c r="H27" s="3414" t="s">
        <v>3201</v>
      </c>
      <c r="I27" s="3449">
        <v>0.06</v>
      </c>
      <c r="J27" s="3450">
        <v>42287</v>
      </c>
      <c r="K27" s="3416">
        <v>42309</v>
      </c>
      <c r="L27" s="3417">
        <v>44135</v>
      </c>
      <c r="M27" s="3418">
        <v>0</v>
      </c>
      <c r="N27" s="3414" t="s">
        <v>3154</v>
      </c>
      <c r="O27" s="3413" t="s">
        <v>3155</v>
      </c>
      <c r="P27" s="3413" t="s">
        <v>3253</v>
      </c>
      <c r="Q27" s="3414" t="s">
        <v>3254</v>
      </c>
      <c r="R27" s="3420">
        <v>1</v>
      </c>
      <c r="S27" s="3419">
        <v>130.02000000000001</v>
      </c>
      <c r="T27" s="3420">
        <v>130.02000000000001</v>
      </c>
      <c r="U27" s="3419">
        <v>15</v>
      </c>
      <c r="V27" s="3414" t="s">
        <v>3158</v>
      </c>
      <c r="W27" s="3432" t="s">
        <v>3218</v>
      </c>
      <c r="X27" s="3422">
        <f t="shared" si="0"/>
        <v>1950</v>
      </c>
      <c r="Y27" s="3422">
        <f t="shared" si="1"/>
        <v>0.49992308875557601</v>
      </c>
      <c r="Z27" s="3433">
        <f t="shared" si="15"/>
        <v>0.49992308875557601</v>
      </c>
      <c r="AA27" s="3423">
        <f t="shared" si="2"/>
        <v>8515</v>
      </c>
      <c r="AB27" s="3407">
        <f t="shared" si="14"/>
        <v>0.52991847408091064</v>
      </c>
      <c r="AC27" s="3404">
        <f t="shared" si="3"/>
        <v>25148.5</v>
      </c>
      <c r="AD27" s="3446">
        <f t="shared" si="18"/>
        <v>0.56171358252576531</v>
      </c>
      <c r="AE27" s="3404">
        <f t="shared" si="4"/>
        <v>26657.41</v>
      </c>
      <c r="AF27" s="3446">
        <f t="shared" si="19"/>
        <v>0.59541639747731123</v>
      </c>
      <c r="AG27" s="3404">
        <f t="shared" si="5"/>
        <v>28256.85</v>
      </c>
      <c r="AH27" s="3404">
        <v>4</v>
      </c>
      <c r="AI27" s="3399">
        <f t="shared" si="7"/>
        <v>189829.2</v>
      </c>
      <c r="AJ27" s="3404">
        <f t="shared" si="13"/>
        <v>4.0999999999999996</v>
      </c>
      <c r="AK27" s="3404">
        <f t="shared" si="8"/>
        <v>194574.93</v>
      </c>
      <c r="AL27" s="3404">
        <f t="shared" si="11"/>
        <v>4.2024999999999997</v>
      </c>
      <c r="AM27" s="3404">
        <f t="shared" si="9"/>
        <v>199439.3</v>
      </c>
      <c r="AN27" s="3404"/>
      <c r="AO27" s="3404"/>
      <c r="AP27" s="3404"/>
      <c r="AQ27" s="3404"/>
      <c r="AR27" s="3404"/>
      <c r="AS27" s="3404"/>
      <c r="AT27" s="3404"/>
      <c r="AU27" s="3404"/>
      <c r="AV27" s="3404"/>
      <c r="AW27" s="3404"/>
      <c r="AX27" s="3404"/>
      <c r="AY27" s="3404"/>
      <c r="AZ27" s="3404"/>
      <c r="BA27" s="3404"/>
      <c r="BB27" s="3404"/>
      <c r="BC27" s="3404"/>
      <c r="BD27" s="3404"/>
      <c r="BE27" s="3404"/>
      <c r="BF27" s="3404"/>
    </row>
    <row r="28" spans="1:58" s="3399" customFormat="1" ht="42.75">
      <c r="A28" s="3469" t="s">
        <v>3249</v>
      </c>
      <c r="B28" s="3469" t="s">
        <v>3250</v>
      </c>
      <c r="C28" s="3414" t="s">
        <v>3251</v>
      </c>
      <c r="D28" s="3414" t="s">
        <v>3252</v>
      </c>
      <c r="E28" s="3414" t="s">
        <v>3238</v>
      </c>
      <c r="F28" s="3414" t="s">
        <v>3151</v>
      </c>
      <c r="G28" s="3413" t="s">
        <v>3152</v>
      </c>
      <c r="H28" s="3414" t="s">
        <v>3201</v>
      </c>
      <c r="I28" s="3449">
        <v>0.06</v>
      </c>
      <c r="J28" s="3450">
        <v>42287</v>
      </c>
      <c r="K28" s="3416">
        <v>42309</v>
      </c>
      <c r="L28" s="3417">
        <v>44135</v>
      </c>
      <c r="M28" s="3418">
        <v>12</v>
      </c>
      <c r="N28" s="3414" t="s">
        <v>3154</v>
      </c>
      <c r="O28" s="3413" t="s">
        <v>3155</v>
      </c>
      <c r="P28" s="3413" t="s">
        <v>3253</v>
      </c>
      <c r="Q28" s="3414" t="s">
        <v>3254</v>
      </c>
      <c r="R28" s="3420">
        <v>1</v>
      </c>
      <c r="S28" s="3419">
        <v>130.02000000000001</v>
      </c>
      <c r="T28" s="3420">
        <v>130.02000000000001</v>
      </c>
      <c r="U28" s="3419">
        <v>15</v>
      </c>
      <c r="V28" s="3414" t="s">
        <v>3158</v>
      </c>
      <c r="W28" s="3432" t="s">
        <v>3159</v>
      </c>
      <c r="X28" s="3422">
        <f t="shared" si="0"/>
        <v>1950</v>
      </c>
      <c r="Y28" s="3422">
        <f t="shared" si="1"/>
        <v>0.49992308875557601</v>
      </c>
      <c r="Z28" s="3433">
        <f t="shared" si="15"/>
        <v>0.49992308875557601</v>
      </c>
      <c r="AA28" s="3423">
        <f t="shared" si="2"/>
        <v>8515</v>
      </c>
      <c r="AB28" s="3407">
        <f t="shared" si="14"/>
        <v>0.52991847408091064</v>
      </c>
      <c r="AC28" s="3404">
        <f t="shared" si="3"/>
        <v>25148.5</v>
      </c>
      <c r="AD28" s="3446">
        <f t="shared" si="18"/>
        <v>0.56171358252576531</v>
      </c>
      <c r="AE28" s="3404">
        <f t="shared" si="4"/>
        <v>26657.41</v>
      </c>
      <c r="AF28" s="3446">
        <f t="shared" si="19"/>
        <v>0.59541639747731123</v>
      </c>
      <c r="AG28" s="3404">
        <f t="shared" si="5"/>
        <v>28256.85</v>
      </c>
      <c r="AH28" s="3404">
        <v>4</v>
      </c>
      <c r="AI28" s="3399">
        <f t="shared" si="7"/>
        <v>189829.2</v>
      </c>
      <c r="AJ28" s="3404">
        <f t="shared" si="13"/>
        <v>4.0999999999999996</v>
      </c>
      <c r="AK28" s="3404">
        <f t="shared" si="8"/>
        <v>194574.93</v>
      </c>
      <c r="AL28" s="3404">
        <f t="shared" si="11"/>
        <v>4.2024999999999997</v>
      </c>
      <c r="AM28" s="3404">
        <f t="shared" si="9"/>
        <v>199439.3</v>
      </c>
      <c r="AN28" s="3404"/>
      <c r="AO28" s="3404"/>
      <c r="AP28" s="3404"/>
      <c r="AQ28" s="3404"/>
      <c r="AR28" s="3404"/>
      <c r="AS28" s="3404"/>
      <c r="AT28" s="3404"/>
      <c r="AU28" s="3404"/>
      <c r="AV28" s="3404"/>
      <c r="AW28" s="3404"/>
      <c r="AX28" s="3404"/>
      <c r="AY28" s="3404"/>
      <c r="AZ28" s="3404"/>
      <c r="BA28" s="3404"/>
      <c r="BB28" s="3404"/>
      <c r="BC28" s="3404"/>
      <c r="BD28" s="3404"/>
      <c r="BE28" s="3404"/>
      <c r="BF28" s="3404"/>
    </row>
    <row r="29" spans="1:58" s="3399" customFormat="1" ht="42.75">
      <c r="A29" s="3469" t="s">
        <v>3255</v>
      </c>
      <c r="B29" s="3414" t="s">
        <v>3256</v>
      </c>
      <c r="C29" s="3414" t="s">
        <v>3257</v>
      </c>
      <c r="D29" s="3414" t="s">
        <v>3252</v>
      </c>
      <c r="E29" s="3414" t="s">
        <v>3238</v>
      </c>
      <c r="F29" s="3414" t="s">
        <v>3151</v>
      </c>
      <c r="G29" s="3413" t="s">
        <v>3152</v>
      </c>
      <c r="H29" s="3414" t="s">
        <v>3201</v>
      </c>
      <c r="I29" s="3449">
        <v>0.06</v>
      </c>
      <c r="J29" s="3450">
        <v>42226</v>
      </c>
      <c r="K29" s="3416">
        <v>42309</v>
      </c>
      <c r="L29" s="3417">
        <v>44135</v>
      </c>
      <c r="M29" s="3418">
        <v>0</v>
      </c>
      <c r="N29" s="3414" t="s">
        <v>3154</v>
      </c>
      <c r="O29" s="3413" t="s">
        <v>3155</v>
      </c>
      <c r="P29" s="3413" t="s">
        <v>3253</v>
      </c>
      <c r="Q29" s="3414" t="s">
        <v>3258</v>
      </c>
      <c r="R29" s="3420">
        <v>4</v>
      </c>
      <c r="S29" s="3419">
        <v>2084.5500000000002</v>
      </c>
      <c r="T29" s="3420">
        <v>2084.5500000000002</v>
      </c>
      <c r="U29" s="3419">
        <v>15.9</v>
      </c>
      <c r="V29" s="3414" t="s">
        <v>3158</v>
      </c>
      <c r="W29" s="3432" t="s">
        <v>3218</v>
      </c>
      <c r="X29" s="3422">
        <f t="shared" si="0"/>
        <v>33144</v>
      </c>
      <c r="Y29" s="3422">
        <f t="shared" si="1"/>
        <v>0.52999448322179843</v>
      </c>
      <c r="Z29" s="3433">
        <f t="shared" si="15"/>
        <v>0.52999448322179843</v>
      </c>
      <c r="AA29" s="3423">
        <f t="shared" si="2"/>
        <v>144728.79999999999</v>
      </c>
      <c r="AB29" s="3407">
        <f t="shared" si="14"/>
        <v>0.56179415221510631</v>
      </c>
      <c r="AC29" s="3404">
        <f t="shared" si="3"/>
        <v>427447.12</v>
      </c>
      <c r="AD29" s="3446">
        <f t="shared" si="18"/>
        <v>0.59550180134801267</v>
      </c>
      <c r="AE29" s="3404">
        <f t="shared" si="4"/>
        <v>453093.95</v>
      </c>
      <c r="AF29" s="3446">
        <f t="shared" si="19"/>
        <v>0.63123190942889351</v>
      </c>
      <c r="AG29" s="3404">
        <f t="shared" si="5"/>
        <v>480279.58</v>
      </c>
      <c r="AH29" s="3404">
        <v>4</v>
      </c>
      <c r="AI29" s="3399">
        <f t="shared" si="7"/>
        <v>3043443</v>
      </c>
      <c r="AJ29" s="3404">
        <f t="shared" si="13"/>
        <v>4.0999999999999996</v>
      </c>
      <c r="AK29" s="3404">
        <f t="shared" si="8"/>
        <v>3119529.08</v>
      </c>
      <c r="AL29" s="3404">
        <f t="shared" si="11"/>
        <v>4.2024999999999997</v>
      </c>
      <c r="AM29" s="3404">
        <f t="shared" si="9"/>
        <v>3197517.3</v>
      </c>
      <c r="AN29" s="3404"/>
      <c r="AO29" s="3404"/>
      <c r="AP29" s="3404"/>
      <c r="AQ29" s="3404"/>
      <c r="AR29" s="3404"/>
      <c r="AS29" s="3404"/>
      <c r="AT29" s="3404"/>
      <c r="AU29" s="3404"/>
      <c r="AV29" s="3404"/>
      <c r="AW29" s="3404"/>
      <c r="AX29" s="3404"/>
      <c r="AY29" s="3404"/>
      <c r="AZ29" s="3404"/>
      <c r="BA29" s="3404"/>
      <c r="BB29" s="3404"/>
      <c r="BC29" s="3404"/>
      <c r="BD29" s="3404"/>
      <c r="BE29" s="3404"/>
      <c r="BF29" s="3404"/>
    </row>
    <row r="30" spans="1:58" s="3399" customFormat="1" ht="42.75">
      <c r="A30" s="3469" t="s">
        <v>3255</v>
      </c>
      <c r="B30" s="3414" t="s">
        <v>3256</v>
      </c>
      <c r="C30" s="3414" t="s">
        <v>3257</v>
      </c>
      <c r="D30" s="3414" t="s">
        <v>3252</v>
      </c>
      <c r="E30" s="3414" t="s">
        <v>3238</v>
      </c>
      <c r="F30" s="3414" t="s">
        <v>3151</v>
      </c>
      <c r="G30" s="3413" t="s">
        <v>3152</v>
      </c>
      <c r="H30" s="3414" t="s">
        <v>3201</v>
      </c>
      <c r="I30" s="3449">
        <v>0.06</v>
      </c>
      <c r="J30" s="3450">
        <v>42226</v>
      </c>
      <c r="K30" s="3416">
        <v>42309</v>
      </c>
      <c r="L30" s="3417">
        <v>44135</v>
      </c>
      <c r="M30" s="3418">
        <v>12</v>
      </c>
      <c r="N30" s="3414" t="s">
        <v>3154</v>
      </c>
      <c r="O30" s="3413" t="s">
        <v>3155</v>
      </c>
      <c r="P30" s="3413" t="s">
        <v>3253</v>
      </c>
      <c r="Q30" s="3414" t="s">
        <v>3258</v>
      </c>
      <c r="R30" s="3420">
        <v>4</v>
      </c>
      <c r="S30" s="3419">
        <v>2084.5500000000002</v>
      </c>
      <c r="T30" s="3420">
        <v>2084.5500000000002</v>
      </c>
      <c r="U30" s="3419">
        <v>15.9</v>
      </c>
      <c r="V30" s="3414" t="s">
        <v>3158</v>
      </c>
      <c r="W30" s="3432" t="s">
        <v>3159</v>
      </c>
      <c r="X30" s="3422">
        <f t="shared" si="0"/>
        <v>33144</v>
      </c>
      <c r="Y30" s="3422">
        <f t="shared" si="1"/>
        <v>0.52999448322179843</v>
      </c>
      <c r="Z30" s="3433">
        <f t="shared" si="15"/>
        <v>0.52999448322179843</v>
      </c>
      <c r="AA30" s="3423">
        <f t="shared" si="2"/>
        <v>144728.79999999999</v>
      </c>
      <c r="AB30" s="3407">
        <f t="shared" si="14"/>
        <v>0.56179415221510631</v>
      </c>
      <c r="AC30" s="3404">
        <f t="shared" si="3"/>
        <v>427447.12</v>
      </c>
      <c r="AD30" s="3446">
        <f t="shared" si="18"/>
        <v>0.59550180134801267</v>
      </c>
      <c r="AE30" s="3404">
        <f t="shared" si="4"/>
        <v>453093.95</v>
      </c>
      <c r="AF30" s="3446">
        <f t="shared" si="19"/>
        <v>0.63123190942889351</v>
      </c>
      <c r="AG30" s="3404">
        <f t="shared" si="5"/>
        <v>480279.58</v>
      </c>
      <c r="AH30" s="3404">
        <v>4</v>
      </c>
      <c r="AI30" s="3399">
        <f t="shared" si="7"/>
        <v>3043443</v>
      </c>
      <c r="AJ30" s="3404">
        <f t="shared" si="13"/>
        <v>4.0999999999999996</v>
      </c>
      <c r="AK30" s="3404">
        <f t="shared" si="8"/>
        <v>3119529.08</v>
      </c>
      <c r="AL30" s="3404">
        <f t="shared" si="11"/>
        <v>4.2024999999999997</v>
      </c>
      <c r="AM30" s="3404">
        <f t="shared" si="9"/>
        <v>3197517.3</v>
      </c>
      <c r="AN30" s="3404"/>
      <c r="AO30" s="3404"/>
      <c r="AP30" s="3404"/>
      <c r="AQ30" s="3404"/>
      <c r="AR30" s="3404"/>
      <c r="AS30" s="3404"/>
      <c r="AT30" s="3404"/>
      <c r="AU30" s="3404"/>
      <c r="AV30" s="3404"/>
      <c r="AW30" s="3404"/>
      <c r="AX30" s="3404"/>
      <c r="AY30" s="3404"/>
      <c r="AZ30" s="3404"/>
      <c r="BA30" s="3404"/>
      <c r="BB30" s="3404"/>
      <c r="BC30" s="3404"/>
      <c r="BD30" s="3404"/>
      <c r="BE30" s="3404"/>
      <c r="BF30" s="3404"/>
    </row>
    <row r="31" spans="1:58" s="3448" customFormat="1" ht="42.75">
      <c r="A31" s="3436" t="s">
        <v>3259</v>
      </c>
      <c r="B31" s="3437" t="s">
        <v>3260</v>
      </c>
      <c r="C31" s="3437" t="s">
        <v>3261</v>
      </c>
      <c r="D31" s="3437" t="s">
        <v>3262</v>
      </c>
      <c r="E31" s="3437" t="s">
        <v>3200</v>
      </c>
      <c r="F31" s="3436" t="s">
        <v>3151</v>
      </c>
      <c r="G31" s="3437" t="s">
        <v>3152</v>
      </c>
      <c r="H31" s="3437" t="s">
        <v>3201</v>
      </c>
      <c r="I31" s="3466">
        <v>0.06</v>
      </c>
      <c r="J31" s="3440">
        <v>42229</v>
      </c>
      <c r="K31" s="3440">
        <v>42248</v>
      </c>
      <c r="L31" s="3417">
        <v>43343</v>
      </c>
      <c r="M31" s="3441">
        <v>0</v>
      </c>
      <c r="N31" s="3436" t="s">
        <v>3154</v>
      </c>
      <c r="O31" s="3437" t="s">
        <v>3155</v>
      </c>
      <c r="P31" s="3436" t="s">
        <v>3226</v>
      </c>
      <c r="Q31" s="3437" t="s">
        <v>3263</v>
      </c>
      <c r="R31" s="3443">
        <v>1</v>
      </c>
      <c r="S31" s="3443">
        <v>68.94</v>
      </c>
      <c r="T31" s="3442">
        <v>68.94</v>
      </c>
      <c r="U31" s="3443">
        <v>70</v>
      </c>
      <c r="V31" s="3436" t="s">
        <v>3158</v>
      </c>
      <c r="W31" s="3467" t="s">
        <v>3159</v>
      </c>
      <c r="X31" s="3445">
        <f t="shared" si="0"/>
        <v>4826</v>
      </c>
      <c r="Y31" s="3422">
        <f t="shared" si="1"/>
        <v>2.3334300357799052</v>
      </c>
      <c r="Z31" s="3433">
        <f t="shared" si="15"/>
        <v>2.3334300357799052</v>
      </c>
      <c r="AA31" s="3423">
        <f t="shared" si="2"/>
        <v>21073.53</v>
      </c>
      <c r="AB31" s="3407">
        <f t="shared" si="14"/>
        <v>2.4734358379266994</v>
      </c>
      <c r="AC31" s="3404">
        <f t="shared" si="3"/>
        <v>62239.31</v>
      </c>
      <c r="AD31" s="3446">
        <v>4.5</v>
      </c>
      <c r="AE31" s="3404">
        <f t="shared" si="4"/>
        <v>113233.95</v>
      </c>
      <c r="AF31" s="3446">
        <f>AD31*(1+$AF$1)</f>
        <v>4.6124999999999998</v>
      </c>
      <c r="AG31" s="3404">
        <f t="shared" si="5"/>
        <v>116064.8</v>
      </c>
      <c r="AH31" s="3447">
        <f>AF31*(1+$AH$1)</f>
        <v>4.7278124999999998</v>
      </c>
      <c r="AI31" s="3399">
        <f t="shared" si="7"/>
        <v>118966.42</v>
      </c>
      <c r="AJ31" s="3404">
        <f t="shared" si="13"/>
        <v>4.846007812499999</v>
      </c>
      <c r="AK31" s="3404">
        <f t="shared" si="8"/>
        <v>121940.58</v>
      </c>
      <c r="AL31" s="3404">
        <f t="shared" si="11"/>
        <v>4.9671580078124986</v>
      </c>
      <c r="AM31" s="3404">
        <f t="shared" si="9"/>
        <v>124989.09</v>
      </c>
      <c r="AN31" s="3447"/>
      <c r="AO31" s="3447"/>
      <c r="AP31" s="3447"/>
      <c r="AQ31" s="3447"/>
      <c r="AR31" s="3447"/>
      <c r="AS31" s="3447"/>
      <c r="AT31" s="3447"/>
      <c r="AU31" s="3447"/>
      <c r="AV31" s="3447"/>
      <c r="AW31" s="3447"/>
      <c r="AX31" s="3447"/>
      <c r="AY31" s="3447"/>
      <c r="AZ31" s="3447"/>
      <c r="BA31" s="3447"/>
      <c r="BB31" s="3447"/>
      <c r="BC31" s="3447"/>
      <c r="BD31" s="3447"/>
      <c r="BE31" s="3447"/>
      <c r="BF31" s="3447"/>
    </row>
    <row r="32" spans="1:58" s="3399" customFormat="1" ht="42.75">
      <c r="A32" s="3414" t="s">
        <v>3264</v>
      </c>
      <c r="B32" s="3413" t="s">
        <v>3265</v>
      </c>
      <c r="C32" s="3413" t="s">
        <v>3266</v>
      </c>
      <c r="D32" s="3413" t="s">
        <v>3267</v>
      </c>
      <c r="E32" s="3413" t="s">
        <v>3200</v>
      </c>
      <c r="F32" s="3414" t="s">
        <v>3216</v>
      </c>
      <c r="G32" s="3413" t="s">
        <v>3152</v>
      </c>
      <c r="H32" s="3413" t="s">
        <v>3201</v>
      </c>
      <c r="I32" s="3415">
        <v>0.06</v>
      </c>
      <c r="J32" s="3416">
        <v>42278</v>
      </c>
      <c r="K32" s="3416">
        <v>42278</v>
      </c>
      <c r="L32" s="3417">
        <v>44104</v>
      </c>
      <c r="M32" s="3418">
        <v>12</v>
      </c>
      <c r="N32" s="3414" t="s">
        <v>3154</v>
      </c>
      <c r="O32" s="3413" t="s">
        <v>3155</v>
      </c>
      <c r="P32" s="3413" t="s">
        <v>3202</v>
      </c>
      <c r="Q32" s="3413" t="s">
        <v>3268</v>
      </c>
      <c r="R32" s="3419">
        <v>0.5</v>
      </c>
      <c r="S32" s="3419">
        <v>99.51</v>
      </c>
      <c r="T32" s="3420">
        <v>99.51</v>
      </c>
      <c r="U32" s="3419">
        <v>30</v>
      </c>
      <c r="V32" s="3414" t="s">
        <v>3158</v>
      </c>
      <c r="W32" s="3432" t="s">
        <v>3218</v>
      </c>
      <c r="X32" s="3422">
        <f t="shared" si="0"/>
        <v>2985</v>
      </c>
      <c r="Y32" s="3422">
        <f t="shared" si="1"/>
        <v>0.99989950758717705</v>
      </c>
      <c r="Z32" s="3433">
        <f t="shared" si="15"/>
        <v>0.99989950758717705</v>
      </c>
      <c r="AA32" s="3423">
        <f t="shared" si="2"/>
        <v>13034.5</v>
      </c>
      <c r="AB32" s="3407">
        <f t="shared" si="14"/>
        <v>1.0598934780424076</v>
      </c>
      <c r="AC32" s="3404">
        <f t="shared" si="3"/>
        <v>38496.550000000003</v>
      </c>
      <c r="AD32" s="3446">
        <f>AB32*(1+$Z$1)</f>
        <v>1.1234870867249522</v>
      </c>
      <c r="AE32" s="3404">
        <f t="shared" si="4"/>
        <v>40806.339999999997</v>
      </c>
      <c r="AF32" s="3446">
        <f>AD32*(1+$Z$1)</f>
        <v>1.1908963119284495</v>
      </c>
      <c r="AG32" s="3404">
        <f t="shared" si="5"/>
        <v>43254.720000000001</v>
      </c>
      <c r="AH32" s="3404">
        <v>4</v>
      </c>
      <c r="AI32" s="3399">
        <f t="shared" si="7"/>
        <v>145284.6</v>
      </c>
      <c r="AJ32" s="3404">
        <f t="shared" si="13"/>
        <v>4.0999999999999996</v>
      </c>
      <c r="AK32" s="3404">
        <f t="shared" si="8"/>
        <v>148916.72</v>
      </c>
      <c r="AL32" s="3404">
        <f t="shared" si="11"/>
        <v>4.2024999999999997</v>
      </c>
      <c r="AM32" s="3404">
        <f t="shared" si="9"/>
        <v>152639.63</v>
      </c>
      <c r="AN32" s="3404"/>
      <c r="AO32" s="3404"/>
      <c r="AP32" s="3404"/>
      <c r="AQ32" s="3404"/>
      <c r="AR32" s="3404"/>
      <c r="AS32" s="3404"/>
      <c r="AT32" s="3404"/>
      <c r="AU32" s="3404"/>
      <c r="AV32" s="3404"/>
      <c r="AW32" s="3404"/>
      <c r="AX32" s="3404"/>
      <c r="AY32" s="3404"/>
      <c r="AZ32" s="3404"/>
      <c r="BA32" s="3404"/>
      <c r="BB32" s="3404"/>
      <c r="BC32" s="3404"/>
      <c r="BD32" s="3404"/>
      <c r="BE32" s="3404"/>
      <c r="BF32" s="3404"/>
    </row>
    <row r="33" spans="1:58" s="3399" customFormat="1" ht="42.75">
      <c r="A33" s="3414" t="s">
        <v>3264</v>
      </c>
      <c r="B33" s="3413" t="s">
        <v>3265</v>
      </c>
      <c r="C33" s="3413" t="s">
        <v>3266</v>
      </c>
      <c r="D33" s="3413" t="s">
        <v>3267</v>
      </c>
      <c r="E33" s="3413" t="s">
        <v>3200</v>
      </c>
      <c r="F33" s="3414" t="s">
        <v>3216</v>
      </c>
      <c r="G33" s="3413" t="s">
        <v>3152</v>
      </c>
      <c r="H33" s="3413" t="s">
        <v>3201</v>
      </c>
      <c r="I33" s="3415">
        <v>0.06</v>
      </c>
      <c r="J33" s="3416">
        <v>42278</v>
      </c>
      <c r="K33" s="3416">
        <v>42278</v>
      </c>
      <c r="L33" s="3417">
        <v>44104</v>
      </c>
      <c r="M33" s="3418">
        <v>6</v>
      </c>
      <c r="N33" s="3414" t="s">
        <v>3154</v>
      </c>
      <c r="O33" s="3413" t="s">
        <v>3155</v>
      </c>
      <c r="P33" s="3413" t="s">
        <v>3202</v>
      </c>
      <c r="Q33" s="3413" t="s">
        <v>3268</v>
      </c>
      <c r="R33" s="3419">
        <v>0.5</v>
      </c>
      <c r="S33" s="3419">
        <v>99.51</v>
      </c>
      <c r="T33" s="3420">
        <v>99.51</v>
      </c>
      <c r="U33" s="3419">
        <v>30</v>
      </c>
      <c r="V33" s="3414" t="s">
        <v>3158</v>
      </c>
      <c r="W33" s="3432" t="s">
        <v>3159</v>
      </c>
      <c r="X33" s="3422">
        <f t="shared" si="0"/>
        <v>2985</v>
      </c>
      <c r="Y33" s="3422">
        <f t="shared" si="1"/>
        <v>0.99989950758717705</v>
      </c>
      <c r="Z33" s="3433">
        <f t="shared" si="15"/>
        <v>0.99989950758717705</v>
      </c>
      <c r="AA33" s="3423">
        <f t="shared" si="2"/>
        <v>13034.5</v>
      </c>
      <c r="AB33" s="3407">
        <f t="shared" si="14"/>
        <v>1.0598934780424076</v>
      </c>
      <c r="AC33" s="3404">
        <f t="shared" si="3"/>
        <v>38496.550000000003</v>
      </c>
      <c r="AD33" s="3446">
        <f>AB33*(1+$Z$1)</f>
        <v>1.1234870867249522</v>
      </c>
      <c r="AE33" s="3404">
        <f t="shared" si="4"/>
        <v>40806.339999999997</v>
      </c>
      <c r="AF33" s="3446">
        <f>AD33*(1+$Z$1)</f>
        <v>1.1908963119284495</v>
      </c>
      <c r="AG33" s="3404">
        <f t="shared" si="5"/>
        <v>43254.720000000001</v>
      </c>
      <c r="AH33" s="3404">
        <v>4</v>
      </c>
      <c r="AI33" s="3399">
        <f t="shared" si="7"/>
        <v>145284.6</v>
      </c>
      <c r="AJ33" s="3404">
        <f t="shared" si="13"/>
        <v>4.0999999999999996</v>
      </c>
      <c r="AK33" s="3404">
        <f t="shared" si="8"/>
        <v>148916.72</v>
      </c>
      <c r="AL33" s="3404">
        <f t="shared" si="11"/>
        <v>4.2024999999999997</v>
      </c>
      <c r="AM33" s="3404">
        <f t="shared" si="9"/>
        <v>152639.63</v>
      </c>
      <c r="AN33" s="3404"/>
      <c r="AO33" s="3404"/>
      <c r="AP33" s="3404"/>
      <c r="AQ33" s="3404"/>
      <c r="AR33" s="3404"/>
      <c r="AS33" s="3404"/>
      <c r="AT33" s="3404"/>
      <c r="AU33" s="3404"/>
      <c r="AV33" s="3404"/>
      <c r="AW33" s="3404"/>
      <c r="AX33" s="3404"/>
      <c r="AY33" s="3404"/>
      <c r="AZ33" s="3404"/>
      <c r="BA33" s="3404"/>
      <c r="BB33" s="3404"/>
      <c r="BC33" s="3404"/>
      <c r="BD33" s="3404"/>
      <c r="BE33" s="3404"/>
      <c r="BF33" s="3404"/>
    </row>
    <row r="34" spans="1:58" s="3399" customFormat="1" ht="42.75">
      <c r="A34" s="3414" t="s">
        <v>3269</v>
      </c>
      <c r="B34" s="3413" t="s">
        <v>3270</v>
      </c>
      <c r="C34" s="3413" t="s">
        <v>3271</v>
      </c>
      <c r="D34" s="3413" t="s">
        <v>3272</v>
      </c>
      <c r="E34" s="3413" t="s">
        <v>3200</v>
      </c>
      <c r="F34" s="3414" t="s">
        <v>3216</v>
      </c>
      <c r="G34" s="3413" t="s">
        <v>3152</v>
      </c>
      <c r="H34" s="3413" t="s">
        <v>3201</v>
      </c>
      <c r="I34" s="3415">
        <v>0.06</v>
      </c>
      <c r="J34" s="3416">
        <v>42278</v>
      </c>
      <c r="K34" s="3416">
        <v>42278</v>
      </c>
      <c r="L34" s="3417">
        <v>44104</v>
      </c>
      <c r="M34" s="3418">
        <v>12</v>
      </c>
      <c r="N34" s="3414" t="s">
        <v>3154</v>
      </c>
      <c r="O34" s="3413" t="s">
        <v>3155</v>
      </c>
      <c r="P34" s="3414" t="s">
        <v>3226</v>
      </c>
      <c r="Q34" s="3413" t="s">
        <v>3273</v>
      </c>
      <c r="R34" s="3419">
        <v>1</v>
      </c>
      <c r="S34" s="3419">
        <v>76.92</v>
      </c>
      <c r="T34" s="3420">
        <v>76.92</v>
      </c>
      <c r="U34" s="3419">
        <v>30</v>
      </c>
      <c r="V34" s="3414" t="s">
        <v>3158</v>
      </c>
      <c r="W34" s="3432" t="s">
        <v>3218</v>
      </c>
      <c r="X34" s="3422">
        <f t="shared" si="0"/>
        <v>2308</v>
      </c>
      <c r="Y34" s="3422">
        <f t="shared" si="1"/>
        <v>1.0001733402669439</v>
      </c>
      <c r="Z34" s="3433">
        <f t="shared" si="15"/>
        <v>1.0001733402669439</v>
      </c>
      <c r="AA34" s="3423">
        <f t="shared" si="2"/>
        <v>10078.27</v>
      </c>
      <c r="AB34" s="3407">
        <f t="shared" si="14"/>
        <v>1.0601837406829606</v>
      </c>
      <c r="AC34" s="3404">
        <f t="shared" si="3"/>
        <v>29765.51</v>
      </c>
      <c r="AD34" s="3446">
        <f>AB34*(1+$Z$1)</f>
        <v>1.1237947651239384</v>
      </c>
      <c r="AE34" s="3404">
        <f t="shared" si="4"/>
        <v>31551.439999999999</v>
      </c>
      <c r="AF34" s="3446">
        <f>AD34*(1+$Z$1)</f>
        <v>1.1912224510313747</v>
      </c>
      <c r="AG34" s="3404">
        <f t="shared" si="5"/>
        <v>33444.519999999997</v>
      </c>
      <c r="AH34" s="3404">
        <v>4</v>
      </c>
      <c r="AI34" s="3399">
        <f t="shared" si="7"/>
        <v>112303.2</v>
      </c>
      <c r="AJ34" s="3404">
        <f t="shared" si="13"/>
        <v>4.0999999999999996</v>
      </c>
      <c r="AK34" s="3404">
        <f t="shared" si="8"/>
        <v>115110.78</v>
      </c>
      <c r="AL34" s="3404">
        <f t="shared" si="11"/>
        <v>4.2024999999999997</v>
      </c>
      <c r="AM34" s="3404">
        <f t="shared" si="9"/>
        <v>117988.55</v>
      </c>
      <c r="AN34" s="3404"/>
      <c r="AO34" s="3404"/>
      <c r="AP34" s="3404"/>
      <c r="AQ34" s="3404"/>
      <c r="AR34" s="3404"/>
      <c r="AS34" s="3404"/>
      <c r="AT34" s="3404"/>
      <c r="AU34" s="3404"/>
      <c r="AV34" s="3404"/>
      <c r="AW34" s="3404"/>
      <c r="AX34" s="3404"/>
      <c r="AY34" s="3404"/>
      <c r="AZ34" s="3404"/>
      <c r="BA34" s="3404"/>
      <c r="BB34" s="3404"/>
      <c r="BC34" s="3404"/>
      <c r="BD34" s="3404"/>
      <c r="BE34" s="3404"/>
      <c r="BF34" s="3404"/>
    </row>
    <row r="35" spans="1:58" s="3399" customFormat="1" ht="42.75">
      <c r="A35" s="3414" t="s">
        <v>3269</v>
      </c>
      <c r="B35" s="3413" t="s">
        <v>3270</v>
      </c>
      <c r="C35" s="3413" t="s">
        <v>3271</v>
      </c>
      <c r="D35" s="3413" t="s">
        <v>3272</v>
      </c>
      <c r="E35" s="3413" t="s">
        <v>3200</v>
      </c>
      <c r="F35" s="3414" t="s">
        <v>3216</v>
      </c>
      <c r="G35" s="3413" t="s">
        <v>3152</v>
      </c>
      <c r="H35" s="3413" t="s">
        <v>3201</v>
      </c>
      <c r="I35" s="3415">
        <v>0.06</v>
      </c>
      <c r="J35" s="3416">
        <v>42278</v>
      </c>
      <c r="K35" s="3416">
        <v>42278</v>
      </c>
      <c r="L35" s="3417">
        <v>44104</v>
      </c>
      <c r="M35" s="3418">
        <v>6</v>
      </c>
      <c r="N35" s="3414" t="s">
        <v>3154</v>
      </c>
      <c r="O35" s="3413" t="s">
        <v>3155</v>
      </c>
      <c r="P35" s="3414" t="s">
        <v>3226</v>
      </c>
      <c r="Q35" s="3413" t="s">
        <v>3273</v>
      </c>
      <c r="R35" s="3419">
        <v>1</v>
      </c>
      <c r="S35" s="3419">
        <v>76.92</v>
      </c>
      <c r="T35" s="3420">
        <v>76.92</v>
      </c>
      <c r="U35" s="3419">
        <v>30</v>
      </c>
      <c r="V35" s="3414" t="s">
        <v>3158</v>
      </c>
      <c r="W35" s="3432" t="s">
        <v>3159</v>
      </c>
      <c r="X35" s="3422">
        <f t="shared" si="0"/>
        <v>2308</v>
      </c>
      <c r="Y35" s="3422">
        <f t="shared" si="1"/>
        <v>1.0001733402669439</v>
      </c>
      <c r="Z35" s="3433">
        <f t="shared" si="15"/>
        <v>1.0001733402669439</v>
      </c>
      <c r="AA35" s="3423">
        <f t="shared" si="2"/>
        <v>10078.27</v>
      </c>
      <c r="AB35" s="3407">
        <f t="shared" si="14"/>
        <v>1.0601837406829606</v>
      </c>
      <c r="AC35" s="3404">
        <f t="shared" si="3"/>
        <v>29765.51</v>
      </c>
      <c r="AD35" s="3446">
        <f>AB35*(1+$Z$1)</f>
        <v>1.1237947651239384</v>
      </c>
      <c r="AE35" s="3404">
        <f t="shared" si="4"/>
        <v>31551.439999999999</v>
      </c>
      <c r="AF35" s="3446">
        <f>AD35*(1+$Z$1)</f>
        <v>1.1912224510313747</v>
      </c>
      <c r="AG35" s="3404">
        <f t="shared" si="5"/>
        <v>33444.519999999997</v>
      </c>
      <c r="AH35" s="3404">
        <v>4</v>
      </c>
      <c r="AI35" s="3399">
        <f t="shared" si="7"/>
        <v>112303.2</v>
      </c>
      <c r="AJ35" s="3404">
        <f t="shared" si="13"/>
        <v>4.0999999999999996</v>
      </c>
      <c r="AK35" s="3404">
        <f t="shared" si="8"/>
        <v>115110.78</v>
      </c>
      <c r="AL35" s="3404">
        <f t="shared" si="11"/>
        <v>4.2024999999999997</v>
      </c>
      <c r="AM35" s="3404">
        <f t="shared" si="9"/>
        <v>117988.55</v>
      </c>
      <c r="AN35" s="3404"/>
      <c r="AO35" s="3404"/>
      <c r="AP35" s="3404"/>
      <c r="AQ35" s="3404"/>
      <c r="AR35" s="3404"/>
      <c r="AS35" s="3404"/>
      <c r="AT35" s="3404"/>
      <c r="AU35" s="3404"/>
      <c r="AV35" s="3404"/>
      <c r="AW35" s="3404"/>
      <c r="AX35" s="3404"/>
      <c r="AY35" s="3404"/>
      <c r="AZ35" s="3404"/>
      <c r="BA35" s="3404"/>
      <c r="BB35" s="3404"/>
      <c r="BC35" s="3404"/>
      <c r="BD35" s="3404"/>
      <c r="BE35" s="3404"/>
      <c r="BF35" s="3404"/>
    </row>
    <row r="36" spans="1:58" s="3448" customFormat="1" ht="42.75">
      <c r="A36" s="3436" t="s">
        <v>3274</v>
      </c>
      <c r="B36" s="3436" t="s">
        <v>3275</v>
      </c>
      <c r="C36" s="3436" t="s">
        <v>3276</v>
      </c>
      <c r="D36" s="3436" t="s">
        <v>3277</v>
      </c>
      <c r="E36" s="3436" t="s">
        <v>3215</v>
      </c>
      <c r="F36" s="3436" t="s">
        <v>3151</v>
      </c>
      <c r="G36" s="3437" t="s">
        <v>3152</v>
      </c>
      <c r="H36" s="3437" t="s">
        <v>3201</v>
      </c>
      <c r="I36" s="3466">
        <v>0.06</v>
      </c>
      <c r="J36" s="3440">
        <v>42486</v>
      </c>
      <c r="K36" s="3440">
        <v>42278</v>
      </c>
      <c r="L36" s="3417">
        <v>43373</v>
      </c>
      <c r="M36" s="3441">
        <v>0</v>
      </c>
      <c r="N36" s="3436" t="s">
        <v>3154</v>
      </c>
      <c r="O36" s="3437" t="s">
        <v>3155</v>
      </c>
      <c r="P36" s="3437" t="s">
        <v>3253</v>
      </c>
      <c r="Q36" s="3436" t="s">
        <v>3278</v>
      </c>
      <c r="R36" s="3443">
        <v>1</v>
      </c>
      <c r="S36" s="3443">
        <v>13.61</v>
      </c>
      <c r="T36" s="3442">
        <v>13.61</v>
      </c>
      <c r="U36" s="3443">
        <v>73.5</v>
      </c>
      <c r="V36" s="3436" t="s">
        <v>3158</v>
      </c>
      <c r="W36" s="3467" t="s">
        <v>3159</v>
      </c>
      <c r="X36" s="3445">
        <f t="shared" si="0"/>
        <v>1000</v>
      </c>
      <c r="Y36" s="3422">
        <f t="shared" si="1"/>
        <v>2.4491795248591726</v>
      </c>
      <c r="Z36" s="3433">
        <f t="shared" si="15"/>
        <v>2.4491795248591726</v>
      </c>
      <c r="AA36" s="3423">
        <f t="shared" si="2"/>
        <v>4366.67</v>
      </c>
      <c r="AB36" s="3407">
        <f t="shared" si="14"/>
        <v>2.5961302963507231</v>
      </c>
      <c r="AC36" s="3404">
        <f t="shared" si="3"/>
        <v>12896.67</v>
      </c>
      <c r="AD36" s="3446">
        <v>4.5</v>
      </c>
      <c r="AE36" s="3404">
        <f t="shared" si="4"/>
        <v>22354.43</v>
      </c>
      <c r="AF36" s="3446">
        <f>AD36*(1+$AF$1)</f>
        <v>4.6124999999999998</v>
      </c>
      <c r="AG36" s="3404">
        <f t="shared" si="5"/>
        <v>22913.29</v>
      </c>
      <c r="AH36" s="3447">
        <f>AF36*(1+$AH$1)</f>
        <v>4.7278124999999998</v>
      </c>
      <c r="AI36" s="3399">
        <f t="shared" si="7"/>
        <v>23486.12</v>
      </c>
      <c r="AJ36" s="3404">
        <f t="shared" si="13"/>
        <v>4.846007812499999</v>
      </c>
      <c r="AK36" s="3404">
        <f t="shared" si="8"/>
        <v>24073.27</v>
      </c>
      <c r="AL36" s="3404">
        <f t="shared" si="11"/>
        <v>4.9671580078124986</v>
      </c>
      <c r="AM36" s="3404">
        <f t="shared" si="9"/>
        <v>24675.1</v>
      </c>
      <c r="AN36" s="3447"/>
      <c r="AO36" s="3447"/>
      <c r="AP36" s="3447"/>
      <c r="AQ36" s="3447"/>
      <c r="AR36" s="3447"/>
      <c r="AS36" s="3447"/>
      <c r="AT36" s="3447"/>
      <c r="AU36" s="3447"/>
      <c r="AV36" s="3447"/>
      <c r="AW36" s="3447"/>
      <c r="AX36" s="3447"/>
      <c r="AY36" s="3447"/>
      <c r="AZ36" s="3447"/>
      <c r="BA36" s="3447"/>
      <c r="BB36" s="3447"/>
      <c r="BC36" s="3447"/>
      <c r="BD36" s="3447"/>
      <c r="BE36" s="3447"/>
      <c r="BF36" s="3447"/>
    </row>
    <row r="37" spans="1:58" s="3448" customFormat="1" ht="42.75">
      <c r="A37" s="3436" t="s">
        <v>3279</v>
      </c>
      <c r="B37" s="3437" t="s">
        <v>3280</v>
      </c>
      <c r="C37" s="3437" t="s">
        <v>3281</v>
      </c>
      <c r="D37" s="3437" t="s">
        <v>3282</v>
      </c>
      <c r="E37" s="3437" t="s">
        <v>3283</v>
      </c>
      <c r="F37" s="3436" t="s">
        <v>3216</v>
      </c>
      <c r="G37" s="3437" t="s">
        <v>3152</v>
      </c>
      <c r="H37" s="3437" t="s">
        <v>3201</v>
      </c>
      <c r="I37" s="3466">
        <v>0.06</v>
      </c>
      <c r="J37" s="3440">
        <v>42278</v>
      </c>
      <c r="K37" s="3440">
        <v>42278</v>
      </c>
      <c r="L37" s="3417">
        <v>43373</v>
      </c>
      <c r="M37" s="3441">
        <v>12</v>
      </c>
      <c r="N37" s="3436" t="s">
        <v>3154</v>
      </c>
      <c r="O37" s="3437" t="s">
        <v>3155</v>
      </c>
      <c r="P37" s="3437" t="s">
        <v>3156</v>
      </c>
      <c r="Q37" s="3437" t="s">
        <v>3284</v>
      </c>
      <c r="R37" s="3443">
        <v>1</v>
      </c>
      <c r="S37" s="3443">
        <v>68.680000000000007</v>
      </c>
      <c r="T37" s="3442">
        <v>68.680000000000007</v>
      </c>
      <c r="U37" s="3443">
        <v>30</v>
      </c>
      <c r="V37" s="3436" t="s">
        <v>3158</v>
      </c>
      <c r="W37" s="3467" t="s">
        <v>3218</v>
      </c>
      <c r="X37" s="3445">
        <f t="shared" si="0"/>
        <v>2060</v>
      </c>
      <c r="Y37" s="3422">
        <f t="shared" si="1"/>
        <v>0.99980586293923501</v>
      </c>
      <c r="Z37" s="3433">
        <f t="shared" si="15"/>
        <v>0.99980586293923501</v>
      </c>
      <c r="AA37" s="3423">
        <f t="shared" si="2"/>
        <v>8995.33</v>
      </c>
      <c r="AB37" s="3407">
        <f t="shared" si="14"/>
        <v>1.0597942147155892</v>
      </c>
      <c r="AC37" s="3404">
        <f t="shared" si="3"/>
        <v>26567.13</v>
      </c>
      <c r="AD37" s="3446">
        <v>2.2000000000000002</v>
      </c>
      <c r="AE37" s="3404">
        <f t="shared" si="4"/>
        <v>55150.04</v>
      </c>
      <c r="AF37" s="3446">
        <f t="shared" ref="AF37:AF60" si="20">AD37*(1+$AF$1)</f>
        <v>2.2549999999999999</v>
      </c>
      <c r="AG37" s="3404">
        <f t="shared" si="5"/>
        <v>56528.79</v>
      </c>
      <c r="AH37" s="3447">
        <f t="shared" ref="AH37:AH100" si="21">AF37*(1+$AH$1)</f>
        <v>2.3113749999999995</v>
      </c>
      <c r="AI37" s="3399">
        <f t="shared" si="7"/>
        <v>57942.01</v>
      </c>
      <c r="AJ37" s="3404">
        <f t="shared" si="13"/>
        <v>2.3691593749999993</v>
      </c>
      <c r="AK37" s="3404">
        <f t="shared" si="8"/>
        <v>59390.559999999998</v>
      </c>
      <c r="AL37" s="3404">
        <f t="shared" si="11"/>
        <v>2.4283883593749991</v>
      </c>
      <c r="AM37" s="3404">
        <f t="shared" si="9"/>
        <v>60875.33</v>
      </c>
      <c r="AN37" s="3447"/>
      <c r="AO37" s="3447"/>
      <c r="AP37" s="3447"/>
      <c r="AQ37" s="3447"/>
      <c r="AR37" s="3447"/>
      <c r="AS37" s="3447"/>
      <c r="AT37" s="3447"/>
      <c r="AU37" s="3447"/>
      <c r="AV37" s="3447"/>
      <c r="AW37" s="3447"/>
      <c r="AX37" s="3447"/>
      <c r="AY37" s="3447"/>
      <c r="AZ37" s="3447"/>
      <c r="BA37" s="3447"/>
      <c r="BB37" s="3447"/>
      <c r="BC37" s="3447"/>
      <c r="BD37" s="3447"/>
      <c r="BE37" s="3447"/>
      <c r="BF37" s="3447"/>
    </row>
    <row r="38" spans="1:58" s="3448" customFormat="1" ht="42.75">
      <c r="A38" s="3436" t="s">
        <v>3279</v>
      </c>
      <c r="B38" s="3437" t="s">
        <v>3280</v>
      </c>
      <c r="C38" s="3437" t="s">
        <v>3281</v>
      </c>
      <c r="D38" s="3437" t="s">
        <v>3282</v>
      </c>
      <c r="E38" s="3437" t="s">
        <v>3283</v>
      </c>
      <c r="F38" s="3436" t="s">
        <v>3216</v>
      </c>
      <c r="G38" s="3437" t="s">
        <v>3152</v>
      </c>
      <c r="H38" s="3437" t="s">
        <v>3201</v>
      </c>
      <c r="I38" s="3466">
        <v>0.06</v>
      </c>
      <c r="J38" s="3440">
        <v>42278</v>
      </c>
      <c r="K38" s="3440">
        <v>42278</v>
      </c>
      <c r="L38" s="3417">
        <v>43373</v>
      </c>
      <c r="M38" s="3441">
        <v>6</v>
      </c>
      <c r="N38" s="3436" t="s">
        <v>3154</v>
      </c>
      <c r="O38" s="3437" t="s">
        <v>3155</v>
      </c>
      <c r="P38" s="3437" t="s">
        <v>3156</v>
      </c>
      <c r="Q38" s="3437" t="s">
        <v>3284</v>
      </c>
      <c r="R38" s="3443">
        <v>1</v>
      </c>
      <c r="S38" s="3443">
        <v>68.680000000000007</v>
      </c>
      <c r="T38" s="3442">
        <v>68.680000000000007</v>
      </c>
      <c r="U38" s="3443">
        <v>30</v>
      </c>
      <c r="V38" s="3436" t="s">
        <v>3158</v>
      </c>
      <c r="W38" s="3467" t="s">
        <v>3159</v>
      </c>
      <c r="X38" s="3445">
        <f t="shared" si="0"/>
        <v>2060</v>
      </c>
      <c r="Y38" s="3422">
        <f t="shared" si="1"/>
        <v>0.99980586293923501</v>
      </c>
      <c r="Z38" s="3433">
        <f t="shared" si="15"/>
        <v>0.99980586293923501</v>
      </c>
      <c r="AA38" s="3423">
        <f t="shared" si="2"/>
        <v>8995.33</v>
      </c>
      <c r="AB38" s="3407">
        <f t="shared" si="14"/>
        <v>1.0597942147155892</v>
      </c>
      <c r="AC38" s="3404">
        <f t="shared" si="3"/>
        <v>26567.13</v>
      </c>
      <c r="AD38" s="3446">
        <v>2.2000000000000002</v>
      </c>
      <c r="AE38" s="3404">
        <f t="shared" si="4"/>
        <v>55150.04</v>
      </c>
      <c r="AF38" s="3446">
        <f t="shared" si="20"/>
        <v>2.2549999999999999</v>
      </c>
      <c r="AG38" s="3404">
        <f t="shared" si="5"/>
        <v>56528.79</v>
      </c>
      <c r="AH38" s="3447">
        <f t="shared" si="21"/>
        <v>2.3113749999999995</v>
      </c>
      <c r="AI38" s="3399">
        <f t="shared" si="7"/>
        <v>57942.01</v>
      </c>
      <c r="AJ38" s="3404">
        <f t="shared" si="13"/>
        <v>2.3691593749999993</v>
      </c>
      <c r="AK38" s="3404">
        <f t="shared" si="8"/>
        <v>59390.559999999998</v>
      </c>
      <c r="AL38" s="3404">
        <f t="shared" si="11"/>
        <v>2.4283883593749991</v>
      </c>
      <c r="AM38" s="3404">
        <f t="shared" si="9"/>
        <v>60875.33</v>
      </c>
      <c r="AN38" s="3447"/>
      <c r="AO38" s="3447"/>
      <c r="AP38" s="3447"/>
      <c r="AQ38" s="3447"/>
      <c r="AR38" s="3447"/>
      <c r="AS38" s="3447"/>
      <c r="AT38" s="3447"/>
      <c r="AU38" s="3447"/>
      <c r="AV38" s="3447"/>
      <c r="AW38" s="3447"/>
      <c r="AX38" s="3447"/>
      <c r="AY38" s="3447"/>
      <c r="AZ38" s="3447"/>
      <c r="BA38" s="3447"/>
      <c r="BB38" s="3447"/>
      <c r="BC38" s="3447"/>
      <c r="BD38" s="3447"/>
      <c r="BE38" s="3447"/>
      <c r="BF38" s="3447"/>
    </row>
    <row r="39" spans="1:58" s="3448" customFormat="1" ht="57">
      <c r="A39" s="3436" t="s">
        <v>3285</v>
      </c>
      <c r="B39" s="3437" t="s">
        <v>3286</v>
      </c>
      <c r="C39" s="3437" t="s">
        <v>3287</v>
      </c>
      <c r="D39" s="3437" t="s">
        <v>3288</v>
      </c>
      <c r="E39" s="3437" t="s">
        <v>3215</v>
      </c>
      <c r="F39" s="3436" t="s">
        <v>3216</v>
      </c>
      <c r="G39" s="3437" t="s">
        <v>3152</v>
      </c>
      <c r="H39" s="3437" t="s">
        <v>3201</v>
      </c>
      <c r="I39" s="3466">
        <v>0.06</v>
      </c>
      <c r="J39" s="3440">
        <v>42278</v>
      </c>
      <c r="K39" s="3440">
        <v>42278</v>
      </c>
      <c r="L39" s="3417">
        <v>43373</v>
      </c>
      <c r="M39" s="3441">
        <v>12</v>
      </c>
      <c r="N39" s="3436" t="s">
        <v>3154</v>
      </c>
      <c r="O39" s="3437" t="s">
        <v>3155</v>
      </c>
      <c r="P39" s="3437" t="s">
        <v>3156</v>
      </c>
      <c r="Q39" s="3437" t="s">
        <v>3289</v>
      </c>
      <c r="R39" s="3443">
        <v>1</v>
      </c>
      <c r="S39" s="3443">
        <v>61.64</v>
      </c>
      <c r="T39" s="3442">
        <v>61.64</v>
      </c>
      <c r="U39" s="3443">
        <v>32.5</v>
      </c>
      <c r="V39" s="3436" t="s">
        <v>3158</v>
      </c>
      <c r="W39" s="3467" t="s">
        <v>3218</v>
      </c>
      <c r="X39" s="3445">
        <f t="shared" si="0"/>
        <v>2003</v>
      </c>
      <c r="Y39" s="3422">
        <f t="shared" si="1"/>
        <v>1.0831711010166558</v>
      </c>
      <c r="Z39" s="3433">
        <f t="shared" si="15"/>
        <v>1.0831711010166558</v>
      </c>
      <c r="AA39" s="3423">
        <f t="shared" si="2"/>
        <v>8746.43</v>
      </c>
      <c r="AB39" s="3407">
        <f t="shared" si="14"/>
        <v>1.1481613670776551</v>
      </c>
      <c r="AC39" s="3404">
        <f t="shared" si="3"/>
        <v>25832.02</v>
      </c>
      <c r="AD39" s="3446">
        <v>2.2000000000000002</v>
      </c>
      <c r="AE39" s="3404">
        <f t="shared" si="4"/>
        <v>49496.92</v>
      </c>
      <c r="AF39" s="3446">
        <f t="shared" si="20"/>
        <v>2.2549999999999999</v>
      </c>
      <c r="AG39" s="3404">
        <f t="shared" si="5"/>
        <v>50734.34</v>
      </c>
      <c r="AH39" s="3447">
        <f t="shared" si="21"/>
        <v>2.3113749999999995</v>
      </c>
      <c r="AI39" s="3399">
        <f t="shared" si="7"/>
        <v>52002.7</v>
      </c>
      <c r="AJ39" s="3404">
        <f t="shared" si="13"/>
        <v>2.3691593749999993</v>
      </c>
      <c r="AK39" s="3404">
        <f t="shared" si="8"/>
        <v>53302.77</v>
      </c>
      <c r="AL39" s="3404">
        <f t="shared" si="11"/>
        <v>2.4283883593749991</v>
      </c>
      <c r="AM39" s="3404">
        <f t="shared" si="9"/>
        <v>54635.34</v>
      </c>
      <c r="AN39" s="3447"/>
      <c r="AO39" s="3447"/>
      <c r="AP39" s="3447"/>
      <c r="AQ39" s="3447"/>
      <c r="AR39" s="3447"/>
      <c r="AS39" s="3447"/>
      <c r="AT39" s="3447"/>
      <c r="AU39" s="3447"/>
      <c r="AV39" s="3447"/>
      <c r="AW39" s="3447"/>
      <c r="AX39" s="3447"/>
      <c r="AY39" s="3447"/>
      <c r="AZ39" s="3447"/>
      <c r="BA39" s="3447"/>
      <c r="BB39" s="3447"/>
      <c r="BC39" s="3447"/>
      <c r="BD39" s="3447"/>
      <c r="BE39" s="3447"/>
      <c r="BF39" s="3447"/>
    </row>
    <row r="40" spans="1:58" s="3448" customFormat="1" ht="57">
      <c r="A40" s="3436" t="s">
        <v>3285</v>
      </c>
      <c r="B40" s="3437" t="s">
        <v>3286</v>
      </c>
      <c r="C40" s="3437" t="s">
        <v>3287</v>
      </c>
      <c r="D40" s="3437" t="s">
        <v>3288</v>
      </c>
      <c r="E40" s="3437" t="s">
        <v>3215</v>
      </c>
      <c r="F40" s="3436" t="s">
        <v>3216</v>
      </c>
      <c r="G40" s="3437" t="s">
        <v>3152</v>
      </c>
      <c r="H40" s="3437" t="s">
        <v>3201</v>
      </c>
      <c r="I40" s="3466">
        <v>0.06</v>
      </c>
      <c r="J40" s="3440">
        <v>42278</v>
      </c>
      <c r="K40" s="3440">
        <v>42278</v>
      </c>
      <c r="L40" s="3417">
        <v>43373</v>
      </c>
      <c r="M40" s="3441">
        <v>12</v>
      </c>
      <c r="N40" s="3436" t="s">
        <v>3154</v>
      </c>
      <c r="O40" s="3437" t="s">
        <v>3155</v>
      </c>
      <c r="P40" s="3437" t="s">
        <v>3156</v>
      </c>
      <c r="Q40" s="3437" t="s">
        <v>3289</v>
      </c>
      <c r="R40" s="3443">
        <v>1</v>
      </c>
      <c r="S40" s="3443">
        <v>61.64</v>
      </c>
      <c r="T40" s="3442">
        <v>61.64</v>
      </c>
      <c r="U40" s="3443">
        <v>32.5</v>
      </c>
      <c r="V40" s="3436" t="s">
        <v>3158</v>
      </c>
      <c r="W40" s="3467" t="s">
        <v>3159</v>
      </c>
      <c r="X40" s="3445">
        <f t="shared" si="0"/>
        <v>2003</v>
      </c>
      <c r="Y40" s="3422">
        <f t="shared" si="1"/>
        <v>1.0831711010166558</v>
      </c>
      <c r="Z40" s="3433">
        <f t="shared" si="15"/>
        <v>1.0831711010166558</v>
      </c>
      <c r="AA40" s="3423">
        <f t="shared" si="2"/>
        <v>8746.43</v>
      </c>
      <c r="AB40" s="3407">
        <f t="shared" si="14"/>
        <v>1.1481613670776551</v>
      </c>
      <c r="AC40" s="3404">
        <f t="shared" si="3"/>
        <v>25832.02</v>
      </c>
      <c r="AD40" s="3446">
        <v>2.2000000000000002</v>
      </c>
      <c r="AE40" s="3404">
        <f t="shared" si="4"/>
        <v>49496.92</v>
      </c>
      <c r="AF40" s="3446">
        <f t="shared" si="20"/>
        <v>2.2549999999999999</v>
      </c>
      <c r="AG40" s="3404">
        <f t="shared" si="5"/>
        <v>50734.34</v>
      </c>
      <c r="AH40" s="3447">
        <f t="shared" si="21"/>
        <v>2.3113749999999995</v>
      </c>
      <c r="AI40" s="3399">
        <f t="shared" si="7"/>
        <v>52002.7</v>
      </c>
      <c r="AJ40" s="3404">
        <f t="shared" si="13"/>
        <v>2.3691593749999993</v>
      </c>
      <c r="AK40" s="3404">
        <f t="shared" si="8"/>
        <v>53302.77</v>
      </c>
      <c r="AL40" s="3404">
        <f t="shared" si="11"/>
        <v>2.4283883593749991</v>
      </c>
      <c r="AM40" s="3404">
        <f t="shared" si="9"/>
        <v>54635.34</v>
      </c>
      <c r="AN40" s="3447"/>
      <c r="AO40" s="3447"/>
      <c r="AP40" s="3447"/>
      <c r="AQ40" s="3447"/>
      <c r="AR40" s="3447"/>
      <c r="AS40" s="3447"/>
      <c r="AT40" s="3447"/>
      <c r="AU40" s="3447"/>
      <c r="AV40" s="3447"/>
      <c r="AW40" s="3447"/>
      <c r="AX40" s="3447"/>
      <c r="AY40" s="3447"/>
      <c r="AZ40" s="3447"/>
      <c r="BA40" s="3447"/>
      <c r="BB40" s="3447"/>
      <c r="BC40" s="3447"/>
      <c r="BD40" s="3447"/>
      <c r="BE40" s="3447"/>
      <c r="BF40" s="3447"/>
    </row>
    <row r="41" spans="1:58" s="3448" customFormat="1" ht="42.75">
      <c r="A41" s="3436" t="s">
        <v>3290</v>
      </c>
      <c r="B41" s="3437" t="s">
        <v>3291</v>
      </c>
      <c r="C41" s="3437" t="s">
        <v>3292</v>
      </c>
      <c r="D41" s="3437" t="s">
        <v>3293</v>
      </c>
      <c r="E41" s="3437" t="s">
        <v>3191</v>
      </c>
      <c r="F41" s="3436" t="s">
        <v>3216</v>
      </c>
      <c r="G41" s="3437" t="s">
        <v>3152</v>
      </c>
      <c r="H41" s="3437" t="s">
        <v>3201</v>
      </c>
      <c r="I41" s="3466">
        <v>0.06</v>
      </c>
      <c r="J41" s="3440">
        <v>42309</v>
      </c>
      <c r="K41" s="3440">
        <v>42309</v>
      </c>
      <c r="L41" s="3417">
        <v>43404</v>
      </c>
      <c r="M41" s="3441">
        <v>12</v>
      </c>
      <c r="N41" s="3437" t="s">
        <v>3154</v>
      </c>
      <c r="O41" s="3437" t="s">
        <v>3155</v>
      </c>
      <c r="P41" s="3436" t="s">
        <v>3209</v>
      </c>
      <c r="Q41" s="3437" t="s">
        <v>3294</v>
      </c>
      <c r="R41" s="3443">
        <v>1</v>
      </c>
      <c r="S41" s="3443">
        <v>197.62</v>
      </c>
      <c r="T41" s="3442">
        <v>197.62</v>
      </c>
      <c r="U41" s="3443">
        <v>25</v>
      </c>
      <c r="V41" s="3436" t="s">
        <v>3158</v>
      </c>
      <c r="W41" s="3467" t="s">
        <v>3218</v>
      </c>
      <c r="X41" s="3445">
        <f t="shared" si="0"/>
        <v>4941</v>
      </c>
      <c r="Y41" s="3422">
        <f t="shared" si="1"/>
        <v>0.83341767027628788</v>
      </c>
      <c r="Z41" s="3433">
        <f t="shared" si="15"/>
        <v>0.83341767027628788</v>
      </c>
      <c r="AA41" s="3423">
        <f t="shared" si="2"/>
        <v>21575.7</v>
      </c>
      <c r="AB41" s="3407">
        <f t="shared" si="14"/>
        <v>0.88342273049286524</v>
      </c>
      <c r="AC41" s="3404">
        <f t="shared" si="3"/>
        <v>63722.43</v>
      </c>
      <c r="AD41" s="3446">
        <v>2.2000000000000002</v>
      </c>
      <c r="AE41" s="3404">
        <f t="shared" si="4"/>
        <v>158688.85999999999</v>
      </c>
      <c r="AF41" s="3446">
        <f t="shared" si="20"/>
        <v>2.2549999999999999</v>
      </c>
      <c r="AG41" s="3404">
        <f t="shared" si="5"/>
        <v>162656.07999999999</v>
      </c>
      <c r="AH41" s="3447">
        <f t="shared" si="21"/>
        <v>2.3113749999999995</v>
      </c>
      <c r="AI41" s="3399">
        <f t="shared" si="7"/>
        <v>166722.48000000001</v>
      </c>
      <c r="AJ41" s="3404">
        <f t="shared" si="13"/>
        <v>2.3691593749999993</v>
      </c>
      <c r="AK41" s="3404">
        <f t="shared" si="8"/>
        <v>170890.55</v>
      </c>
      <c r="AL41" s="3404">
        <f t="shared" si="11"/>
        <v>2.4283883593749991</v>
      </c>
      <c r="AM41" s="3404">
        <f t="shared" si="9"/>
        <v>175162.81</v>
      </c>
      <c r="AN41" s="3447"/>
      <c r="AO41" s="3447"/>
      <c r="AP41" s="3447"/>
      <c r="AQ41" s="3447"/>
      <c r="AR41" s="3447"/>
      <c r="AS41" s="3447"/>
      <c r="AT41" s="3447"/>
      <c r="AU41" s="3447"/>
      <c r="AV41" s="3447"/>
      <c r="AW41" s="3447"/>
      <c r="AX41" s="3447"/>
      <c r="AY41" s="3447"/>
      <c r="AZ41" s="3447"/>
      <c r="BA41" s="3447"/>
      <c r="BB41" s="3447"/>
      <c r="BC41" s="3447"/>
      <c r="BD41" s="3447"/>
      <c r="BE41" s="3447"/>
      <c r="BF41" s="3447"/>
    </row>
    <row r="42" spans="1:58" s="3448" customFormat="1" ht="42.75">
      <c r="A42" s="3436" t="s">
        <v>3290</v>
      </c>
      <c r="B42" s="3437" t="s">
        <v>3291</v>
      </c>
      <c r="C42" s="3437" t="s">
        <v>3292</v>
      </c>
      <c r="D42" s="3437" t="s">
        <v>3293</v>
      </c>
      <c r="E42" s="3437" t="s">
        <v>3191</v>
      </c>
      <c r="F42" s="3436" t="s">
        <v>3216</v>
      </c>
      <c r="G42" s="3437" t="s">
        <v>3152</v>
      </c>
      <c r="H42" s="3437" t="s">
        <v>3201</v>
      </c>
      <c r="I42" s="3466">
        <v>0.06</v>
      </c>
      <c r="J42" s="3440">
        <v>42309</v>
      </c>
      <c r="K42" s="3440">
        <v>42309</v>
      </c>
      <c r="L42" s="3417">
        <v>43404</v>
      </c>
      <c r="M42" s="3441">
        <v>6</v>
      </c>
      <c r="N42" s="3437" t="s">
        <v>3154</v>
      </c>
      <c r="O42" s="3437" t="s">
        <v>3155</v>
      </c>
      <c r="P42" s="3436" t="s">
        <v>3209</v>
      </c>
      <c r="Q42" s="3437" t="s">
        <v>3294</v>
      </c>
      <c r="R42" s="3443">
        <v>1</v>
      </c>
      <c r="S42" s="3443">
        <v>197.62</v>
      </c>
      <c r="T42" s="3442">
        <v>197.62</v>
      </c>
      <c r="U42" s="3443">
        <v>25</v>
      </c>
      <c r="V42" s="3436" t="s">
        <v>3158</v>
      </c>
      <c r="W42" s="3467" t="s">
        <v>3159</v>
      </c>
      <c r="X42" s="3445">
        <f t="shared" si="0"/>
        <v>4941</v>
      </c>
      <c r="Y42" s="3422">
        <f t="shared" si="1"/>
        <v>0.83341767027628788</v>
      </c>
      <c r="Z42" s="3433">
        <f t="shared" si="15"/>
        <v>0.83341767027628788</v>
      </c>
      <c r="AA42" s="3423">
        <f t="shared" si="2"/>
        <v>21575.7</v>
      </c>
      <c r="AB42" s="3407">
        <f t="shared" si="14"/>
        <v>0.88342273049286524</v>
      </c>
      <c r="AC42" s="3404">
        <f t="shared" si="3"/>
        <v>63722.43</v>
      </c>
      <c r="AD42" s="3446">
        <v>2.2000000000000002</v>
      </c>
      <c r="AE42" s="3404">
        <f t="shared" si="4"/>
        <v>158688.85999999999</v>
      </c>
      <c r="AF42" s="3446">
        <f t="shared" si="20"/>
        <v>2.2549999999999999</v>
      </c>
      <c r="AG42" s="3404">
        <f t="shared" si="5"/>
        <v>162656.07999999999</v>
      </c>
      <c r="AH42" s="3447">
        <f t="shared" si="21"/>
        <v>2.3113749999999995</v>
      </c>
      <c r="AI42" s="3399">
        <f t="shared" si="7"/>
        <v>166722.48000000001</v>
      </c>
      <c r="AJ42" s="3404">
        <f t="shared" si="13"/>
        <v>2.3691593749999993</v>
      </c>
      <c r="AK42" s="3404">
        <f t="shared" si="8"/>
        <v>170890.55</v>
      </c>
      <c r="AL42" s="3404">
        <f t="shared" si="11"/>
        <v>2.4283883593749991</v>
      </c>
      <c r="AM42" s="3404">
        <f t="shared" si="9"/>
        <v>175162.81</v>
      </c>
      <c r="AN42" s="3447"/>
      <c r="AO42" s="3447"/>
      <c r="AP42" s="3447"/>
      <c r="AQ42" s="3447"/>
      <c r="AR42" s="3447"/>
      <c r="AS42" s="3447"/>
      <c r="AT42" s="3447"/>
      <c r="AU42" s="3447"/>
      <c r="AV42" s="3447"/>
      <c r="AW42" s="3447"/>
      <c r="AX42" s="3447"/>
      <c r="AY42" s="3447"/>
      <c r="AZ42" s="3447"/>
      <c r="BA42" s="3447"/>
      <c r="BB42" s="3447"/>
      <c r="BC42" s="3447"/>
      <c r="BD42" s="3447"/>
      <c r="BE42" s="3447"/>
      <c r="BF42" s="3447"/>
    </row>
    <row r="43" spans="1:58" s="3448" customFormat="1" ht="42.75">
      <c r="A43" s="3436" t="s">
        <v>3295</v>
      </c>
      <c r="B43" s="3437" t="s">
        <v>3296</v>
      </c>
      <c r="C43" s="3437" t="s">
        <v>3297</v>
      </c>
      <c r="D43" s="3437" t="s">
        <v>3298</v>
      </c>
      <c r="E43" s="3437" t="s">
        <v>3191</v>
      </c>
      <c r="F43" s="3436" t="s">
        <v>3216</v>
      </c>
      <c r="G43" s="3437" t="s">
        <v>3152</v>
      </c>
      <c r="H43" s="3437" t="s">
        <v>3201</v>
      </c>
      <c r="I43" s="3466">
        <v>0.06</v>
      </c>
      <c r="J43" s="3440">
        <v>42309</v>
      </c>
      <c r="K43" s="3440">
        <v>42309</v>
      </c>
      <c r="L43" s="3417">
        <v>43404</v>
      </c>
      <c r="M43" s="3441">
        <v>12</v>
      </c>
      <c r="N43" s="3437" t="s">
        <v>3154</v>
      </c>
      <c r="O43" s="3437" t="s">
        <v>3155</v>
      </c>
      <c r="P43" s="3436" t="s">
        <v>3193</v>
      </c>
      <c r="Q43" s="3437" t="s">
        <v>3299</v>
      </c>
      <c r="R43" s="3443">
        <v>1</v>
      </c>
      <c r="S43" s="3443">
        <v>180.25</v>
      </c>
      <c r="T43" s="3442">
        <v>180.25</v>
      </c>
      <c r="U43" s="3443">
        <v>25</v>
      </c>
      <c r="V43" s="3436" t="s">
        <v>3158</v>
      </c>
      <c r="W43" s="3467" t="s">
        <v>3218</v>
      </c>
      <c r="X43" s="3445">
        <f t="shared" si="0"/>
        <v>4506</v>
      </c>
      <c r="Y43" s="3422">
        <f t="shared" si="1"/>
        <v>0.83328710124826633</v>
      </c>
      <c r="Z43" s="3433">
        <f t="shared" si="15"/>
        <v>0.83328710124826633</v>
      </c>
      <c r="AA43" s="3423">
        <f t="shared" si="2"/>
        <v>19676.2</v>
      </c>
      <c r="AB43" s="3407">
        <f t="shared" si="14"/>
        <v>0.88328432732316231</v>
      </c>
      <c r="AC43" s="3404">
        <f t="shared" si="3"/>
        <v>58112.38</v>
      </c>
      <c r="AD43" s="3446">
        <v>2.2000000000000002</v>
      </c>
      <c r="AE43" s="3404">
        <f t="shared" si="4"/>
        <v>144740.75</v>
      </c>
      <c r="AF43" s="3446">
        <f t="shared" si="20"/>
        <v>2.2549999999999999</v>
      </c>
      <c r="AG43" s="3404">
        <f t="shared" si="5"/>
        <v>148359.26999999999</v>
      </c>
      <c r="AH43" s="3447">
        <f t="shared" si="21"/>
        <v>2.3113749999999995</v>
      </c>
      <c r="AI43" s="3399">
        <f t="shared" si="7"/>
        <v>152068.25</v>
      </c>
      <c r="AJ43" s="3404">
        <f t="shared" si="13"/>
        <v>2.3691593749999993</v>
      </c>
      <c r="AK43" s="3404">
        <f t="shared" si="8"/>
        <v>155869.96</v>
      </c>
      <c r="AL43" s="3404">
        <f t="shared" si="11"/>
        <v>2.4283883593749991</v>
      </c>
      <c r="AM43" s="3404">
        <f t="shared" si="9"/>
        <v>159766.71</v>
      </c>
      <c r="AN43" s="3447"/>
      <c r="AO43" s="3447"/>
      <c r="AP43" s="3447"/>
      <c r="AQ43" s="3447"/>
      <c r="AR43" s="3447"/>
      <c r="AS43" s="3447"/>
      <c r="AT43" s="3447"/>
      <c r="AU43" s="3447"/>
      <c r="AV43" s="3447"/>
      <c r="AW43" s="3447"/>
      <c r="AX43" s="3447"/>
      <c r="AY43" s="3447"/>
      <c r="AZ43" s="3447"/>
      <c r="BA43" s="3447"/>
      <c r="BB43" s="3447"/>
      <c r="BC43" s="3447"/>
      <c r="BD43" s="3447"/>
      <c r="BE43" s="3447"/>
      <c r="BF43" s="3447"/>
    </row>
    <row r="44" spans="1:58" s="3448" customFormat="1" ht="42.75">
      <c r="A44" s="3436" t="s">
        <v>3295</v>
      </c>
      <c r="B44" s="3437" t="s">
        <v>3296</v>
      </c>
      <c r="C44" s="3437" t="s">
        <v>3297</v>
      </c>
      <c r="D44" s="3437" t="s">
        <v>3298</v>
      </c>
      <c r="E44" s="3437" t="s">
        <v>3191</v>
      </c>
      <c r="F44" s="3436" t="s">
        <v>3216</v>
      </c>
      <c r="G44" s="3437" t="s">
        <v>3152</v>
      </c>
      <c r="H44" s="3437" t="s">
        <v>3201</v>
      </c>
      <c r="I44" s="3466">
        <v>0.06</v>
      </c>
      <c r="J44" s="3440">
        <v>42309</v>
      </c>
      <c r="K44" s="3440">
        <v>42309</v>
      </c>
      <c r="L44" s="3417">
        <v>43404</v>
      </c>
      <c r="M44" s="3441">
        <v>6</v>
      </c>
      <c r="N44" s="3437" t="s">
        <v>3154</v>
      </c>
      <c r="O44" s="3437" t="s">
        <v>3155</v>
      </c>
      <c r="P44" s="3436" t="s">
        <v>3193</v>
      </c>
      <c r="Q44" s="3437" t="s">
        <v>3299</v>
      </c>
      <c r="R44" s="3443">
        <v>1</v>
      </c>
      <c r="S44" s="3443">
        <v>180.25</v>
      </c>
      <c r="T44" s="3442">
        <v>180.25</v>
      </c>
      <c r="U44" s="3443">
        <v>25</v>
      </c>
      <c r="V44" s="3436" t="s">
        <v>3158</v>
      </c>
      <c r="W44" s="3467" t="s">
        <v>3159</v>
      </c>
      <c r="X44" s="3445">
        <f t="shared" si="0"/>
        <v>4506</v>
      </c>
      <c r="Y44" s="3422">
        <f t="shared" si="1"/>
        <v>0.83328710124826633</v>
      </c>
      <c r="Z44" s="3433">
        <f t="shared" si="15"/>
        <v>0.83328710124826633</v>
      </c>
      <c r="AA44" s="3423">
        <f t="shared" si="2"/>
        <v>19676.2</v>
      </c>
      <c r="AB44" s="3407">
        <f t="shared" si="14"/>
        <v>0.88328432732316231</v>
      </c>
      <c r="AC44" s="3404">
        <f t="shared" si="3"/>
        <v>58112.38</v>
      </c>
      <c r="AD44" s="3446">
        <v>2.2000000000000002</v>
      </c>
      <c r="AE44" s="3404">
        <f t="shared" si="4"/>
        <v>144740.75</v>
      </c>
      <c r="AF44" s="3446">
        <f t="shared" si="20"/>
        <v>2.2549999999999999</v>
      </c>
      <c r="AG44" s="3404">
        <f t="shared" si="5"/>
        <v>148359.26999999999</v>
      </c>
      <c r="AH44" s="3447">
        <f t="shared" si="21"/>
        <v>2.3113749999999995</v>
      </c>
      <c r="AI44" s="3399">
        <f t="shared" si="7"/>
        <v>152068.25</v>
      </c>
      <c r="AJ44" s="3404">
        <f t="shared" si="13"/>
        <v>2.3691593749999993</v>
      </c>
      <c r="AK44" s="3404">
        <f t="shared" si="8"/>
        <v>155869.96</v>
      </c>
      <c r="AL44" s="3404">
        <f t="shared" si="11"/>
        <v>2.4283883593749991</v>
      </c>
      <c r="AM44" s="3404">
        <f t="shared" si="9"/>
        <v>159766.71</v>
      </c>
      <c r="AN44" s="3447"/>
      <c r="AO44" s="3447"/>
      <c r="AP44" s="3447"/>
      <c r="AQ44" s="3447"/>
      <c r="AR44" s="3447"/>
      <c r="AS44" s="3447"/>
      <c r="AT44" s="3447"/>
      <c r="AU44" s="3447"/>
      <c r="AV44" s="3447"/>
      <c r="AW44" s="3447"/>
      <c r="AX44" s="3447"/>
      <c r="AY44" s="3447"/>
      <c r="AZ44" s="3447"/>
      <c r="BA44" s="3447"/>
      <c r="BB44" s="3447"/>
      <c r="BC44" s="3447"/>
      <c r="BD44" s="3447"/>
      <c r="BE44" s="3447"/>
      <c r="BF44" s="3447"/>
    </row>
    <row r="45" spans="1:58" s="3448" customFormat="1" ht="42.75">
      <c r="A45" s="3436" t="s">
        <v>3300</v>
      </c>
      <c r="B45" s="3437" t="s">
        <v>3301</v>
      </c>
      <c r="C45" s="3437" t="s">
        <v>3302</v>
      </c>
      <c r="D45" s="3437" t="s">
        <v>3303</v>
      </c>
      <c r="E45" s="3437" t="s">
        <v>3200</v>
      </c>
      <c r="F45" s="3436" t="s">
        <v>3216</v>
      </c>
      <c r="G45" s="3437" t="s">
        <v>3152</v>
      </c>
      <c r="H45" s="3437" t="s">
        <v>3201</v>
      </c>
      <c r="I45" s="3466">
        <v>0.06</v>
      </c>
      <c r="J45" s="3440">
        <v>42309</v>
      </c>
      <c r="K45" s="3440">
        <v>42309</v>
      </c>
      <c r="L45" s="3417">
        <v>43404</v>
      </c>
      <c r="M45" s="3441">
        <v>12</v>
      </c>
      <c r="N45" s="3437" t="s">
        <v>3154</v>
      </c>
      <c r="O45" s="3437" t="s">
        <v>3155</v>
      </c>
      <c r="P45" s="3437" t="s">
        <v>3253</v>
      </c>
      <c r="Q45" s="3437" t="s">
        <v>3304</v>
      </c>
      <c r="R45" s="3443">
        <v>1</v>
      </c>
      <c r="S45" s="3443">
        <v>86.73</v>
      </c>
      <c r="T45" s="3442">
        <v>86.73</v>
      </c>
      <c r="U45" s="3443">
        <v>36</v>
      </c>
      <c r="V45" s="3436" t="s">
        <v>3158</v>
      </c>
      <c r="W45" s="3467" t="s">
        <v>3218</v>
      </c>
      <c r="X45" s="3445">
        <f t="shared" si="0"/>
        <v>3122</v>
      </c>
      <c r="Y45" s="3422">
        <f t="shared" si="1"/>
        <v>1.1998923863330644</v>
      </c>
      <c r="Z45" s="3433">
        <f t="shared" si="15"/>
        <v>1.1998923863330644</v>
      </c>
      <c r="AA45" s="3423">
        <f t="shared" si="2"/>
        <v>13632.73</v>
      </c>
      <c r="AB45" s="3407">
        <f t="shared" si="14"/>
        <v>1.2718859295130482</v>
      </c>
      <c r="AC45" s="3404">
        <f t="shared" si="3"/>
        <v>40263.39</v>
      </c>
      <c r="AD45" s="3446">
        <v>2.2000000000000002</v>
      </c>
      <c r="AE45" s="3404">
        <f t="shared" si="4"/>
        <v>69644.19</v>
      </c>
      <c r="AF45" s="3446">
        <f t="shared" si="20"/>
        <v>2.2549999999999999</v>
      </c>
      <c r="AG45" s="3404">
        <f t="shared" si="5"/>
        <v>71385.289999999994</v>
      </c>
      <c r="AH45" s="3447">
        <f t="shared" si="21"/>
        <v>2.3113749999999995</v>
      </c>
      <c r="AI45" s="3399">
        <f t="shared" si="7"/>
        <v>73169.929999999993</v>
      </c>
      <c r="AJ45" s="3404">
        <f t="shared" si="13"/>
        <v>2.3691593749999993</v>
      </c>
      <c r="AK45" s="3404">
        <f t="shared" si="8"/>
        <v>74999.179999999993</v>
      </c>
      <c r="AL45" s="3404">
        <f t="shared" si="11"/>
        <v>2.4283883593749991</v>
      </c>
      <c r="AM45" s="3404">
        <f t="shared" si="9"/>
        <v>76874.149999999994</v>
      </c>
      <c r="AN45" s="3447"/>
      <c r="AO45" s="3447"/>
      <c r="AP45" s="3447"/>
      <c r="AQ45" s="3447"/>
      <c r="AR45" s="3447"/>
      <c r="AS45" s="3447"/>
      <c r="AT45" s="3447"/>
      <c r="AU45" s="3447"/>
      <c r="AV45" s="3447"/>
      <c r="AW45" s="3447"/>
      <c r="AX45" s="3447"/>
      <c r="AY45" s="3447"/>
      <c r="AZ45" s="3447"/>
      <c r="BA45" s="3447"/>
      <c r="BB45" s="3447"/>
      <c r="BC45" s="3447"/>
      <c r="BD45" s="3447"/>
      <c r="BE45" s="3447"/>
      <c r="BF45" s="3447"/>
    </row>
    <row r="46" spans="1:58" s="3448" customFormat="1" ht="42.75">
      <c r="A46" s="3436" t="s">
        <v>3300</v>
      </c>
      <c r="B46" s="3437" t="s">
        <v>3301</v>
      </c>
      <c r="C46" s="3437" t="s">
        <v>3302</v>
      </c>
      <c r="D46" s="3437" t="s">
        <v>3303</v>
      </c>
      <c r="E46" s="3437" t="s">
        <v>3200</v>
      </c>
      <c r="F46" s="3436" t="s">
        <v>3216</v>
      </c>
      <c r="G46" s="3437" t="s">
        <v>3152</v>
      </c>
      <c r="H46" s="3437" t="s">
        <v>3201</v>
      </c>
      <c r="I46" s="3466">
        <v>0.06</v>
      </c>
      <c r="J46" s="3440">
        <v>42309</v>
      </c>
      <c r="K46" s="3440">
        <v>42309</v>
      </c>
      <c r="L46" s="3417">
        <v>43404</v>
      </c>
      <c r="M46" s="3441">
        <v>6</v>
      </c>
      <c r="N46" s="3437" t="s">
        <v>3154</v>
      </c>
      <c r="O46" s="3437" t="s">
        <v>3155</v>
      </c>
      <c r="P46" s="3437" t="s">
        <v>3253</v>
      </c>
      <c r="Q46" s="3437" t="s">
        <v>3304</v>
      </c>
      <c r="R46" s="3443">
        <v>1</v>
      </c>
      <c r="S46" s="3443">
        <v>86.73</v>
      </c>
      <c r="T46" s="3442">
        <v>86.73</v>
      </c>
      <c r="U46" s="3443">
        <v>36</v>
      </c>
      <c r="V46" s="3436" t="s">
        <v>3158</v>
      </c>
      <c r="W46" s="3467" t="s">
        <v>3159</v>
      </c>
      <c r="X46" s="3445">
        <f t="shared" si="0"/>
        <v>3122</v>
      </c>
      <c r="Y46" s="3422">
        <f t="shared" si="1"/>
        <v>1.1998923863330644</v>
      </c>
      <c r="Z46" s="3433">
        <f t="shared" si="15"/>
        <v>1.1998923863330644</v>
      </c>
      <c r="AA46" s="3423">
        <f t="shared" si="2"/>
        <v>13632.73</v>
      </c>
      <c r="AB46" s="3407">
        <f t="shared" si="14"/>
        <v>1.2718859295130482</v>
      </c>
      <c r="AC46" s="3404">
        <f t="shared" si="3"/>
        <v>40263.39</v>
      </c>
      <c r="AD46" s="3446">
        <v>2.2000000000000002</v>
      </c>
      <c r="AE46" s="3404">
        <f t="shared" si="4"/>
        <v>69644.19</v>
      </c>
      <c r="AF46" s="3446">
        <f t="shared" si="20"/>
        <v>2.2549999999999999</v>
      </c>
      <c r="AG46" s="3404">
        <f t="shared" si="5"/>
        <v>71385.289999999994</v>
      </c>
      <c r="AH46" s="3447">
        <f t="shared" si="21"/>
        <v>2.3113749999999995</v>
      </c>
      <c r="AI46" s="3399">
        <f t="shared" si="7"/>
        <v>73169.929999999993</v>
      </c>
      <c r="AJ46" s="3404">
        <f t="shared" si="13"/>
        <v>2.3691593749999993</v>
      </c>
      <c r="AK46" s="3404">
        <f t="shared" si="8"/>
        <v>74999.179999999993</v>
      </c>
      <c r="AL46" s="3404">
        <f t="shared" si="11"/>
        <v>2.4283883593749991</v>
      </c>
      <c r="AM46" s="3404">
        <f t="shared" si="9"/>
        <v>76874.149999999994</v>
      </c>
      <c r="AN46" s="3447"/>
      <c r="AO46" s="3447"/>
      <c r="AP46" s="3447"/>
      <c r="AQ46" s="3447"/>
      <c r="AR46" s="3447"/>
      <c r="AS46" s="3447"/>
      <c r="AT46" s="3447"/>
      <c r="AU46" s="3447"/>
      <c r="AV46" s="3447"/>
      <c r="AW46" s="3447"/>
      <c r="AX46" s="3447"/>
      <c r="AY46" s="3447"/>
      <c r="AZ46" s="3447"/>
      <c r="BA46" s="3447"/>
      <c r="BB46" s="3447"/>
      <c r="BC46" s="3447"/>
      <c r="BD46" s="3447"/>
      <c r="BE46" s="3447"/>
      <c r="BF46" s="3447"/>
    </row>
    <row r="47" spans="1:58" s="3448" customFormat="1" ht="42.75">
      <c r="A47" s="3436" t="s">
        <v>3305</v>
      </c>
      <c r="B47" s="3436" t="s">
        <v>3306</v>
      </c>
      <c r="C47" s="3436" t="s">
        <v>3307</v>
      </c>
      <c r="D47" s="3436" t="s">
        <v>3308</v>
      </c>
      <c r="E47" s="3436" t="s">
        <v>3200</v>
      </c>
      <c r="F47" s="3436" t="s">
        <v>3151</v>
      </c>
      <c r="G47" s="3437" t="s">
        <v>3152</v>
      </c>
      <c r="H47" s="3436" t="s">
        <v>3201</v>
      </c>
      <c r="I47" s="3438">
        <v>0.06</v>
      </c>
      <c r="J47" s="3439">
        <v>42298</v>
      </c>
      <c r="K47" s="3440">
        <v>42309</v>
      </c>
      <c r="L47" s="3417">
        <v>43404</v>
      </c>
      <c r="M47" s="3441">
        <v>0</v>
      </c>
      <c r="N47" s="3437" t="s">
        <v>3154</v>
      </c>
      <c r="O47" s="3437" t="s">
        <v>3155</v>
      </c>
      <c r="P47" s="3436" t="s">
        <v>3226</v>
      </c>
      <c r="Q47" s="3436" t="s">
        <v>3309</v>
      </c>
      <c r="R47" s="3443">
        <v>1</v>
      </c>
      <c r="S47" s="3443">
        <v>150.91999999999999</v>
      </c>
      <c r="T47" s="3442">
        <v>150.91999999999999</v>
      </c>
      <c r="U47" s="3443">
        <v>60</v>
      </c>
      <c r="V47" s="3436" t="s">
        <v>3158</v>
      </c>
      <c r="W47" s="3467" t="s">
        <v>3159</v>
      </c>
      <c r="X47" s="3445">
        <f t="shared" si="0"/>
        <v>9055</v>
      </c>
      <c r="Y47" s="3422">
        <f t="shared" si="1"/>
        <v>1.9999558264864388</v>
      </c>
      <c r="Z47" s="3433">
        <f t="shared" si="15"/>
        <v>1.9999558264864388</v>
      </c>
      <c r="AA47" s="3423">
        <f t="shared" si="2"/>
        <v>39540.17</v>
      </c>
      <c r="AB47" s="3407">
        <f t="shared" si="14"/>
        <v>2.1199531760756254</v>
      </c>
      <c r="AC47" s="3404">
        <f t="shared" si="3"/>
        <v>116779.32</v>
      </c>
      <c r="AD47" s="3446">
        <v>4.5</v>
      </c>
      <c r="AE47" s="3404">
        <f t="shared" si="4"/>
        <v>247886.1</v>
      </c>
      <c r="AF47" s="3446">
        <f t="shared" si="20"/>
        <v>4.6124999999999998</v>
      </c>
      <c r="AG47" s="3404">
        <f t="shared" si="5"/>
        <v>254083.25</v>
      </c>
      <c r="AH47" s="3447">
        <f t="shared" si="21"/>
        <v>4.7278124999999998</v>
      </c>
      <c r="AI47" s="3399">
        <f t="shared" si="7"/>
        <v>260435.33</v>
      </c>
      <c r="AJ47" s="3404">
        <f t="shared" si="13"/>
        <v>4.846007812499999</v>
      </c>
      <c r="AK47" s="3404">
        <f t="shared" si="8"/>
        <v>266946.21999999997</v>
      </c>
      <c r="AL47" s="3404">
        <f t="shared" si="11"/>
        <v>4.9671580078124986</v>
      </c>
      <c r="AM47" s="3404">
        <f t="shared" si="9"/>
        <v>273619.87</v>
      </c>
      <c r="AN47" s="3447"/>
      <c r="AO47" s="3447"/>
      <c r="AP47" s="3447"/>
      <c r="AQ47" s="3447"/>
      <c r="AR47" s="3447"/>
      <c r="AS47" s="3447"/>
      <c r="AT47" s="3447"/>
      <c r="AU47" s="3447"/>
      <c r="AV47" s="3447"/>
      <c r="AW47" s="3447"/>
      <c r="AX47" s="3447"/>
      <c r="AY47" s="3447"/>
      <c r="AZ47" s="3447"/>
      <c r="BA47" s="3447"/>
      <c r="BB47" s="3447"/>
      <c r="BC47" s="3447"/>
      <c r="BD47" s="3447"/>
      <c r="BE47" s="3447"/>
      <c r="BF47" s="3447"/>
    </row>
    <row r="48" spans="1:58" s="3448" customFormat="1" ht="42.75">
      <c r="A48" s="3436" t="s">
        <v>3310</v>
      </c>
      <c r="B48" s="3436" t="s">
        <v>3311</v>
      </c>
      <c r="C48" s="3436" t="s">
        <v>3312</v>
      </c>
      <c r="D48" s="3436" t="s">
        <v>3313</v>
      </c>
      <c r="E48" s="3436" t="s">
        <v>3314</v>
      </c>
      <c r="F48" s="3436" t="s">
        <v>3151</v>
      </c>
      <c r="G48" s="3437" t="s">
        <v>3152</v>
      </c>
      <c r="H48" s="3436" t="s">
        <v>3201</v>
      </c>
      <c r="I48" s="3438">
        <v>0.06</v>
      </c>
      <c r="J48" s="3439">
        <v>42373</v>
      </c>
      <c r="K48" s="3440">
        <v>42370</v>
      </c>
      <c r="L48" s="3429">
        <v>43465</v>
      </c>
      <c r="M48" s="3441">
        <v>0</v>
      </c>
      <c r="N48" s="3437" t="s">
        <v>3154</v>
      </c>
      <c r="O48" s="3437" t="s">
        <v>3155</v>
      </c>
      <c r="P48" s="3436" t="s">
        <v>3232</v>
      </c>
      <c r="Q48" s="3436" t="s">
        <v>3315</v>
      </c>
      <c r="R48" s="3442">
        <v>6</v>
      </c>
      <c r="S48" s="3443">
        <v>452.71</v>
      </c>
      <c r="T48" s="3442">
        <v>452.71</v>
      </c>
      <c r="U48" s="3443">
        <v>40</v>
      </c>
      <c r="V48" s="3436" t="s">
        <v>3158</v>
      </c>
      <c r="W48" s="3467" t="s">
        <v>3159</v>
      </c>
      <c r="X48" s="3445">
        <f t="shared" si="0"/>
        <v>18108</v>
      </c>
      <c r="Y48" s="3422">
        <f t="shared" si="1"/>
        <v>1.3333038810717679</v>
      </c>
      <c r="Z48" s="3433">
        <f t="shared" si="15"/>
        <v>1.3333038810717679</v>
      </c>
      <c r="AA48" s="3423">
        <f t="shared" si="2"/>
        <v>79071.600000000006</v>
      </c>
      <c r="AB48" s="3407">
        <f t="shared" si="14"/>
        <v>1.413302113936074</v>
      </c>
      <c r="AC48" s="3404">
        <f t="shared" si="3"/>
        <v>233532.84</v>
      </c>
      <c r="AD48" s="3446">
        <v>4.5</v>
      </c>
      <c r="AE48" s="3404">
        <f t="shared" si="4"/>
        <v>743576.18</v>
      </c>
      <c r="AF48" s="3446">
        <f t="shared" si="20"/>
        <v>4.6124999999999998</v>
      </c>
      <c r="AG48" s="3404">
        <f t="shared" si="5"/>
        <v>762165.58</v>
      </c>
      <c r="AH48" s="3447">
        <f t="shared" si="21"/>
        <v>4.7278124999999998</v>
      </c>
      <c r="AI48" s="3399">
        <f t="shared" si="7"/>
        <v>781219.72</v>
      </c>
      <c r="AJ48" s="3404">
        <f t="shared" si="13"/>
        <v>4.846007812499999</v>
      </c>
      <c r="AK48" s="3404">
        <f t="shared" si="8"/>
        <v>800750.21</v>
      </c>
      <c r="AL48" s="3404">
        <f t="shared" si="11"/>
        <v>4.9671580078124986</v>
      </c>
      <c r="AM48" s="3404">
        <f t="shared" si="9"/>
        <v>820768.97</v>
      </c>
      <c r="AN48" s="3447"/>
      <c r="AO48" s="3447"/>
      <c r="AP48" s="3447"/>
      <c r="AQ48" s="3447"/>
      <c r="AR48" s="3447"/>
      <c r="AS48" s="3447"/>
      <c r="AT48" s="3447"/>
      <c r="AU48" s="3447"/>
      <c r="AV48" s="3447"/>
      <c r="AW48" s="3447"/>
      <c r="AX48" s="3447"/>
      <c r="AY48" s="3447"/>
      <c r="AZ48" s="3447"/>
      <c r="BA48" s="3447"/>
      <c r="BB48" s="3447"/>
      <c r="BC48" s="3447"/>
      <c r="BD48" s="3447"/>
      <c r="BE48" s="3447"/>
      <c r="BF48" s="3447"/>
    </row>
    <row r="49" spans="1:58" s="3448" customFormat="1" ht="42.75">
      <c r="A49" s="3436" t="s">
        <v>3316</v>
      </c>
      <c r="B49" s="3436" t="s">
        <v>3317</v>
      </c>
      <c r="C49" s="3436" t="s">
        <v>3318</v>
      </c>
      <c r="D49" s="3436" t="s">
        <v>3319</v>
      </c>
      <c r="E49" s="3436" t="s">
        <v>3314</v>
      </c>
      <c r="F49" s="3436" t="s">
        <v>3151</v>
      </c>
      <c r="G49" s="3437" t="s">
        <v>3152</v>
      </c>
      <c r="H49" s="3436" t="s">
        <v>3201</v>
      </c>
      <c r="I49" s="3438">
        <v>0.06</v>
      </c>
      <c r="J49" s="3439">
        <v>42305</v>
      </c>
      <c r="K49" s="3440">
        <v>42309</v>
      </c>
      <c r="L49" s="3417">
        <v>43404</v>
      </c>
      <c r="M49" s="3441">
        <v>0</v>
      </c>
      <c r="N49" s="3437" t="s">
        <v>3154</v>
      </c>
      <c r="O49" s="3437" t="s">
        <v>3155</v>
      </c>
      <c r="P49" s="3436" t="s">
        <v>3193</v>
      </c>
      <c r="Q49" s="3436" t="s">
        <v>3320</v>
      </c>
      <c r="R49" s="3442">
        <v>3</v>
      </c>
      <c r="S49" s="3443">
        <v>258.25</v>
      </c>
      <c r="T49" s="3442">
        <v>258.25</v>
      </c>
      <c r="U49" s="3443">
        <v>25</v>
      </c>
      <c r="V49" s="3436" t="s">
        <v>3158</v>
      </c>
      <c r="W49" s="3467" t="s">
        <v>3159</v>
      </c>
      <c r="X49" s="3445">
        <f t="shared" si="0"/>
        <v>6456</v>
      </c>
      <c r="Y49" s="3422">
        <f t="shared" si="1"/>
        <v>0.83330106485963218</v>
      </c>
      <c r="Z49" s="3433">
        <f t="shared" si="15"/>
        <v>0.83330106485963218</v>
      </c>
      <c r="AA49" s="3423">
        <f t="shared" si="2"/>
        <v>28191.200000000001</v>
      </c>
      <c r="AB49" s="3407">
        <f t="shared" si="14"/>
        <v>0.88329912875121019</v>
      </c>
      <c r="AC49" s="3404">
        <f t="shared" si="3"/>
        <v>83260.88</v>
      </c>
      <c r="AD49" s="3446">
        <v>4.5</v>
      </c>
      <c r="AE49" s="3404">
        <f t="shared" si="4"/>
        <v>424175.63</v>
      </c>
      <c r="AF49" s="3446">
        <f t="shared" si="20"/>
        <v>4.6124999999999998</v>
      </c>
      <c r="AG49" s="3404">
        <f t="shared" si="5"/>
        <v>434780.02</v>
      </c>
      <c r="AH49" s="3447">
        <f t="shared" si="21"/>
        <v>4.7278124999999998</v>
      </c>
      <c r="AI49" s="3399">
        <f t="shared" si="7"/>
        <v>445649.52</v>
      </c>
      <c r="AJ49" s="3404">
        <f t="shared" si="13"/>
        <v>4.846007812499999</v>
      </c>
      <c r="AK49" s="3404">
        <f t="shared" si="8"/>
        <v>456790.75</v>
      </c>
      <c r="AL49" s="3404">
        <f t="shared" si="11"/>
        <v>4.9671580078124986</v>
      </c>
      <c r="AM49" s="3404">
        <f t="shared" si="9"/>
        <v>468210.52</v>
      </c>
      <c r="AN49" s="3447"/>
      <c r="AO49" s="3447"/>
      <c r="AP49" s="3447"/>
      <c r="AQ49" s="3447"/>
      <c r="AR49" s="3447"/>
      <c r="AS49" s="3447"/>
      <c r="AT49" s="3447"/>
      <c r="AU49" s="3447"/>
      <c r="AV49" s="3447"/>
      <c r="AW49" s="3447"/>
      <c r="AX49" s="3447"/>
      <c r="AY49" s="3447"/>
      <c r="AZ49" s="3447"/>
      <c r="BA49" s="3447"/>
      <c r="BB49" s="3447"/>
      <c r="BC49" s="3447"/>
      <c r="BD49" s="3447"/>
      <c r="BE49" s="3447"/>
      <c r="BF49" s="3447"/>
    </row>
    <row r="50" spans="1:58" s="3448" customFormat="1" ht="42.75">
      <c r="A50" s="3436" t="s">
        <v>3321</v>
      </c>
      <c r="B50" s="3436" t="s">
        <v>3322</v>
      </c>
      <c r="C50" s="3436" t="s">
        <v>3323</v>
      </c>
      <c r="D50" s="3436" t="s">
        <v>3324</v>
      </c>
      <c r="E50" s="3436" t="s">
        <v>3200</v>
      </c>
      <c r="F50" s="3436" t="s">
        <v>3151</v>
      </c>
      <c r="G50" s="3437" t="s">
        <v>3152</v>
      </c>
      <c r="H50" s="3436" t="s">
        <v>3201</v>
      </c>
      <c r="I50" s="3438">
        <v>0.06</v>
      </c>
      <c r="J50" s="3439">
        <v>42299</v>
      </c>
      <c r="K50" s="3440">
        <v>42309</v>
      </c>
      <c r="L50" s="3417">
        <v>43404</v>
      </c>
      <c r="M50" s="3441">
        <v>0</v>
      </c>
      <c r="N50" s="3437" t="s">
        <v>3154</v>
      </c>
      <c r="O50" s="3437" t="s">
        <v>3155</v>
      </c>
      <c r="P50" s="3436" t="s">
        <v>3226</v>
      </c>
      <c r="Q50" s="3436" t="s">
        <v>3325</v>
      </c>
      <c r="R50" s="3442">
        <v>1</v>
      </c>
      <c r="S50" s="3443">
        <v>61.45</v>
      </c>
      <c r="T50" s="3442">
        <v>61.45</v>
      </c>
      <c r="U50" s="3443">
        <v>75</v>
      </c>
      <c r="V50" s="3436" t="s">
        <v>3158</v>
      </c>
      <c r="W50" s="3467" t="s">
        <v>3159</v>
      </c>
      <c r="X50" s="3445">
        <f t="shared" si="0"/>
        <v>4609</v>
      </c>
      <c r="Y50" s="3422">
        <f t="shared" si="1"/>
        <v>2.500135611608354</v>
      </c>
      <c r="Z50" s="3433">
        <f t="shared" si="15"/>
        <v>2.500135611608354</v>
      </c>
      <c r="AA50" s="3423">
        <f t="shared" si="2"/>
        <v>20125.97</v>
      </c>
      <c r="AB50" s="3407">
        <f t="shared" si="14"/>
        <v>2.6501437483048553</v>
      </c>
      <c r="AC50" s="3404">
        <f t="shared" si="3"/>
        <v>59440.74</v>
      </c>
      <c r="AD50" s="3446">
        <v>4.5</v>
      </c>
      <c r="AE50" s="3404">
        <f t="shared" si="4"/>
        <v>100931.63</v>
      </c>
      <c r="AF50" s="3446">
        <f t="shared" si="20"/>
        <v>4.6124999999999998</v>
      </c>
      <c r="AG50" s="3404">
        <f t="shared" si="5"/>
        <v>103454.92</v>
      </c>
      <c r="AH50" s="3447">
        <f t="shared" si="21"/>
        <v>4.7278124999999998</v>
      </c>
      <c r="AI50" s="3399">
        <f t="shared" si="7"/>
        <v>106041.29</v>
      </c>
      <c r="AJ50" s="3404">
        <f t="shared" si="13"/>
        <v>4.846007812499999</v>
      </c>
      <c r="AK50" s="3404">
        <f t="shared" si="8"/>
        <v>108692.32</v>
      </c>
      <c r="AL50" s="3404">
        <f t="shared" si="11"/>
        <v>4.9671580078124986</v>
      </c>
      <c r="AM50" s="3404">
        <f t="shared" si="9"/>
        <v>111409.63</v>
      </c>
      <c r="AN50" s="3447"/>
      <c r="AO50" s="3447"/>
      <c r="AP50" s="3447"/>
      <c r="AQ50" s="3447"/>
      <c r="AR50" s="3447"/>
      <c r="AS50" s="3447"/>
      <c r="AT50" s="3447"/>
      <c r="AU50" s="3447"/>
      <c r="AV50" s="3447"/>
      <c r="AW50" s="3447"/>
      <c r="AX50" s="3447"/>
      <c r="AY50" s="3447"/>
      <c r="AZ50" s="3447"/>
      <c r="BA50" s="3447"/>
      <c r="BB50" s="3447"/>
      <c r="BC50" s="3447"/>
      <c r="BD50" s="3447"/>
      <c r="BE50" s="3447"/>
      <c r="BF50" s="3447"/>
    </row>
    <row r="51" spans="1:58" s="3448" customFormat="1" ht="42.75">
      <c r="A51" s="3436" t="s">
        <v>3326</v>
      </c>
      <c r="B51" s="3436" t="s">
        <v>3327</v>
      </c>
      <c r="C51" s="3436" t="s">
        <v>3328</v>
      </c>
      <c r="D51" s="3436" t="s">
        <v>3329</v>
      </c>
      <c r="E51" s="3436" t="s">
        <v>3215</v>
      </c>
      <c r="F51" s="3436" t="s">
        <v>3216</v>
      </c>
      <c r="G51" s="3437" t="s">
        <v>3152</v>
      </c>
      <c r="H51" s="3436" t="s">
        <v>3201</v>
      </c>
      <c r="I51" s="3438">
        <v>0.06</v>
      </c>
      <c r="J51" s="3439">
        <v>42370</v>
      </c>
      <c r="K51" s="3440">
        <v>42370</v>
      </c>
      <c r="L51" s="3429">
        <v>43465</v>
      </c>
      <c r="M51" s="3441">
        <v>12</v>
      </c>
      <c r="N51" s="3437" t="s">
        <v>3154</v>
      </c>
      <c r="O51" s="3437" t="s">
        <v>3155</v>
      </c>
      <c r="P51" s="3436" t="s">
        <v>3232</v>
      </c>
      <c r="Q51" s="3436" t="s">
        <v>3330</v>
      </c>
      <c r="R51" s="3442">
        <v>1</v>
      </c>
      <c r="S51" s="3443">
        <v>66.17</v>
      </c>
      <c r="T51" s="3442">
        <v>66.17</v>
      </c>
      <c r="U51" s="3443">
        <v>40</v>
      </c>
      <c r="V51" s="3436" t="s">
        <v>3158</v>
      </c>
      <c r="W51" s="3467" t="s">
        <v>3218</v>
      </c>
      <c r="X51" s="3445">
        <f t="shared" si="0"/>
        <v>2647</v>
      </c>
      <c r="Y51" s="3422">
        <f t="shared" si="1"/>
        <v>1.333434083925243</v>
      </c>
      <c r="Z51" s="3433">
        <f t="shared" si="15"/>
        <v>1.333434083925243</v>
      </c>
      <c r="AA51" s="3423">
        <f t="shared" si="2"/>
        <v>11558.57</v>
      </c>
      <c r="AB51" s="3407">
        <f t="shared" si="14"/>
        <v>1.4134401289607577</v>
      </c>
      <c r="AC51" s="3404">
        <f t="shared" si="3"/>
        <v>34137.480000000003</v>
      </c>
      <c r="AD51" s="3446">
        <v>2.2000000000000002</v>
      </c>
      <c r="AE51" s="3404">
        <f t="shared" si="4"/>
        <v>53134.51</v>
      </c>
      <c r="AF51" s="3446">
        <f t="shared" si="20"/>
        <v>2.2549999999999999</v>
      </c>
      <c r="AG51" s="3404">
        <f t="shared" si="5"/>
        <v>54462.87</v>
      </c>
      <c r="AH51" s="3447">
        <f t="shared" si="21"/>
        <v>2.3113749999999995</v>
      </c>
      <c r="AI51" s="3399">
        <f t="shared" si="7"/>
        <v>55824.44</v>
      </c>
      <c r="AJ51" s="3404">
        <f t="shared" si="13"/>
        <v>2.3691593749999993</v>
      </c>
      <c r="AK51" s="3404">
        <f t="shared" si="8"/>
        <v>57220.06</v>
      </c>
      <c r="AL51" s="3404">
        <f t="shared" si="11"/>
        <v>2.4283883593749991</v>
      </c>
      <c r="AM51" s="3404">
        <f t="shared" si="9"/>
        <v>58650.559999999998</v>
      </c>
      <c r="AN51" s="3447"/>
      <c r="AO51" s="3447"/>
      <c r="AP51" s="3447"/>
      <c r="AQ51" s="3447"/>
      <c r="AR51" s="3447"/>
      <c r="AS51" s="3447"/>
      <c r="AT51" s="3447"/>
      <c r="AU51" s="3447"/>
      <c r="AV51" s="3447"/>
      <c r="AW51" s="3447"/>
      <c r="AX51" s="3447"/>
      <c r="AY51" s="3447"/>
      <c r="AZ51" s="3447"/>
      <c r="BA51" s="3447"/>
      <c r="BB51" s="3447"/>
      <c r="BC51" s="3447"/>
      <c r="BD51" s="3447"/>
      <c r="BE51" s="3447"/>
      <c r="BF51" s="3447"/>
    </row>
    <row r="52" spans="1:58" s="3448" customFormat="1" ht="42.75">
      <c r="A52" s="3436" t="s">
        <v>3326</v>
      </c>
      <c r="B52" s="3436" t="s">
        <v>3327</v>
      </c>
      <c r="C52" s="3436" t="s">
        <v>3328</v>
      </c>
      <c r="D52" s="3436" t="s">
        <v>3329</v>
      </c>
      <c r="E52" s="3436" t="s">
        <v>3215</v>
      </c>
      <c r="F52" s="3436" t="s">
        <v>3216</v>
      </c>
      <c r="G52" s="3437" t="s">
        <v>3152</v>
      </c>
      <c r="H52" s="3436" t="s">
        <v>3201</v>
      </c>
      <c r="I52" s="3438">
        <v>0.06</v>
      </c>
      <c r="J52" s="3439">
        <v>42370</v>
      </c>
      <c r="K52" s="3440">
        <v>42370</v>
      </c>
      <c r="L52" s="3429">
        <v>43465</v>
      </c>
      <c r="M52" s="3441">
        <v>6</v>
      </c>
      <c r="N52" s="3437" t="s">
        <v>3154</v>
      </c>
      <c r="O52" s="3437" t="s">
        <v>3155</v>
      </c>
      <c r="P52" s="3436" t="s">
        <v>3232</v>
      </c>
      <c r="Q52" s="3436" t="s">
        <v>3330</v>
      </c>
      <c r="R52" s="3442">
        <v>1</v>
      </c>
      <c r="S52" s="3443">
        <v>66.17</v>
      </c>
      <c r="T52" s="3442">
        <v>66.17</v>
      </c>
      <c r="U52" s="3443">
        <v>40</v>
      </c>
      <c r="V52" s="3436" t="s">
        <v>3158</v>
      </c>
      <c r="W52" s="3467" t="s">
        <v>3159</v>
      </c>
      <c r="X52" s="3445">
        <f t="shared" si="0"/>
        <v>2647</v>
      </c>
      <c r="Y52" s="3422">
        <f t="shared" si="1"/>
        <v>1.333434083925243</v>
      </c>
      <c r="Z52" s="3433">
        <f t="shared" si="15"/>
        <v>1.333434083925243</v>
      </c>
      <c r="AA52" s="3423">
        <f t="shared" si="2"/>
        <v>11558.57</v>
      </c>
      <c r="AB52" s="3407">
        <f t="shared" si="14"/>
        <v>1.4134401289607577</v>
      </c>
      <c r="AC52" s="3404">
        <f t="shared" si="3"/>
        <v>34137.480000000003</v>
      </c>
      <c r="AD52" s="3446">
        <v>2.2000000000000002</v>
      </c>
      <c r="AE52" s="3404">
        <f t="shared" si="4"/>
        <v>53134.51</v>
      </c>
      <c r="AF52" s="3446">
        <f t="shared" si="20"/>
        <v>2.2549999999999999</v>
      </c>
      <c r="AG52" s="3404">
        <f t="shared" si="5"/>
        <v>54462.87</v>
      </c>
      <c r="AH52" s="3447">
        <f t="shared" si="21"/>
        <v>2.3113749999999995</v>
      </c>
      <c r="AI52" s="3399">
        <f t="shared" si="7"/>
        <v>55824.44</v>
      </c>
      <c r="AJ52" s="3404">
        <f t="shared" si="13"/>
        <v>2.3691593749999993</v>
      </c>
      <c r="AK52" s="3404">
        <f t="shared" si="8"/>
        <v>57220.06</v>
      </c>
      <c r="AL52" s="3404">
        <f t="shared" si="11"/>
        <v>2.4283883593749991</v>
      </c>
      <c r="AM52" s="3404">
        <f t="shared" si="9"/>
        <v>58650.559999999998</v>
      </c>
      <c r="AN52" s="3447"/>
      <c r="AO52" s="3447"/>
      <c r="AP52" s="3447"/>
      <c r="AQ52" s="3447"/>
      <c r="AR52" s="3447"/>
      <c r="AS52" s="3447"/>
      <c r="AT52" s="3447"/>
      <c r="AU52" s="3447"/>
      <c r="AV52" s="3447"/>
      <c r="AW52" s="3447"/>
      <c r="AX52" s="3447"/>
      <c r="AY52" s="3447"/>
      <c r="AZ52" s="3447"/>
      <c r="BA52" s="3447"/>
      <c r="BB52" s="3447"/>
      <c r="BC52" s="3447"/>
      <c r="BD52" s="3447"/>
      <c r="BE52" s="3447"/>
      <c r="BF52" s="3447"/>
    </row>
    <row r="53" spans="1:58" s="3448" customFormat="1" ht="42.75">
      <c r="A53" s="3436" t="s">
        <v>3331</v>
      </c>
      <c r="B53" s="3436" t="s">
        <v>3332</v>
      </c>
      <c r="C53" s="3436" t="s">
        <v>3333</v>
      </c>
      <c r="D53" s="3436" t="s">
        <v>3334</v>
      </c>
      <c r="E53" s="3436" t="s">
        <v>3200</v>
      </c>
      <c r="F53" s="3436" t="s">
        <v>3216</v>
      </c>
      <c r="G53" s="3437" t="s">
        <v>3152</v>
      </c>
      <c r="H53" s="3436" t="s">
        <v>3201</v>
      </c>
      <c r="I53" s="3438">
        <v>0.06</v>
      </c>
      <c r="J53" s="3439">
        <v>42339</v>
      </c>
      <c r="K53" s="3440">
        <v>42339</v>
      </c>
      <c r="L53" s="3417">
        <v>43434</v>
      </c>
      <c r="M53" s="3441">
        <v>12</v>
      </c>
      <c r="N53" s="3437" t="s">
        <v>3154</v>
      </c>
      <c r="O53" s="3437" t="s">
        <v>3155</v>
      </c>
      <c r="P53" s="3436" t="s">
        <v>3226</v>
      </c>
      <c r="Q53" s="3436" t="s">
        <v>3335</v>
      </c>
      <c r="R53" s="3442">
        <v>1</v>
      </c>
      <c r="S53" s="3443">
        <v>66.09</v>
      </c>
      <c r="T53" s="3442">
        <v>66.09</v>
      </c>
      <c r="U53" s="3443">
        <v>37.5</v>
      </c>
      <c r="V53" s="3436" t="s">
        <v>3158</v>
      </c>
      <c r="W53" s="3467" t="s">
        <v>3218</v>
      </c>
      <c r="X53" s="3445">
        <f t="shared" si="0"/>
        <v>2478</v>
      </c>
      <c r="Y53" s="3422">
        <f t="shared" si="1"/>
        <v>1.2498108639733696</v>
      </c>
      <c r="Z53" s="3433">
        <f t="shared" si="15"/>
        <v>1.2498108639733696</v>
      </c>
      <c r="AA53" s="3423">
        <f t="shared" si="2"/>
        <v>10820.6</v>
      </c>
      <c r="AB53" s="3407">
        <f t="shared" si="14"/>
        <v>1.3247995158117718</v>
      </c>
      <c r="AC53" s="3404">
        <f t="shared" si="3"/>
        <v>31957.94</v>
      </c>
      <c r="AD53" s="3446">
        <v>2.2000000000000002</v>
      </c>
      <c r="AE53" s="3404">
        <f t="shared" si="4"/>
        <v>53070.27</v>
      </c>
      <c r="AF53" s="3446">
        <f t="shared" si="20"/>
        <v>2.2549999999999999</v>
      </c>
      <c r="AG53" s="3404">
        <f t="shared" si="5"/>
        <v>54397.03</v>
      </c>
      <c r="AH53" s="3447">
        <f t="shared" si="21"/>
        <v>2.3113749999999995</v>
      </c>
      <c r="AI53" s="3399">
        <f t="shared" si="7"/>
        <v>55756.95</v>
      </c>
      <c r="AJ53" s="3404">
        <f t="shared" si="13"/>
        <v>2.3691593749999993</v>
      </c>
      <c r="AK53" s="3404">
        <f t="shared" si="8"/>
        <v>57150.879999999997</v>
      </c>
      <c r="AL53" s="3404">
        <f t="shared" si="11"/>
        <v>2.4283883593749991</v>
      </c>
      <c r="AM53" s="3404">
        <f t="shared" si="9"/>
        <v>58579.65</v>
      </c>
      <c r="AN53" s="3447"/>
      <c r="AO53" s="3447"/>
      <c r="AP53" s="3447"/>
      <c r="AQ53" s="3447"/>
      <c r="AR53" s="3447"/>
      <c r="AS53" s="3447"/>
      <c r="AT53" s="3447"/>
      <c r="AU53" s="3447"/>
      <c r="AV53" s="3447"/>
      <c r="AW53" s="3447"/>
      <c r="AX53" s="3447"/>
      <c r="AY53" s="3447"/>
      <c r="AZ53" s="3447"/>
      <c r="BA53" s="3447"/>
      <c r="BB53" s="3447"/>
      <c r="BC53" s="3447"/>
      <c r="BD53" s="3447"/>
      <c r="BE53" s="3447"/>
      <c r="BF53" s="3447"/>
    </row>
    <row r="54" spans="1:58" s="3448" customFormat="1" ht="42.75">
      <c r="A54" s="3436" t="s">
        <v>3331</v>
      </c>
      <c r="B54" s="3436" t="s">
        <v>3332</v>
      </c>
      <c r="C54" s="3436" t="s">
        <v>3333</v>
      </c>
      <c r="D54" s="3436" t="s">
        <v>3334</v>
      </c>
      <c r="E54" s="3436" t="s">
        <v>3200</v>
      </c>
      <c r="F54" s="3436" t="s">
        <v>3216</v>
      </c>
      <c r="G54" s="3437" t="s">
        <v>3152</v>
      </c>
      <c r="H54" s="3436" t="s">
        <v>3201</v>
      </c>
      <c r="I54" s="3438">
        <v>0.06</v>
      </c>
      <c r="J54" s="3439">
        <v>42339</v>
      </c>
      <c r="K54" s="3440">
        <v>42339</v>
      </c>
      <c r="L54" s="3417">
        <v>43434</v>
      </c>
      <c r="M54" s="3441">
        <v>6</v>
      </c>
      <c r="N54" s="3437" t="s">
        <v>3154</v>
      </c>
      <c r="O54" s="3437" t="s">
        <v>3155</v>
      </c>
      <c r="P54" s="3436" t="s">
        <v>3226</v>
      </c>
      <c r="Q54" s="3436" t="s">
        <v>3335</v>
      </c>
      <c r="R54" s="3442">
        <v>1</v>
      </c>
      <c r="S54" s="3443">
        <v>66.09</v>
      </c>
      <c r="T54" s="3442">
        <v>66.09</v>
      </c>
      <c r="U54" s="3443">
        <v>37.5</v>
      </c>
      <c r="V54" s="3436" t="s">
        <v>3158</v>
      </c>
      <c r="W54" s="3467" t="s">
        <v>3159</v>
      </c>
      <c r="X54" s="3445">
        <f t="shared" si="0"/>
        <v>2478</v>
      </c>
      <c r="Y54" s="3422">
        <f t="shared" si="1"/>
        <v>1.2498108639733696</v>
      </c>
      <c r="Z54" s="3433">
        <f t="shared" si="15"/>
        <v>1.2498108639733696</v>
      </c>
      <c r="AA54" s="3423">
        <f t="shared" si="2"/>
        <v>10820.6</v>
      </c>
      <c r="AB54" s="3407">
        <f t="shared" si="14"/>
        <v>1.3247995158117718</v>
      </c>
      <c r="AC54" s="3404">
        <f t="shared" si="3"/>
        <v>31957.94</v>
      </c>
      <c r="AD54" s="3446">
        <v>2.2000000000000002</v>
      </c>
      <c r="AE54" s="3404">
        <f t="shared" si="4"/>
        <v>53070.27</v>
      </c>
      <c r="AF54" s="3446">
        <f t="shared" si="20"/>
        <v>2.2549999999999999</v>
      </c>
      <c r="AG54" s="3404">
        <f t="shared" si="5"/>
        <v>54397.03</v>
      </c>
      <c r="AH54" s="3447">
        <f t="shared" si="21"/>
        <v>2.3113749999999995</v>
      </c>
      <c r="AI54" s="3399">
        <f t="shared" si="7"/>
        <v>55756.95</v>
      </c>
      <c r="AJ54" s="3404">
        <f t="shared" si="13"/>
        <v>2.3691593749999993</v>
      </c>
      <c r="AK54" s="3404">
        <f t="shared" si="8"/>
        <v>57150.879999999997</v>
      </c>
      <c r="AL54" s="3404">
        <f t="shared" si="11"/>
        <v>2.4283883593749991</v>
      </c>
      <c r="AM54" s="3404">
        <f t="shared" si="9"/>
        <v>58579.65</v>
      </c>
      <c r="AN54" s="3447"/>
      <c r="AO54" s="3447"/>
      <c r="AP54" s="3447"/>
      <c r="AQ54" s="3447"/>
      <c r="AR54" s="3447"/>
      <c r="AS54" s="3447"/>
      <c r="AT54" s="3447"/>
      <c r="AU54" s="3447"/>
      <c r="AV54" s="3447"/>
      <c r="AW54" s="3447"/>
      <c r="AX54" s="3447"/>
      <c r="AY54" s="3447"/>
      <c r="AZ54" s="3447"/>
      <c r="BA54" s="3447"/>
      <c r="BB54" s="3447"/>
      <c r="BC54" s="3447"/>
      <c r="BD54" s="3447"/>
      <c r="BE54" s="3447"/>
      <c r="BF54" s="3447"/>
    </row>
    <row r="55" spans="1:58" s="3448" customFormat="1" ht="42.75">
      <c r="A55" s="3436" t="s">
        <v>3336</v>
      </c>
      <c r="B55" s="3436" t="s">
        <v>3337</v>
      </c>
      <c r="C55" s="3436" t="s">
        <v>3338</v>
      </c>
      <c r="D55" s="3436" t="s">
        <v>3339</v>
      </c>
      <c r="E55" s="3436" t="s">
        <v>3200</v>
      </c>
      <c r="F55" s="3436" t="s">
        <v>3216</v>
      </c>
      <c r="G55" s="3437" t="s">
        <v>3152</v>
      </c>
      <c r="H55" s="3436" t="s">
        <v>3201</v>
      </c>
      <c r="I55" s="3438">
        <v>0.06</v>
      </c>
      <c r="J55" s="3439">
        <v>42354</v>
      </c>
      <c r="K55" s="3440">
        <v>42354</v>
      </c>
      <c r="L55" s="3417">
        <v>43449</v>
      </c>
      <c r="M55" s="3441">
        <v>12</v>
      </c>
      <c r="N55" s="3437" t="s">
        <v>3154</v>
      </c>
      <c r="O55" s="3437" t="s">
        <v>3155</v>
      </c>
      <c r="P55" s="3436" t="s">
        <v>3226</v>
      </c>
      <c r="Q55" s="3436" t="s">
        <v>3340</v>
      </c>
      <c r="R55" s="3442">
        <v>1</v>
      </c>
      <c r="S55" s="3443">
        <v>62.88</v>
      </c>
      <c r="T55" s="3442">
        <v>62.88</v>
      </c>
      <c r="U55" s="3443">
        <v>37.5</v>
      </c>
      <c r="V55" s="3436" t="s">
        <v>3158</v>
      </c>
      <c r="W55" s="3467" t="s">
        <v>3218</v>
      </c>
      <c r="X55" s="3445">
        <f t="shared" si="0"/>
        <v>2358</v>
      </c>
      <c r="Y55" s="3422">
        <f t="shared" si="1"/>
        <v>1.25</v>
      </c>
      <c r="Z55" s="3433">
        <f t="shared" si="15"/>
        <v>1.25</v>
      </c>
      <c r="AA55" s="3423">
        <f t="shared" si="2"/>
        <v>10296.6</v>
      </c>
      <c r="AB55" s="3407">
        <f t="shared" si="14"/>
        <v>1.3250000000000002</v>
      </c>
      <c r="AC55" s="3404">
        <f t="shared" si="3"/>
        <v>30410.34</v>
      </c>
      <c r="AD55" s="3446">
        <v>2.2000000000000002</v>
      </c>
      <c r="AE55" s="3404">
        <f t="shared" si="4"/>
        <v>50492.639999999999</v>
      </c>
      <c r="AF55" s="3446">
        <f t="shared" si="20"/>
        <v>2.2549999999999999</v>
      </c>
      <c r="AG55" s="3404">
        <f t="shared" si="5"/>
        <v>51754.96</v>
      </c>
      <c r="AH55" s="3447">
        <f t="shared" si="21"/>
        <v>2.3113749999999995</v>
      </c>
      <c r="AI55" s="3399">
        <f t="shared" si="7"/>
        <v>53048.83</v>
      </c>
      <c r="AJ55" s="3404">
        <f t="shared" si="13"/>
        <v>2.3691593749999993</v>
      </c>
      <c r="AK55" s="3404">
        <f t="shared" si="8"/>
        <v>54375.05</v>
      </c>
      <c r="AL55" s="3404">
        <f t="shared" si="11"/>
        <v>2.4283883593749991</v>
      </c>
      <c r="AM55" s="3404">
        <f t="shared" si="9"/>
        <v>55734.43</v>
      </c>
      <c r="AN55" s="3447"/>
      <c r="AO55" s="3447"/>
      <c r="AP55" s="3447"/>
      <c r="AQ55" s="3447"/>
      <c r="AR55" s="3447"/>
      <c r="AS55" s="3447"/>
      <c r="AT55" s="3447"/>
      <c r="AU55" s="3447"/>
      <c r="AV55" s="3447"/>
      <c r="AW55" s="3447"/>
      <c r="AX55" s="3447"/>
      <c r="AY55" s="3447"/>
      <c r="AZ55" s="3447"/>
      <c r="BA55" s="3447"/>
      <c r="BB55" s="3447"/>
      <c r="BC55" s="3447"/>
      <c r="BD55" s="3447"/>
      <c r="BE55" s="3447"/>
      <c r="BF55" s="3447"/>
    </row>
    <row r="56" spans="1:58" s="3448" customFormat="1" ht="42.75">
      <c r="A56" s="3436" t="s">
        <v>3336</v>
      </c>
      <c r="B56" s="3436" t="s">
        <v>3337</v>
      </c>
      <c r="C56" s="3436" t="s">
        <v>3338</v>
      </c>
      <c r="D56" s="3436" t="s">
        <v>3339</v>
      </c>
      <c r="E56" s="3436" t="s">
        <v>3200</v>
      </c>
      <c r="F56" s="3436" t="s">
        <v>3216</v>
      </c>
      <c r="G56" s="3437" t="s">
        <v>3152</v>
      </c>
      <c r="H56" s="3436" t="s">
        <v>3201</v>
      </c>
      <c r="I56" s="3438">
        <v>0.06</v>
      </c>
      <c r="J56" s="3439">
        <v>42354</v>
      </c>
      <c r="K56" s="3440">
        <v>42354</v>
      </c>
      <c r="L56" s="3417">
        <v>43449</v>
      </c>
      <c r="M56" s="3441">
        <v>6</v>
      </c>
      <c r="N56" s="3437" t="s">
        <v>3154</v>
      </c>
      <c r="O56" s="3437" t="s">
        <v>3155</v>
      </c>
      <c r="P56" s="3436" t="s">
        <v>3226</v>
      </c>
      <c r="Q56" s="3436" t="s">
        <v>3340</v>
      </c>
      <c r="R56" s="3442">
        <v>1</v>
      </c>
      <c r="S56" s="3443">
        <v>62.88</v>
      </c>
      <c r="T56" s="3442">
        <v>62.88</v>
      </c>
      <c r="U56" s="3443">
        <v>37.5</v>
      </c>
      <c r="V56" s="3436" t="s">
        <v>3158</v>
      </c>
      <c r="W56" s="3467" t="s">
        <v>3159</v>
      </c>
      <c r="X56" s="3445">
        <f t="shared" si="0"/>
        <v>2358</v>
      </c>
      <c r="Y56" s="3422">
        <f t="shared" si="1"/>
        <v>1.25</v>
      </c>
      <c r="Z56" s="3433">
        <f t="shared" si="15"/>
        <v>1.25</v>
      </c>
      <c r="AA56" s="3423">
        <f t="shared" si="2"/>
        <v>10296.6</v>
      </c>
      <c r="AB56" s="3407">
        <f t="shared" si="14"/>
        <v>1.3250000000000002</v>
      </c>
      <c r="AC56" s="3404">
        <f t="shared" si="3"/>
        <v>30410.34</v>
      </c>
      <c r="AD56" s="3446">
        <v>2.2000000000000002</v>
      </c>
      <c r="AE56" s="3404">
        <f t="shared" si="4"/>
        <v>50492.639999999999</v>
      </c>
      <c r="AF56" s="3446">
        <f t="shared" si="20"/>
        <v>2.2549999999999999</v>
      </c>
      <c r="AG56" s="3404">
        <f t="shared" si="5"/>
        <v>51754.96</v>
      </c>
      <c r="AH56" s="3447">
        <f t="shared" si="21"/>
        <v>2.3113749999999995</v>
      </c>
      <c r="AI56" s="3399">
        <f t="shared" si="7"/>
        <v>53048.83</v>
      </c>
      <c r="AJ56" s="3404">
        <f t="shared" si="13"/>
        <v>2.3691593749999993</v>
      </c>
      <c r="AK56" s="3404">
        <f t="shared" si="8"/>
        <v>54375.05</v>
      </c>
      <c r="AL56" s="3404">
        <f t="shared" si="11"/>
        <v>2.4283883593749991</v>
      </c>
      <c r="AM56" s="3404">
        <f t="shared" si="9"/>
        <v>55734.43</v>
      </c>
      <c r="AN56" s="3447"/>
      <c r="AO56" s="3447"/>
      <c r="AP56" s="3447"/>
      <c r="AQ56" s="3447"/>
      <c r="AR56" s="3447"/>
      <c r="AS56" s="3447"/>
      <c r="AT56" s="3447"/>
      <c r="AU56" s="3447"/>
      <c r="AV56" s="3447"/>
      <c r="AW56" s="3447"/>
      <c r="AX56" s="3447"/>
      <c r="AY56" s="3447"/>
      <c r="AZ56" s="3447"/>
      <c r="BA56" s="3447"/>
      <c r="BB56" s="3447"/>
      <c r="BC56" s="3447"/>
      <c r="BD56" s="3447"/>
      <c r="BE56" s="3447"/>
      <c r="BF56" s="3447"/>
    </row>
    <row r="57" spans="1:58" s="3484" customFormat="1" ht="57">
      <c r="A57" s="3470" t="s">
        <v>3341</v>
      </c>
      <c r="B57" s="3470" t="s">
        <v>3342</v>
      </c>
      <c r="C57" s="3470" t="s">
        <v>3343</v>
      </c>
      <c r="D57" s="3470" t="s">
        <v>3344</v>
      </c>
      <c r="E57" s="3470" t="s">
        <v>3246</v>
      </c>
      <c r="F57" s="3470" t="s">
        <v>3216</v>
      </c>
      <c r="G57" s="3471" t="s">
        <v>3152</v>
      </c>
      <c r="H57" s="3470" t="s">
        <v>3345</v>
      </c>
      <c r="I57" s="3472">
        <v>0</v>
      </c>
      <c r="J57" s="3473">
        <v>42339</v>
      </c>
      <c r="K57" s="3474">
        <v>42339</v>
      </c>
      <c r="L57" s="3417">
        <v>43434</v>
      </c>
      <c r="M57" s="3475">
        <v>12</v>
      </c>
      <c r="N57" s="3471" t="s">
        <v>3154</v>
      </c>
      <c r="O57" s="3471" t="s">
        <v>3155</v>
      </c>
      <c r="P57" s="3470" t="s">
        <v>3232</v>
      </c>
      <c r="Q57" s="3470" t="s">
        <v>3346</v>
      </c>
      <c r="R57" s="3476">
        <v>1</v>
      </c>
      <c r="S57" s="3477">
        <v>75.44</v>
      </c>
      <c r="T57" s="3476">
        <v>75.44</v>
      </c>
      <c r="U57" s="3477">
        <v>30</v>
      </c>
      <c r="V57" s="3470" t="s">
        <v>3158</v>
      </c>
      <c r="W57" s="3478" t="s">
        <v>3218</v>
      </c>
      <c r="X57" s="3479">
        <f t="shared" si="0"/>
        <v>2263</v>
      </c>
      <c r="Y57" s="3479">
        <f t="shared" si="1"/>
        <v>0.99991162955107815</v>
      </c>
      <c r="Z57" s="3480">
        <f t="shared" si="15"/>
        <v>0.99991162955107815</v>
      </c>
      <c r="AA57" s="3481">
        <f t="shared" si="2"/>
        <v>9881.77</v>
      </c>
      <c r="AB57" s="3482">
        <f>Z57</f>
        <v>0.99991162955107815</v>
      </c>
      <c r="AC57" s="3404">
        <f t="shared" si="3"/>
        <v>27533.17</v>
      </c>
      <c r="AD57" s="3446">
        <v>2.2000000000000002</v>
      </c>
      <c r="AE57" s="3404">
        <f t="shared" si="4"/>
        <v>60578.32</v>
      </c>
      <c r="AF57" s="3446">
        <f t="shared" si="20"/>
        <v>2.2549999999999999</v>
      </c>
      <c r="AG57" s="3404">
        <f t="shared" si="5"/>
        <v>62092.78</v>
      </c>
      <c r="AH57" s="3447">
        <f t="shared" si="21"/>
        <v>2.3113749999999995</v>
      </c>
      <c r="AI57" s="3399">
        <f t="shared" si="7"/>
        <v>63645.1</v>
      </c>
      <c r="AJ57" s="3404">
        <f t="shared" si="13"/>
        <v>2.3691593749999993</v>
      </c>
      <c r="AK57" s="3404">
        <f t="shared" si="8"/>
        <v>65236.22</v>
      </c>
      <c r="AL57" s="3404">
        <f t="shared" si="11"/>
        <v>2.4283883593749991</v>
      </c>
      <c r="AM57" s="3404">
        <f t="shared" si="9"/>
        <v>66867.13</v>
      </c>
      <c r="AN57" s="3483"/>
      <c r="AO57" s="3483"/>
      <c r="AP57" s="3483"/>
      <c r="AQ57" s="3483"/>
      <c r="AR57" s="3483"/>
      <c r="AS57" s="3483"/>
      <c r="AT57" s="3483"/>
      <c r="AU57" s="3483"/>
      <c r="AV57" s="3483"/>
      <c r="AW57" s="3483"/>
      <c r="AX57" s="3483"/>
      <c r="AY57" s="3483"/>
      <c r="AZ57" s="3483"/>
      <c r="BA57" s="3483"/>
      <c r="BB57" s="3483"/>
      <c r="BC57" s="3483"/>
      <c r="BD57" s="3483"/>
      <c r="BE57" s="3483"/>
      <c r="BF57" s="3483"/>
    </row>
    <row r="58" spans="1:58" s="3484" customFormat="1" ht="57">
      <c r="A58" s="3470" t="s">
        <v>3341</v>
      </c>
      <c r="B58" s="3470" t="s">
        <v>3342</v>
      </c>
      <c r="C58" s="3470" t="s">
        <v>3343</v>
      </c>
      <c r="D58" s="3470" t="s">
        <v>3344</v>
      </c>
      <c r="E58" s="3470" t="s">
        <v>3246</v>
      </c>
      <c r="F58" s="3470" t="s">
        <v>3216</v>
      </c>
      <c r="G58" s="3471" t="s">
        <v>3152</v>
      </c>
      <c r="H58" s="3470" t="s">
        <v>3345</v>
      </c>
      <c r="I58" s="3472">
        <v>0</v>
      </c>
      <c r="J58" s="3473">
        <v>42339</v>
      </c>
      <c r="K58" s="3474">
        <v>42339</v>
      </c>
      <c r="L58" s="3417">
        <v>43434</v>
      </c>
      <c r="M58" s="3475">
        <v>6</v>
      </c>
      <c r="N58" s="3471" t="s">
        <v>3154</v>
      </c>
      <c r="O58" s="3471" t="s">
        <v>3155</v>
      </c>
      <c r="P58" s="3470" t="s">
        <v>3232</v>
      </c>
      <c r="Q58" s="3470" t="s">
        <v>3346</v>
      </c>
      <c r="R58" s="3476">
        <v>1</v>
      </c>
      <c r="S58" s="3477">
        <v>75.44</v>
      </c>
      <c r="T58" s="3476">
        <v>75.44</v>
      </c>
      <c r="U58" s="3477">
        <v>30</v>
      </c>
      <c r="V58" s="3470" t="s">
        <v>3158</v>
      </c>
      <c r="W58" s="3478" t="s">
        <v>3159</v>
      </c>
      <c r="X58" s="3479">
        <f t="shared" si="0"/>
        <v>2263</v>
      </c>
      <c r="Y58" s="3479">
        <f t="shared" si="1"/>
        <v>0.99991162955107815</v>
      </c>
      <c r="Z58" s="3480">
        <f t="shared" si="15"/>
        <v>0.99991162955107815</v>
      </c>
      <c r="AA58" s="3481">
        <f t="shared" si="2"/>
        <v>9881.77</v>
      </c>
      <c r="AB58" s="3482">
        <f>Z58</f>
        <v>0.99991162955107815</v>
      </c>
      <c r="AC58" s="3404">
        <f t="shared" si="3"/>
        <v>27533.17</v>
      </c>
      <c r="AD58" s="3446">
        <v>2.2000000000000002</v>
      </c>
      <c r="AE58" s="3404">
        <f t="shared" si="4"/>
        <v>60578.32</v>
      </c>
      <c r="AF58" s="3446">
        <f t="shared" si="20"/>
        <v>2.2549999999999999</v>
      </c>
      <c r="AG58" s="3404">
        <f t="shared" si="5"/>
        <v>62092.78</v>
      </c>
      <c r="AH58" s="3447">
        <f t="shared" si="21"/>
        <v>2.3113749999999995</v>
      </c>
      <c r="AI58" s="3399">
        <f t="shared" si="7"/>
        <v>63645.1</v>
      </c>
      <c r="AJ58" s="3404">
        <f t="shared" si="13"/>
        <v>2.3691593749999993</v>
      </c>
      <c r="AK58" s="3404">
        <f t="shared" si="8"/>
        <v>65236.22</v>
      </c>
      <c r="AL58" s="3404">
        <f t="shared" si="11"/>
        <v>2.4283883593749991</v>
      </c>
      <c r="AM58" s="3404">
        <f t="shared" si="9"/>
        <v>66867.13</v>
      </c>
      <c r="AN58" s="3483"/>
      <c r="AO58" s="3483"/>
      <c r="AP58" s="3483"/>
      <c r="AQ58" s="3483"/>
      <c r="AR58" s="3483"/>
      <c r="AS58" s="3483"/>
      <c r="AT58" s="3483"/>
      <c r="AU58" s="3483"/>
      <c r="AV58" s="3483"/>
      <c r="AW58" s="3483"/>
      <c r="AX58" s="3483"/>
      <c r="AY58" s="3483"/>
      <c r="AZ58" s="3483"/>
      <c r="BA58" s="3483"/>
      <c r="BB58" s="3483"/>
      <c r="BC58" s="3483"/>
      <c r="BD58" s="3483"/>
      <c r="BE58" s="3483"/>
      <c r="BF58" s="3483"/>
    </row>
    <row r="59" spans="1:58" s="3448" customFormat="1" ht="42.75">
      <c r="A59" s="3436" t="s">
        <v>3347</v>
      </c>
      <c r="B59" s="3436" t="s">
        <v>3348</v>
      </c>
      <c r="C59" s="3436" t="s">
        <v>3349</v>
      </c>
      <c r="D59" s="3436" t="s">
        <v>3350</v>
      </c>
      <c r="E59" s="3436" t="s">
        <v>3215</v>
      </c>
      <c r="F59" s="3436" t="s">
        <v>3216</v>
      </c>
      <c r="G59" s="3437" t="s">
        <v>3152</v>
      </c>
      <c r="H59" s="3436" t="s">
        <v>3201</v>
      </c>
      <c r="I59" s="3438">
        <v>0.06</v>
      </c>
      <c r="J59" s="3440">
        <v>42339</v>
      </c>
      <c r="K59" s="3440">
        <v>42339</v>
      </c>
      <c r="L59" s="3417">
        <v>43434</v>
      </c>
      <c r="M59" s="3441">
        <v>12</v>
      </c>
      <c r="N59" s="3437" t="s">
        <v>3154</v>
      </c>
      <c r="O59" s="3437" t="s">
        <v>3155</v>
      </c>
      <c r="P59" s="3436" t="s">
        <v>3232</v>
      </c>
      <c r="Q59" s="3436" t="s">
        <v>3351</v>
      </c>
      <c r="R59" s="3442">
        <v>1</v>
      </c>
      <c r="S59" s="3443">
        <v>62.97</v>
      </c>
      <c r="T59" s="3442">
        <v>62.97</v>
      </c>
      <c r="U59" s="3443">
        <v>40</v>
      </c>
      <c r="V59" s="3436" t="s">
        <v>3158</v>
      </c>
      <c r="W59" s="3467" t="s">
        <v>3218</v>
      </c>
      <c r="X59" s="3445">
        <f t="shared" si="0"/>
        <v>2519</v>
      </c>
      <c r="Y59" s="3422">
        <f t="shared" si="1"/>
        <v>1.3334392038536869</v>
      </c>
      <c r="Z59" s="3433">
        <f t="shared" si="15"/>
        <v>1.3334392038536869</v>
      </c>
      <c r="AA59" s="3423">
        <f t="shared" si="2"/>
        <v>10999.63</v>
      </c>
      <c r="AB59" s="3407">
        <f t="shared" ref="AB59:AB122" si="22">Z59*(1+$Z$1)</f>
        <v>1.4134455560849082</v>
      </c>
      <c r="AC59" s="3404">
        <f t="shared" si="3"/>
        <v>32486.7</v>
      </c>
      <c r="AD59" s="3446">
        <v>2.2000000000000002</v>
      </c>
      <c r="AE59" s="3404">
        <f t="shared" si="4"/>
        <v>50564.91</v>
      </c>
      <c r="AF59" s="3446">
        <f t="shared" si="20"/>
        <v>2.2549999999999999</v>
      </c>
      <c r="AG59" s="3404">
        <f t="shared" si="5"/>
        <v>51829.03</v>
      </c>
      <c r="AH59" s="3447">
        <f t="shared" si="21"/>
        <v>2.3113749999999995</v>
      </c>
      <c r="AI59" s="3399">
        <f t="shared" si="7"/>
        <v>53124.76</v>
      </c>
      <c r="AJ59" s="3404">
        <f t="shared" si="13"/>
        <v>2.3691593749999993</v>
      </c>
      <c r="AK59" s="3404">
        <f t="shared" si="8"/>
        <v>54452.88</v>
      </c>
      <c r="AL59" s="3404">
        <f t="shared" si="11"/>
        <v>2.4283883593749991</v>
      </c>
      <c r="AM59" s="3404">
        <f t="shared" si="9"/>
        <v>55814.2</v>
      </c>
      <c r="AN59" s="3447"/>
      <c r="AO59" s="3447"/>
      <c r="AP59" s="3447"/>
      <c r="AQ59" s="3447"/>
      <c r="AR59" s="3447"/>
      <c r="AS59" s="3447"/>
      <c r="AT59" s="3447"/>
      <c r="AU59" s="3447"/>
      <c r="AV59" s="3447"/>
      <c r="AW59" s="3447"/>
      <c r="AX59" s="3447"/>
      <c r="AY59" s="3447"/>
      <c r="AZ59" s="3447"/>
      <c r="BA59" s="3447"/>
      <c r="BB59" s="3447"/>
      <c r="BC59" s="3447"/>
      <c r="BD59" s="3447"/>
      <c r="BE59" s="3447"/>
      <c r="BF59" s="3447"/>
    </row>
    <row r="60" spans="1:58" s="3448" customFormat="1" ht="42.75">
      <c r="A60" s="3436" t="s">
        <v>3347</v>
      </c>
      <c r="B60" s="3436" t="s">
        <v>3348</v>
      </c>
      <c r="C60" s="3436" t="s">
        <v>3349</v>
      </c>
      <c r="D60" s="3436" t="s">
        <v>3350</v>
      </c>
      <c r="E60" s="3436" t="s">
        <v>3215</v>
      </c>
      <c r="F60" s="3436" t="s">
        <v>3216</v>
      </c>
      <c r="G60" s="3437" t="s">
        <v>3152</v>
      </c>
      <c r="H60" s="3436" t="s">
        <v>3201</v>
      </c>
      <c r="I60" s="3438">
        <v>0.06</v>
      </c>
      <c r="J60" s="3440">
        <v>42339</v>
      </c>
      <c r="K60" s="3440">
        <v>42339</v>
      </c>
      <c r="L60" s="3417">
        <v>43434</v>
      </c>
      <c r="M60" s="3441">
        <v>6</v>
      </c>
      <c r="N60" s="3437" t="s">
        <v>3154</v>
      </c>
      <c r="O60" s="3437" t="s">
        <v>3155</v>
      </c>
      <c r="P60" s="3436" t="s">
        <v>3232</v>
      </c>
      <c r="Q60" s="3436" t="s">
        <v>3351</v>
      </c>
      <c r="R60" s="3442">
        <v>1</v>
      </c>
      <c r="S60" s="3443">
        <v>62.97</v>
      </c>
      <c r="T60" s="3442">
        <v>62.97</v>
      </c>
      <c r="U60" s="3443">
        <v>40</v>
      </c>
      <c r="V60" s="3436" t="s">
        <v>3158</v>
      </c>
      <c r="W60" s="3467" t="s">
        <v>3159</v>
      </c>
      <c r="X60" s="3445">
        <f t="shared" si="0"/>
        <v>2519</v>
      </c>
      <c r="Y60" s="3422">
        <f t="shared" si="1"/>
        <v>1.3334392038536869</v>
      </c>
      <c r="Z60" s="3433">
        <f t="shared" si="15"/>
        <v>1.3334392038536869</v>
      </c>
      <c r="AA60" s="3423">
        <f t="shared" si="2"/>
        <v>10999.63</v>
      </c>
      <c r="AB60" s="3407">
        <f t="shared" si="22"/>
        <v>1.4134455560849082</v>
      </c>
      <c r="AC60" s="3404">
        <f t="shared" si="3"/>
        <v>32486.7</v>
      </c>
      <c r="AD60" s="3446">
        <v>2.2000000000000002</v>
      </c>
      <c r="AE60" s="3404">
        <f t="shared" si="4"/>
        <v>50564.91</v>
      </c>
      <c r="AF60" s="3446">
        <f t="shared" si="20"/>
        <v>2.2549999999999999</v>
      </c>
      <c r="AG60" s="3404">
        <f t="shared" si="5"/>
        <v>51829.03</v>
      </c>
      <c r="AH60" s="3447">
        <f t="shared" si="21"/>
        <v>2.3113749999999995</v>
      </c>
      <c r="AI60" s="3399">
        <f t="shared" si="7"/>
        <v>53124.76</v>
      </c>
      <c r="AJ60" s="3404">
        <f t="shared" si="13"/>
        <v>2.3691593749999993</v>
      </c>
      <c r="AK60" s="3404">
        <f t="shared" si="8"/>
        <v>54452.88</v>
      </c>
      <c r="AL60" s="3404">
        <f t="shared" si="11"/>
        <v>2.4283883593749991</v>
      </c>
      <c r="AM60" s="3404">
        <f t="shared" si="9"/>
        <v>55814.2</v>
      </c>
      <c r="AN60" s="3447"/>
      <c r="AO60" s="3447"/>
      <c r="AP60" s="3447"/>
      <c r="AQ60" s="3447"/>
      <c r="AR60" s="3447"/>
      <c r="AS60" s="3447"/>
      <c r="AT60" s="3447"/>
      <c r="AU60" s="3447"/>
      <c r="AV60" s="3447"/>
      <c r="AW60" s="3447"/>
      <c r="AX60" s="3447"/>
      <c r="AY60" s="3447"/>
      <c r="AZ60" s="3447"/>
      <c r="BA60" s="3447"/>
      <c r="BB60" s="3447"/>
      <c r="BC60" s="3447"/>
      <c r="BD60" s="3447"/>
      <c r="BE60" s="3447"/>
      <c r="BF60" s="3447"/>
    </row>
    <row r="61" spans="1:58" s="3399" customFormat="1" ht="42.75">
      <c r="A61" s="3414" t="s">
        <v>3352</v>
      </c>
      <c r="B61" s="3414" t="s">
        <v>3353</v>
      </c>
      <c r="C61" s="3414" t="s">
        <v>3354</v>
      </c>
      <c r="D61" s="3414" t="s">
        <v>3355</v>
      </c>
      <c r="E61" s="3414" t="s">
        <v>3215</v>
      </c>
      <c r="F61" s="3414" t="s">
        <v>3216</v>
      </c>
      <c r="G61" s="3413" t="s">
        <v>3152</v>
      </c>
      <c r="H61" s="3414" t="s">
        <v>3356</v>
      </c>
      <c r="I61" s="3449">
        <v>0.06</v>
      </c>
      <c r="J61" s="3450">
        <v>42381</v>
      </c>
      <c r="K61" s="3485">
        <v>42476</v>
      </c>
      <c r="L61" s="3429">
        <v>43570</v>
      </c>
      <c r="M61" s="3430">
        <v>12</v>
      </c>
      <c r="N61" s="3413" t="s">
        <v>3154</v>
      </c>
      <c r="O61" s="3413" t="s">
        <v>3155</v>
      </c>
      <c r="P61" s="3413" t="s">
        <v>3156</v>
      </c>
      <c r="Q61" s="3414" t="s">
        <v>3357</v>
      </c>
      <c r="R61" s="3420">
        <v>1</v>
      </c>
      <c r="S61" s="3419">
        <v>160.30000000000001</v>
      </c>
      <c r="T61" s="3420">
        <v>160.30000000000001</v>
      </c>
      <c r="U61" s="3419">
        <v>30</v>
      </c>
      <c r="V61" s="3414" t="s">
        <v>3158</v>
      </c>
      <c r="W61" s="3432" t="s">
        <v>3218</v>
      </c>
      <c r="X61" s="3422">
        <f t="shared" si="0"/>
        <v>4809</v>
      </c>
      <c r="Y61" s="3422">
        <f t="shared" si="1"/>
        <v>0.99999999999999989</v>
      </c>
      <c r="Z61" s="3433">
        <f t="shared" si="15"/>
        <v>0.99999999999999989</v>
      </c>
      <c r="AA61" s="3423">
        <f t="shared" si="2"/>
        <v>20999.3</v>
      </c>
      <c r="AB61" s="3407">
        <f t="shared" si="22"/>
        <v>1.0599999999999998</v>
      </c>
      <c r="AC61" s="3404">
        <f t="shared" si="3"/>
        <v>62020.07</v>
      </c>
      <c r="AD61" s="3446">
        <f t="shared" ref="AD61:AD124" si="23">AB61*(1+$Z$1)</f>
        <v>1.1235999999999999</v>
      </c>
      <c r="AE61" s="3404">
        <f t="shared" si="4"/>
        <v>65741.27</v>
      </c>
      <c r="AF61" s="3446">
        <v>2.2000000000000002</v>
      </c>
      <c r="AG61" s="3404">
        <f t="shared" si="5"/>
        <v>128720.9</v>
      </c>
      <c r="AH61" s="3447">
        <f t="shared" si="21"/>
        <v>2.2549999999999999</v>
      </c>
      <c r="AI61" s="3399">
        <f t="shared" si="7"/>
        <v>131938.92000000001</v>
      </c>
      <c r="AJ61" s="3404">
        <f t="shared" si="13"/>
        <v>2.3113749999999995</v>
      </c>
      <c r="AK61" s="3404">
        <f t="shared" si="8"/>
        <v>135237.4</v>
      </c>
      <c r="AL61" s="3404">
        <f t="shared" si="11"/>
        <v>2.3691593749999993</v>
      </c>
      <c r="AM61" s="3404">
        <f t="shared" si="9"/>
        <v>138618.32999999999</v>
      </c>
      <c r="AN61" s="3404"/>
      <c r="AO61" s="3404"/>
      <c r="AP61" s="3404"/>
      <c r="AQ61" s="3404"/>
      <c r="AR61" s="3404"/>
      <c r="AS61" s="3404"/>
      <c r="AT61" s="3404"/>
      <c r="AU61" s="3404"/>
      <c r="AV61" s="3404"/>
      <c r="AW61" s="3404"/>
      <c r="AX61" s="3404"/>
      <c r="AY61" s="3404"/>
      <c r="AZ61" s="3404"/>
      <c r="BA61" s="3404"/>
      <c r="BB61" s="3404"/>
      <c r="BC61" s="3404"/>
      <c r="BD61" s="3404"/>
      <c r="BE61" s="3404"/>
      <c r="BF61" s="3404"/>
    </row>
    <row r="62" spans="1:58" s="3399" customFormat="1" ht="42.75">
      <c r="A62" s="3414" t="s">
        <v>3352</v>
      </c>
      <c r="B62" s="3414" t="s">
        <v>3353</v>
      </c>
      <c r="C62" s="3414" t="s">
        <v>3354</v>
      </c>
      <c r="D62" s="3414" t="s">
        <v>3355</v>
      </c>
      <c r="E62" s="3414" t="s">
        <v>3215</v>
      </c>
      <c r="F62" s="3414" t="s">
        <v>3216</v>
      </c>
      <c r="G62" s="3413" t="s">
        <v>3152</v>
      </c>
      <c r="H62" s="3414" t="s">
        <v>3356</v>
      </c>
      <c r="I62" s="3449">
        <v>0.06</v>
      </c>
      <c r="J62" s="3450">
        <v>42382</v>
      </c>
      <c r="K62" s="3485">
        <v>42476</v>
      </c>
      <c r="L62" s="3429">
        <v>43570</v>
      </c>
      <c r="M62" s="3430">
        <v>0</v>
      </c>
      <c r="N62" s="3413" t="s">
        <v>3154</v>
      </c>
      <c r="O62" s="3413" t="s">
        <v>3155</v>
      </c>
      <c r="P62" s="3413" t="s">
        <v>3156</v>
      </c>
      <c r="Q62" s="3414" t="s">
        <v>3357</v>
      </c>
      <c r="R62" s="3420">
        <v>1</v>
      </c>
      <c r="S62" s="3419">
        <v>160.30000000000001</v>
      </c>
      <c r="T62" s="3420">
        <v>160.30000000000001</v>
      </c>
      <c r="U62" s="3419">
        <v>30</v>
      </c>
      <c r="V62" s="3414" t="s">
        <v>3158</v>
      </c>
      <c r="W62" s="3432" t="s">
        <v>3159</v>
      </c>
      <c r="X62" s="3422">
        <f t="shared" si="0"/>
        <v>4809</v>
      </c>
      <c r="Y62" s="3422">
        <f t="shared" si="1"/>
        <v>0.99999999999999989</v>
      </c>
      <c r="Z62" s="3433">
        <f t="shared" si="15"/>
        <v>0.99999999999999989</v>
      </c>
      <c r="AA62" s="3423">
        <f t="shared" si="2"/>
        <v>20999.3</v>
      </c>
      <c r="AB62" s="3407">
        <f t="shared" si="22"/>
        <v>1.0599999999999998</v>
      </c>
      <c r="AC62" s="3404">
        <f t="shared" si="3"/>
        <v>62020.07</v>
      </c>
      <c r="AD62" s="3446">
        <f t="shared" si="23"/>
        <v>1.1235999999999999</v>
      </c>
      <c r="AE62" s="3404">
        <f t="shared" si="4"/>
        <v>65741.27</v>
      </c>
      <c r="AF62" s="3446">
        <v>2.2000000000000002</v>
      </c>
      <c r="AG62" s="3404">
        <f t="shared" si="5"/>
        <v>128720.9</v>
      </c>
      <c r="AH62" s="3447">
        <f t="shared" si="21"/>
        <v>2.2549999999999999</v>
      </c>
      <c r="AI62" s="3399">
        <f t="shared" si="7"/>
        <v>131938.92000000001</v>
      </c>
      <c r="AJ62" s="3404">
        <f t="shared" si="13"/>
        <v>2.3113749999999995</v>
      </c>
      <c r="AK62" s="3404">
        <f t="shared" si="8"/>
        <v>135237.4</v>
      </c>
      <c r="AL62" s="3404">
        <f t="shared" si="11"/>
        <v>2.3691593749999993</v>
      </c>
      <c r="AM62" s="3404">
        <f t="shared" si="9"/>
        <v>138618.32999999999</v>
      </c>
      <c r="AN62" s="3404"/>
      <c r="AO62" s="3404"/>
      <c r="AP62" s="3404"/>
      <c r="AQ62" s="3404"/>
      <c r="AR62" s="3404"/>
      <c r="AS62" s="3404"/>
      <c r="AT62" s="3404"/>
      <c r="AU62" s="3404"/>
      <c r="AV62" s="3404"/>
      <c r="AW62" s="3404"/>
      <c r="AX62" s="3404"/>
      <c r="AY62" s="3404"/>
      <c r="AZ62" s="3404"/>
      <c r="BA62" s="3404"/>
      <c r="BB62" s="3404"/>
      <c r="BC62" s="3404"/>
      <c r="BD62" s="3404"/>
      <c r="BE62" s="3404"/>
      <c r="BF62" s="3404"/>
    </row>
    <row r="63" spans="1:58" s="3399" customFormat="1" ht="42.75">
      <c r="A63" s="3414" t="s">
        <v>3358</v>
      </c>
      <c r="B63" s="3414" t="s">
        <v>3359</v>
      </c>
      <c r="C63" s="3414" t="s">
        <v>3360</v>
      </c>
      <c r="D63" s="3414" t="s">
        <v>3361</v>
      </c>
      <c r="E63" s="3414" t="s">
        <v>3200</v>
      </c>
      <c r="F63" s="3414" t="s">
        <v>3216</v>
      </c>
      <c r="G63" s="3413" t="s">
        <v>3152</v>
      </c>
      <c r="H63" s="3414" t="s">
        <v>3362</v>
      </c>
      <c r="I63" s="3449">
        <v>0.06</v>
      </c>
      <c r="J63" s="3450">
        <v>42360</v>
      </c>
      <c r="K63" s="3485">
        <v>42430</v>
      </c>
      <c r="L63" s="3429">
        <v>43524</v>
      </c>
      <c r="M63" s="3430">
        <v>12</v>
      </c>
      <c r="N63" s="3413" t="s">
        <v>3154</v>
      </c>
      <c r="O63" s="3413" t="s">
        <v>3363</v>
      </c>
      <c r="P63" s="3413" t="s">
        <v>3364</v>
      </c>
      <c r="Q63" s="3414" t="s">
        <v>3365</v>
      </c>
      <c r="R63" s="3420">
        <v>1</v>
      </c>
      <c r="S63" s="3419">
        <v>194.52</v>
      </c>
      <c r="T63" s="3420">
        <v>194.52</v>
      </c>
      <c r="U63" s="3419">
        <v>37.5</v>
      </c>
      <c r="V63" s="3414" t="s">
        <v>3158</v>
      </c>
      <c r="W63" s="3432" t="s">
        <v>3218</v>
      </c>
      <c r="X63" s="3422">
        <f t="shared" si="0"/>
        <v>7295</v>
      </c>
      <c r="Y63" s="3422">
        <f t="shared" si="1"/>
        <v>1.2500856809925287</v>
      </c>
      <c r="Z63" s="3433">
        <f t="shared" si="15"/>
        <v>1.2500856809925287</v>
      </c>
      <c r="AA63" s="3423">
        <f t="shared" si="2"/>
        <v>31854.83</v>
      </c>
      <c r="AB63" s="3407">
        <f t="shared" si="22"/>
        <v>1.3250908218520805</v>
      </c>
      <c r="AC63" s="3404">
        <f t="shared" si="3"/>
        <v>94081.18</v>
      </c>
      <c r="AD63" s="3446">
        <f t="shared" si="23"/>
        <v>1.4045962711632054</v>
      </c>
      <c r="AE63" s="3404">
        <f t="shared" si="4"/>
        <v>99726.05</v>
      </c>
      <c r="AF63" s="3446">
        <v>2.2000000000000002</v>
      </c>
      <c r="AG63" s="3404">
        <f t="shared" si="5"/>
        <v>156199.56</v>
      </c>
      <c r="AH63" s="3447">
        <f t="shared" si="21"/>
        <v>2.2549999999999999</v>
      </c>
      <c r="AI63" s="3399">
        <f t="shared" si="7"/>
        <v>160104.54999999999</v>
      </c>
      <c r="AJ63" s="3404">
        <f t="shared" si="13"/>
        <v>2.3113749999999995</v>
      </c>
      <c r="AK63" s="3404">
        <f t="shared" si="8"/>
        <v>164107.16</v>
      </c>
      <c r="AL63" s="3404">
        <f t="shared" si="11"/>
        <v>2.3691593749999993</v>
      </c>
      <c r="AM63" s="3404">
        <f t="shared" si="9"/>
        <v>168209.84</v>
      </c>
      <c r="AN63" s="3404"/>
      <c r="AO63" s="3404"/>
      <c r="AP63" s="3404"/>
      <c r="AQ63" s="3404"/>
      <c r="AR63" s="3404"/>
      <c r="AS63" s="3404"/>
      <c r="AT63" s="3404"/>
      <c r="AU63" s="3404"/>
      <c r="AV63" s="3404"/>
      <c r="AW63" s="3404"/>
      <c r="AX63" s="3404"/>
      <c r="AY63" s="3404"/>
      <c r="AZ63" s="3404"/>
      <c r="BA63" s="3404"/>
      <c r="BB63" s="3404"/>
      <c r="BC63" s="3404"/>
      <c r="BD63" s="3404"/>
      <c r="BE63" s="3404"/>
      <c r="BF63" s="3404"/>
    </row>
    <row r="64" spans="1:58" s="3399" customFormat="1" ht="42.75">
      <c r="A64" s="3414" t="s">
        <v>3358</v>
      </c>
      <c r="B64" s="3414" t="s">
        <v>3359</v>
      </c>
      <c r="C64" s="3414" t="s">
        <v>3360</v>
      </c>
      <c r="D64" s="3414" t="s">
        <v>3361</v>
      </c>
      <c r="E64" s="3414" t="s">
        <v>3200</v>
      </c>
      <c r="F64" s="3414" t="s">
        <v>3216</v>
      </c>
      <c r="G64" s="3413" t="s">
        <v>3152</v>
      </c>
      <c r="H64" s="3414" t="s">
        <v>3362</v>
      </c>
      <c r="I64" s="3449">
        <v>0.06</v>
      </c>
      <c r="J64" s="3450">
        <v>42360</v>
      </c>
      <c r="K64" s="3485">
        <v>42430</v>
      </c>
      <c r="L64" s="3429">
        <v>43524</v>
      </c>
      <c r="M64" s="3430">
        <v>0</v>
      </c>
      <c r="N64" s="3413" t="s">
        <v>3154</v>
      </c>
      <c r="O64" s="3413" t="s">
        <v>3363</v>
      </c>
      <c r="P64" s="3413" t="s">
        <v>3364</v>
      </c>
      <c r="Q64" s="3414" t="s">
        <v>3365</v>
      </c>
      <c r="R64" s="3420">
        <v>1</v>
      </c>
      <c r="S64" s="3419">
        <v>194.52</v>
      </c>
      <c r="T64" s="3420">
        <v>194.52</v>
      </c>
      <c r="U64" s="3419">
        <v>37.5</v>
      </c>
      <c r="V64" s="3414" t="s">
        <v>3158</v>
      </c>
      <c r="W64" s="3432" t="s">
        <v>3159</v>
      </c>
      <c r="X64" s="3422">
        <f t="shared" si="0"/>
        <v>7295</v>
      </c>
      <c r="Y64" s="3422">
        <f t="shared" si="1"/>
        <v>1.2500856809925287</v>
      </c>
      <c r="Z64" s="3433">
        <f t="shared" si="15"/>
        <v>1.2500856809925287</v>
      </c>
      <c r="AA64" s="3423">
        <f t="shared" si="2"/>
        <v>31854.83</v>
      </c>
      <c r="AB64" s="3407">
        <f t="shared" si="22"/>
        <v>1.3250908218520805</v>
      </c>
      <c r="AC64" s="3404">
        <f t="shared" si="3"/>
        <v>94081.18</v>
      </c>
      <c r="AD64" s="3446">
        <f t="shared" si="23"/>
        <v>1.4045962711632054</v>
      </c>
      <c r="AE64" s="3404">
        <f t="shared" si="4"/>
        <v>99726.05</v>
      </c>
      <c r="AF64" s="3446">
        <v>2.2000000000000002</v>
      </c>
      <c r="AG64" s="3404">
        <f t="shared" si="5"/>
        <v>156199.56</v>
      </c>
      <c r="AH64" s="3447">
        <f t="shared" si="21"/>
        <v>2.2549999999999999</v>
      </c>
      <c r="AI64" s="3399">
        <f t="shared" si="7"/>
        <v>160104.54999999999</v>
      </c>
      <c r="AJ64" s="3404">
        <f t="shared" si="13"/>
        <v>2.3113749999999995</v>
      </c>
      <c r="AK64" s="3404">
        <f t="shared" si="8"/>
        <v>164107.16</v>
      </c>
      <c r="AL64" s="3404">
        <f t="shared" si="11"/>
        <v>2.3691593749999993</v>
      </c>
      <c r="AM64" s="3404">
        <f t="shared" si="9"/>
        <v>168209.84</v>
      </c>
      <c r="AN64" s="3404"/>
      <c r="AO64" s="3404"/>
      <c r="AP64" s="3404"/>
      <c r="AQ64" s="3404"/>
      <c r="AR64" s="3404"/>
      <c r="AS64" s="3404"/>
      <c r="AT64" s="3404"/>
      <c r="AU64" s="3404"/>
      <c r="AV64" s="3404"/>
      <c r="AW64" s="3404"/>
      <c r="AX64" s="3404"/>
      <c r="AY64" s="3404"/>
      <c r="AZ64" s="3404"/>
      <c r="BA64" s="3404"/>
      <c r="BB64" s="3404"/>
      <c r="BC64" s="3404"/>
      <c r="BD64" s="3404"/>
      <c r="BE64" s="3404"/>
      <c r="BF64" s="3404"/>
    </row>
    <row r="65" spans="1:58" s="3399" customFormat="1" ht="42.75">
      <c r="A65" s="3414" t="s">
        <v>3366</v>
      </c>
      <c r="B65" s="3414" t="s">
        <v>3367</v>
      </c>
      <c r="C65" s="3414" t="s">
        <v>3368</v>
      </c>
      <c r="D65" s="3414" t="s">
        <v>3369</v>
      </c>
      <c r="E65" s="3414" t="s">
        <v>3238</v>
      </c>
      <c r="F65" s="3414" t="s">
        <v>3216</v>
      </c>
      <c r="G65" s="3413" t="s">
        <v>3152</v>
      </c>
      <c r="H65" s="3414" t="s">
        <v>3362</v>
      </c>
      <c r="I65" s="3449">
        <v>0.06</v>
      </c>
      <c r="J65" s="3450">
        <v>42361</v>
      </c>
      <c r="K65" s="3485">
        <v>42430</v>
      </c>
      <c r="L65" s="3429">
        <v>43524</v>
      </c>
      <c r="M65" s="3430">
        <v>12</v>
      </c>
      <c r="N65" s="3413" t="s">
        <v>3154</v>
      </c>
      <c r="O65" s="3413" t="s">
        <v>3363</v>
      </c>
      <c r="P65" s="3413" t="s">
        <v>3364</v>
      </c>
      <c r="Q65" s="3414" t="s">
        <v>3370</v>
      </c>
      <c r="R65" s="3420">
        <v>1</v>
      </c>
      <c r="S65" s="3419">
        <v>44.1</v>
      </c>
      <c r="T65" s="3420">
        <v>44.1</v>
      </c>
      <c r="U65" s="3419">
        <v>40</v>
      </c>
      <c r="V65" s="3414" t="s">
        <v>3158</v>
      </c>
      <c r="W65" s="3432" t="s">
        <v>3218</v>
      </c>
      <c r="X65" s="3422">
        <f t="shared" si="0"/>
        <v>1764</v>
      </c>
      <c r="Y65" s="3422">
        <f t="shared" si="1"/>
        <v>1.3333333333333333</v>
      </c>
      <c r="Z65" s="3433">
        <f t="shared" si="15"/>
        <v>1.3333333333333333</v>
      </c>
      <c r="AA65" s="3423">
        <f t="shared" si="2"/>
        <v>7702.8</v>
      </c>
      <c r="AB65" s="3407">
        <f t="shared" si="22"/>
        <v>1.4133333333333333</v>
      </c>
      <c r="AC65" s="3404">
        <f t="shared" si="3"/>
        <v>22749.72</v>
      </c>
      <c r="AD65" s="3446">
        <f t="shared" si="23"/>
        <v>1.4981333333333333</v>
      </c>
      <c r="AE65" s="3404">
        <f t="shared" si="4"/>
        <v>24114.7</v>
      </c>
      <c r="AF65" s="3446">
        <v>2.2000000000000002</v>
      </c>
      <c r="AG65" s="3404">
        <f t="shared" si="5"/>
        <v>35412.300000000003</v>
      </c>
      <c r="AH65" s="3447">
        <f t="shared" si="21"/>
        <v>2.2549999999999999</v>
      </c>
      <c r="AI65" s="3399">
        <f t="shared" si="7"/>
        <v>36297.61</v>
      </c>
      <c r="AJ65" s="3404">
        <f t="shared" si="13"/>
        <v>2.3113749999999995</v>
      </c>
      <c r="AK65" s="3404">
        <f t="shared" si="8"/>
        <v>37205.050000000003</v>
      </c>
      <c r="AL65" s="3404">
        <f t="shared" si="11"/>
        <v>2.3691593749999993</v>
      </c>
      <c r="AM65" s="3404">
        <f t="shared" si="9"/>
        <v>38135.17</v>
      </c>
      <c r="AN65" s="3404"/>
      <c r="AO65" s="3404"/>
      <c r="AP65" s="3404"/>
      <c r="AQ65" s="3404"/>
      <c r="AR65" s="3404"/>
      <c r="AS65" s="3404"/>
      <c r="AT65" s="3404"/>
      <c r="AU65" s="3404"/>
      <c r="AV65" s="3404"/>
      <c r="AW65" s="3404"/>
      <c r="AX65" s="3404"/>
      <c r="AY65" s="3404"/>
      <c r="AZ65" s="3404"/>
      <c r="BA65" s="3404"/>
      <c r="BB65" s="3404"/>
      <c r="BC65" s="3404"/>
      <c r="BD65" s="3404"/>
      <c r="BE65" s="3404"/>
      <c r="BF65" s="3404"/>
    </row>
    <row r="66" spans="1:58" s="3399" customFormat="1" ht="42.75">
      <c r="A66" s="3414" t="s">
        <v>3366</v>
      </c>
      <c r="B66" s="3414" t="s">
        <v>3367</v>
      </c>
      <c r="C66" s="3414" t="s">
        <v>3368</v>
      </c>
      <c r="D66" s="3414" t="s">
        <v>3369</v>
      </c>
      <c r="E66" s="3414" t="s">
        <v>3238</v>
      </c>
      <c r="F66" s="3414" t="s">
        <v>3216</v>
      </c>
      <c r="G66" s="3413" t="s">
        <v>3152</v>
      </c>
      <c r="H66" s="3414" t="s">
        <v>3362</v>
      </c>
      <c r="I66" s="3449">
        <v>0.06</v>
      </c>
      <c r="J66" s="3450">
        <v>42361</v>
      </c>
      <c r="K66" s="3485">
        <v>42430</v>
      </c>
      <c r="L66" s="3429">
        <v>43524</v>
      </c>
      <c r="M66" s="3430">
        <v>0</v>
      </c>
      <c r="N66" s="3413" t="s">
        <v>3154</v>
      </c>
      <c r="O66" s="3413" t="s">
        <v>3363</v>
      </c>
      <c r="P66" s="3413" t="s">
        <v>3364</v>
      </c>
      <c r="Q66" s="3414" t="s">
        <v>3370</v>
      </c>
      <c r="R66" s="3420">
        <v>1</v>
      </c>
      <c r="S66" s="3419">
        <v>44.1</v>
      </c>
      <c r="T66" s="3420">
        <v>44.1</v>
      </c>
      <c r="U66" s="3419">
        <v>40</v>
      </c>
      <c r="V66" s="3414" t="s">
        <v>3158</v>
      </c>
      <c r="W66" s="3432" t="s">
        <v>3159</v>
      </c>
      <c r="X66" s="3422">
        <f t="shared" si="0"/>
        <v>1764</v>
      </c>
      <c r="Y66" s="3422">
        <f t="shared" si="1"/>
        <v>1.3333333333333333</v>
      </c>
      <c r="Z66" s="3433">
        <f t="shared" si="15"/>
        <v>1.3333333333333333</v>
      </c>
      <c r="AA66" s="3423">
        <f t="shared" si="2"/>
        <v>7702.8</v>
      </c>
      <c r="AB66" s="3407">
        <f t="shared" si="22"/>
        <v>1.4133333333333333</v>
      </c>
      <c r="AC66" s="3404">
        <f t="shared" si="3"/>
        <v>22749.72</v>
      </c>
      <c r="AD66" s="3446">
        <f t="shared" si="23"/>
        <v>1.4981333333333333</v>
      </c>
      <c r="AE66" s="3404">
        <f t="shared" si="4"/>
        <v>24114.7</v>
      </c>
      <c r="AF66" s="3446">
        <v>2.2000000000000002</v>
      </c>
      <c r="AG66" s="3404">
        <f t="shared" si="5"/>
        <v>35412.300000000003</v>
      </c>
      <c r="AH66" s="3447">
        <f t="shared" si="21"/>
        <v>2.2549999999999999</v>
      </c>
      <c r="AI66" s="3399">
        <f t="shared" si="7"/>
        <v>36297.61</v>
      </c>
      <c r="AJ66" s="3404">
        <f t="shared" si="13"/>
        <v>2.3113749999999995</v>
      </c>
      <c r="AK66" s="3404">
        <f t="shared" si="8"/>
        <v>37205.050000000003</v>
      </c>
      <c r="AL66" s="3404">
        <f t="shared" si="11"/>
        <v>2.3691593749999993</v>
      </c>
      <c r="AM66" s="3404">
        <f t="shared" si="9"/>
        <v>38135.17</v>
      </c>
      <c r="AN66" s="3404"/>
      <c r="AO66" s="3404"/>
      <c r="AP66" s="3404"/>
      <c r="AQ66" s="3404"/>
      <c r="AR66" s="3404"/>
      <c r="AS66" s="3404"/>
      <c r="AT66" s="3404"/>
      <c r="AU66" s="3404"/>
      <c r="AV66" s="3404"/>
      <c r="AW66" s="3404"/>
      <c r="AX66" s="3404"/>
      <c r="AY66" s="3404"/>
      <c r="AZ66" s="3404"/>
      <c r="BA66" s="3404"/>
      <c r="BB66" s="3404"/>
      <c r="BC66" s="3404"/>
      <c r="BD66" s="3404"/>
      <c r="BE66" s="3404"/>
      <c r="BF66" s="3404"/>
    </row>
    <row r="67" spans="1:58" s="3399" customFormat="1" ht="42.75">
      <c r="A67" s="3414" t="s">
        <v>3371</v>
      </c>
      <c r="B67" s="3414" t="s">
        <v>3372</v>
      </c>
      <c r="C67" s="3414" t="s">
        <v>3373</v>
      </c>
      <c r="D67" s="3414" t="s">
        <v>3374</v>
      </c>
      <c r="E67" s="3414" t="s">
        <v>3200</v>
      </c>
      <c r="F67" s="3414" t="s">
        <v>3216</v>
      </c>
      <c r="G67" s="3413" t="s">
        <v>3152</v>
      </c>
      <c r="H67" s="3414" t="s">
        <v>3375</v>
      </c>
      <c r="I67" s="3449">
        <v>0.06</v>
      </c>
      <c r="J67" s="3450">
        <v>42447</v>
      </c>
      <c r="K67" s="3485">
        <v>42445</v>
      </c>
      <c r="L67" s="3429">
        <v>43539</v>
      </c>
      <c r="M67" s="3430">
        <v>12</v>
      </c>
      <c r="N67" s="3414" t="s">
        <v>3154</v>
      </c>
      <c r="O67" s="3413" t="s">
        <v>3363</v>
      </c>
      <c r="P67" s="3413" t="s">
        <v>3364</v>
      </c>
      <c r="Q67" s="3414" t="s">
        <v>3376</v>
      </c>
      <c r="R67" s="3420">
        <v>3</v>
      </c>
      <c r="S67" s="3419">
        <v>228.47</v>
      </c>
      <c r="T67" s="3420">
        <v>228.47</v>
      </c>
      <c r="U67" s="3419">
        <v>30</v>
      </c>
      <c r="V67" s="3414" t="s">
        <v>3158</v>
      </c>
      <c r="W67" s="3432" t="s">
        <v>3218</v>
      </c>
      <c r="X67" s="3422">
        <f t="shared" si="0"/>
        <v>6854</v>
      </c>
      <c r="Y67" s="3422">
        <f t="shared" si="1"/>
        <v>0.99998541019243947</v>
      </c>
      <c r="Z67" s="3433">
        <f t="shared" si="15"/>
        <v>0.99998541019243947</v>
      </c>
      <c r="AA67" s="3423">
        <f t="shared" si="2"/>
        <v>29929.13</v>
      </c>
      <c r="AB67" s="3407">
        <f t="shared" si="22"/>
        <v>1.0599845348039858</v>
      </c>
      <c r="AC67" s="3404">
        <f t="shared" si="3"/>
        <v>88393.75</v>
      </c>
      <c r="AD67" s="3446">
        <f t="shared" si="23"/>
        <v>1.1235836068922249</v>
      </c>
      <c r="AE67" s="3404">
        <f t="shared" si="4"/>
        <v>93697.38</v>
      </c>
      <c r="AF67" s="3446">
        <v>2.2000000000000002</v>
      </c>
      <c r="AG67" s="3404">
        <f t="shared" si="5"/>
        <v>183461.41</v>
      </c>
      <c r="AH67" s="3447">
        <f t="shared" si="21"/>
        <v>2.2549999999999999</v>
      </c>
      <c r="AI67" s="3399">
        <f t="shared" si="7"/>
        <v>188047.95</v>
      </c>
      <c r="AJ67" s="3404">
        <f t="shared" si="13"/>
        <v>2.3113749999999995</v>
      </c>
      <c r="AK67" s="3404">
        <f t="shared" si="8"/>
        <v>192749.14</v>
      </c>
      <c r="AL67" s="3404">
        <f t="shared" si="11"/>
        <v>2.3691593749999993</v>
      </c>
      <c r="AM67" s="3404">
        <f t="shared" si="9"/>
        <v>197567.87</v>
      </c>
      <c r="AN67" s="3404"/>
      <c r="AO67" s="3404"/>
      <c r="AP67" s="3404"/>
      <c r="AQ67" s="3404"/>
      <c r="AR67" s="3404"/>
      <c r="AS67" s="3404"/>
      <c r="AT67" s="3404"/>
      <c r="AU67" s="3404"/>
      <c r="AV67" s="3404"/>
      <c r="AW67" s="3404"/>
      <c r="AX67" s="3404"/>
      <c r="AY67" s="3404"/>
      <c r="AZ67" s="3404"/>
      <c r="BA67" s="3404"/>
      <c r="BB67" s="3404"/>
      <c r="BC67" s="3404"/>
      <c r="BD67" s="3404"/>
      <c r="BE67" s="3404"/>
      <c r="BF67" s="3404"/>
    </row>
    <row r="68" spans="1:58" s="3399" customFormat="1" ht="42.75">
      <c r="A68" s="3414" t="s">
        <v>3371</v>
      </c>
      <c r="B68" s="3414" t="s">
        <v>3372</v>
      </c>
      <c r="C68" s="3414" t="s">
        <v>3373</v>
      </c>
      <c r="D68" s="3414" t="s">
        <v>3374</v>
      </c>
      <c r="E68" s="3414" t="s">
        <v>3200</v>
      </c>
      <c r="F68" s="3414" t="s">
        <v>3216</v>
      </c>
      <c r="G68" s="3413" t="s">
        <v>3152</v>
      </c>
      <c r="H68" s="3414" t="s">
        <v>3375</v>
      </c>
      <c r="I68" s="3449">
        <v>0.06</v>
      </c>
      <c r="J68" s="3450">
        <v>42447</v>
      </c>
      <c r="K68" s="3485">
        <v>42445</v>
      </c>
      <c r="L68" s="3429">
        <v>43539</v>
      </c>
      <c r="M68" s="3430">
        <v>12</v>
      </c>
      <c r="N68" s="3414" t="s">
        <v>3154</v>
      </c>
      <c r="O68" s="3413" t="s">
        <v>3363</v>
      </c>
      <c r="P68" s="3413" t="s">
        <v>3364</v>
      </c>
      <c r="Q68" s="3414" t="s">
        <v>3376</v>
      </c>
      <c r="R68" s="3420">
        <v>3</v>
      </c>
      <c r="S68" s="3419">
        <v>228.47</v>
      </c>
      <c r="T68" s="3420">
        <v>228.47</v>
      </c>
      <c r="U68" s="3419">
        <v>35</v>
      </c>
      <c r="V68" s="3414" t="s">
        <v>3158</v>
      </c>
      <c r="W68" s="3432" t="s">
        <v>3159</v>
      </c>
      <c r="X68" s="3422">
        <f t="shared" si="0"/>
        <v>7996</v>
      </c>
      <c r="Y68" s="3422">
        <f t="shared" si="1"/>
        <v>1.1666010125326447</v>
      </c>
      <c r="Z68" s="3433">
        <f t="shared" si="15"/>
        <v>1.1666010125326447</v>
      </c>
      <c r="AA68" s="3423">
        <f t="shared" si="2"/>
        <v>34915.870000000003</v>
      </c>
      <c r="AB68" s="3407">
        <f t="shared" si="22"/>
        <v>1.2365970732846034</v>
      </c>
      <c r="AC68" s="3404">
        <f t="shared" si="3"/>
        <v>103121.75</v>
      </c>
      <c r="AD68" s="3446">
        <f t="shared" si="23"/>
        <v>1.3107928976816796</v>
      </c>
      <c r="AE68" s="3404">
        <f t="shared" si="4"/>
        <v>109309.05</v>
      </c>
      <c r="AF68" s="3446">
        <v>2.2000000000000002</v>
      </c>
      <c r="AG68" s="3404">
        <f t="shared" si="5"/>
        <v>183461.41</v>
      </c>
      <c r="AH68" s="3447">
        <f t="shared" si="21"/>
        <v>2.2549999999999999</v>
      </c>
      <c r="AI68" s="3399">
        <f t="shared" si="7"/>
        <v>188047.95</v>
      </c>
      <c r="AJ68" s="3404">
        <f t="shared" si="13"/>
        <v>2.3113749999999995</v>
      </c>
      <c r="AK68" s="3404">
        <f t="shared" si="8"/>
        <v>192749.14</v>
      </c>
      <c r="AL68" s="3404">
        <f t="shared" si="11"/>
        <v>2.3691593749999993</v>
      </c>
      <c r="AM68" s="3404">
        <f t="shared" si="9"/>
        <v>197567.87</v>
      </c>
      <c r="AN68" s="3404"/>
      <c r="AO68" s="3404"/>
      <c r="AP68" s="3404"/>
      <c r="AQ68" s="3404"/>
      <c r="AR68" s="3404"/>
      <c r="AS68" s="3404"/>
      <c r="AT68" s="3404"/>
      <c r="AU68" s="3404"/>
      <c r="AV68" s="3404"/>
      <c r="AW68" s="3404"/>
      <c r="AX68" s="3404"/>
      <c r="AY68" s="3404"/>
      <c r="AZ68" s="3404"/>
      <c r="BA68" s="3404"/>
      <c r="BB68" s="3404"/>
      <c r="BC68" s="3404"/>
      <c r="BD68" s="3404"/>
      <c r="BE68" s="3404"/>
      <c r="BF68" s="3404"/>
    </row>
    <row r="69" spans="1:58" s="3399" customFormat="1" ht="42.75">
      <c r="A69" s="3414" t="s">
        <v>3377</v>
      </c>
      <c r="B69" s="3414" t="s">
        <v>3378</v>
      </c>
      <c r="C69" s="3414" t="s">
        <v>3379</v>
      </c>
      <c r="D69" s="3414" t="s">
        <v>3380</v>
      </c>
      <c r="E69" s="3414" t="s">
        <v>3200</v>
      </c>
      <c r="F69" s="3414" t="s">
        <v>3216</v>
      </c>
      <c r="G69" s="3413" t="s">
        <v>3152</v>
      </c>
      <c r="H69" s="3414" t="s">
        <v>3381</v>
      </c>
      <c r="I69" s="3449">
        <v>0.06</v>
      </c>
      <c r="J69" s="3450">
        <v>42430</v>
      </c>
      <c r="K69" s="3485">
        <v>42461</v>
      </c>
      <c r="L69" s="3429">
        <v>43555</v>
      </c>
      <c r="M69" s="3430" t="s">
        <v>3382</v>
      </c>
      <c r="N69" s="3414" t="s">
        <v>3154</v>
      </c>
      <c r="O69" s="3413" t="s">
        <v>3155</v>
      </c>
      <c r="P69" s="3413" t="s">
        <v>3202</v>
      </c>
      <c r="Q69" s="3414" t="s">
        <v>3383</v>
      </c>
      <c r="R69" s="3420">
        <v>2</v>
      </c>
      <c r="S69" s="3419">
        <v>126.82</v>
      </c>
      <c r="T69" s="3420">
        <v>126.82</v>
      </c>
      <c r="U69" s="3419">
        <v>30</v>
      </c>
      <c r="V69" s="3414" t="s">
        <v>3158</v>
      </c>
      <c r="W69" s="3432" t="s">
        <v>3218</v>
      </c>
      <c r="X69" s="3422">
        <f t="shared" si="0"/>
        <v>3805</v>
      </c>
      <c r="Y69" s="3422">
        <f t="shared" si="1"/>
        <v>1.0001051358881354</v>
      </c>
      <c r="Z69" s="3433">
        <f t="shared" si="15"/>
        <v>1.0001051358881354</v>
      </c>
      <c r="AA69" s="3423">
        <f t="shared" si="2"/>
        <v>16615.169999999998</v>
      </c>
      <c r="AB69" s="3407">
        <f t="shared" si="22"/>
        <v>1.0601114440414237</v>
      </c>
      <c r="AC69" s="3404">
        <f t="shared" si="3"/>
        <v>49071.82</v>
      </c>
      <c r="AD69" s="3446">
        <f t="shared" si="23"/>
        <v>1.123718130683909</v>
      </c>
      <c r="AE69" s="3404">
        <f t="shared" si="4"/>
        <v>52016.13</v>
      </c>
      <c r="AF69" s="3446">
        <v>2.2000000000000002</v>
      </c>
      <c r="AG69" s="3404">
        <f t="shared" si="5"/>
        <v>101836.46</v>
      </c>
      <c r="AH69" s="3447">
        <f t="shared" si="21"/>
        <v>2.2549999999999999</v>
      </c>
      <c r="AI69" s="3399">
        <f t="shared" si="7"/>
        <v>104382.37</v>
      </c>
      <c r="AJ69" s="3404">
        <f t="shared" si="13"/>
        <v>2.3113749999999995</v>
      </c>
      <c r="AK69" s="3404">
        <f t="shared" si="8"/>
        <v>106991.93</v>
      </c>
      <c r="AL69" s="3404">
        <f t="shared" si="11"/>
        <v>2.3691593749999993</v>
      </c>
      <c r="AM69" s="3404">
        <f t="shared" si="9"/>
        <v>109666.73</v>
      </c>
      <c r="AN69" s="3404"/>
      <c r="AO69" s="3404"/>
      <c r="AP69" s="3404"/>
      <c r="AQ69" s="3404"/>
      <c r="AR69" s="3404"/>
      <c r="AS69" s="3404"/>
      <c r="AT69" s="3404"/>
      <c r="AU69" s="3404"/>
      <c r="AV69" s="3404"/>
      <c r="AW69" s="3404"/>
      <c r="AX69" s="3404"/>
      <c r="AY69" s="3404"/>
      <c r="AZ69" s="3404"/>
      <c r="BA69" s="3404"/>
      <c r="BB69" s="3404"/>
      <c r="BC69" s="3404"/>
      <c r="BD69" s="3404"/>
      <c r="BE69" s="3404"/>
      <c r="BF69" s="3404"/>
    </row>
    <row r="70" spans="1:58" s="3399" customFormat="1" ht="42.75">
      <c r="A70" s="3414" t="s">
        <v>3377</v>
      </c>
      <c r="B70" s="3414" t="s">
        <v>3378</v>
      </c>
      <c r="C70" s="3414" t="s">
        <v>3379</v>
      </c>
      <c r="D70" s="3414" t="s">
        <v>3380</v>
      </c>
      <c r="E70" s="3414" t="s">
        <v>3200</v>
      </c>
      <c r="F70" s="3414" t="s">
        <v>3216</v>
      </c>
      <c r="G70" s="3413" t="s">
        <v>3152</v>
      </c>
      <c r="H70" s="3414" t="s">
        <v>3381</v>
      </c>
      <c r="I70" s="3449">
        <v>0.06</v>
      </c>
      <c r="J70" s="3450">
        <v>42430</v>
      </c>
      <c r="K70" s="3485">
        <v>42461</v>
      </c>
      <c r="L70" s="3429">
        <v>43555</v>
      </c>
      <c r="M70" s="3430">
        <v>0</v>
      </c>
      <c r="N70" s="3414" t="s">
        <v>3154</v>
      </c>
      <c r="O70" s="3413" t="s">
        <v>3155</v>
      </c>
      <c r="P70" s="3413" t="s">
        <v>3202</v>
      </c>
      <c r="Q70" s="3414" t="s">
        <v>3383</v>
      </c>
      <c r="R70" s="3420">
        <v>2</v>
      </c>
      <c r="S70" s="3419">
        <v>126.82</v>
      </c>
      <c r="T70" s="3420">
        <v>126.82</v>
      </c>
      <c r="U70" s="3419">
        <v>30</v>
      </c>
      <c r="V70" s="3414" t="s">
        <v>3158</v>
      </c>
      <c r="W70" s="3432" t="s">
        <v>3159</v>
      </c>
      <c r="X70" s="3422">
        <f t="shared" ref="X70:X133" si="24">ROUND(T70*U70,0)</f>
        <v>3805</v>
      </c>
      <c r="Y70" s="3422">
        <f t="shared" ref="Y70:Y133" si="25">X70/T70/30</f>
        <v>1.0001051358881354</v>
      </c>
      <c r="Z70" s="3433">
        <f t="shared" si="15"/>
        <v>1.0001051358881354</v>
      </c>
      <c r="AA70" s="3423">
        <f t="shared" ref="AA70:AA133" si="26">ROUND(Z70*T70*$AA$1,2)</f>
        <v>16615.169999999998</v>
      </c>
      <c r="AB70" s="3407">
        <f t="shared" si="22"/>
        <v>1.0601114440414237</v>
      </c>
      <c r="AC70" s="3404">
        <f t="shared" ref="AC70:AC133" si="27">ROUND(AB70*T70*$AC$1,2)</f>
        <v>49071.82</v>
      </c>
      <c r="AD70" s="3446">
        <f t="shared" si="23"/>
        <v>1.123718130683909</v>
      </c>
      <c r="AE70" s="3404">
        <f t="shared" ref="AE70:AE133" si="28">ROUND(AD70*T70*$AE$1,2)</f>
        <v>52016.13</v>
      </c>
      <c r="AF70" s="3446">
        <v>2.2000000000000002</v>
      </c>
      <c r="AG70" s="3404">
        <f t="shared" ref="AG70:AG133" si="29">ROUND(AF70*T70*$AG$1,2)</f>
        <v>101836.46</v>
      </c>
      <c r="AH70" s="3447">
        <f t="shared" si="21"/>
        <v>2.2549999999999999</v>
      </c>
      <c r="AI70" s="3399">
        <f t="shared" si="7"/>
        <v>104382.37</v>
      </c>
      <c r="AJ70" s="3404">
        <f t="shared" si="13"/>
        <v>2.3113749999999995</v>
      </c>
      <c r="AK70" s="3404">
        <f t="shared" si="8"/>
        <v>106991.93</v>
      </c>
      <c r="AL70" s="3404">
        <f t="shared" si="11"/>
        <v>2.3691593749999993</v>
      </c>
      <c r="AM70" s="3404">
        <f t="shared" si="9"/>
        <v>109666.73</v>
      </c>
      <c r="AN70" s="3404"/>
      <c r="AO70" s="3404"/>
      <c r="AP70" s="3404"/>
      <c r="AQ70" s="3404"/>
      <c r="AR70" s="3404"/>
      <c r="AS70" s="3404"/>
      <c r="AT70" s="3404"/>
      <c r="AU70" s="3404"/>
      <c r="AV70" s="3404"/>
      <c r="AW70" s="3404"/>
      <c r="AX70" s="3404"/>
      <c r="AY70" s="3404"/>
      <c r="AZ70" s="3404"/>
      <c r="BA70" s="3404"/>
      <c r="BB70" s="3404"/>
      <c r="BC70" s="3404"/>
      <c r="BD70" s="3404"/>
      <c r="BE70" s="3404"/>
      <c r="BF70" s="3404"/>
    </row>
    <row r="71" spans="1:58" s="3399" customFormat="1" ht="42.75">
      <c r="A71" s="3414" t="s">
        <v>3384</v>
      </c>
      <c r="B71" s="3414" t="s">
        <v>3372</v>
      </c>
      <c r="C71" s="3414" t="s">
        <v>3373</v>
      </c>
      <c r="D71" s="3414" t="s">
        <v>3374</v>
      </c>
      <c r="E71" s="3414" t="s">
        <v>3200</v>
      </c>
      <c r="F71" s="3414" t="s">
        <v>3216</v>
      </c>
      <c r="G71" s="3413" t="s">
        <v>3152</v>
      </c>
      <c r="H71" s="3414" t="s">
        <v>3375</v>
      </c>
      <c r="I71" s="3449">
        <v>0.06</v>
      </c>
      <c r="J71" s="3450">
        <v>42447</v>
      </c>
      <c r="K71" s="3485">
        <v>42445</v>
      </c>
      <c r="L71" s="3429">
        <v>43539</v>
      </c>
      <c r="M71" s="3430">
        <v>12</v>
      </c>
      <c r="N71" s="3414" t="s">
        <v>3154</v>
      </c>
      <c r="O71" s="3413" t="s">
        <v>3363</v>
      </c>
      <c r="P71" s="3413" t="s">
        <v>3385</v>
      </c>
      <c r="Q71" s="3414" t="s">
        <v>3386</v>
      </c>
      <c r="R71" s="3420">
        <v>1</v>
      </c>
      <c r="S71" s="3419">
        <v>113.73</v>
      </c>
      <c r="T71" s="3420">
        <v>113.73</v>
      </c>
      <c r="U71" s="3419">
        <v>30</v>
      </c>
      <c r="V71" s="3414" t="s">
        <v>3158</v>
      </c>
      <c r="W71" s="3432" t="s">
        <v>3218</v>
      </c>
      <c r="X71" s="3422">
        <f t="shared" si="24"/>
        <v>3412</v>
      </c>
      <c r="Y71" s="3422">
        <f t="shared" si="25"/>
        <v>1.0000293091825667</v>
      </c>
      <c r="Z71" s="3433">
        <f t="shared" si="15"/>
        <v>1.0000293091825667</v>
      </c>
      <c r="AA71" s="3423">
        <f t="shared" si="26"/>
        <v>14899.07</v>
      </c>
      <c r="AB71" s="3407">
        <f t="shared" si="22"/>
        <v>1.0600310677335207</v>
      </c>
      <c r="AC71" s="3404">
        <f t="shared" si="27"/>
        <v>44003.43</v>
      </c>
      <c r="AD71" s="3446">
        <f t="shared" si="23"/>
        <v>1.123632931797532</v>
      </c>
      <c r="AE71" s="3404">
        <f t="shared" si="28"/>
        <v>46643.63</v>
      </c>
      <c r="AF71" s="3446">
        <v>2.2000000000000002</v>
      </c>
      <c r="AG71" s="3404">
        <f t="shared" si="29"/>
        <v>91325.19</v>
      </c>
      <c r="AH71" s="3447">
        <f t="shared" si="21"/>
        <v>2.2549999999999999</v>
      </c>
      <c r="AI71" s="3399">
        <f t="shared" ref="AI71:AI134" si="30">ROUND(AH71*T71*$AI$1,2)</f>
        <v>93608.320000000007</v>
      </c>
      <c r="AJ71" s="3404">
        <f t="shared" si="13"/>
        <v>2.3113749999999995</v>
      </c>
      <c r="AK71" s="3404">
        <f t="shared" ref="AK71:AK134" si="31">ROUND(AJ71*T71*$AK$1,2)</f>
        <v>95948.53</v>
      </c>
      <c r="AL71" s="3404">
        <f t="shared" si="11"/>
        <v>2.3691593749999993</v>
      </c>
      <c r="AM71" s="3404">
        <f t="shared" ref="AM71:AM134" si="32">ROUND(AL71*T71*$AK$1,2)</f>
        <v>98347.24</v>
      </c>
      <c r="AN71" s="3404"/>
      <c r="AO71" s="3404"/>
      <c r="AP71" s="3404"/>
      <c r="AQ71" s="3404"/>
      <c r="AR71" s="3404"/>
      <c r="AS71" s="3404"/>
      <c r="AT71" s="3404"/>
      <c r="AU71" s="3404"/>
      <c r="AV71" s="3404"/>
      <c r="AW71" s="3404"/>
      <c r="AX71" s="3404"/>
      <c r="AY71" s="3404"/>
      <c r="AZ71" s="3404"/>
      <c r="BA71" s="3404"/>
      <c r="BB71" s="3404"/>
      <c r="BC71" s="3404"/>
      <c r="BD71" s="3404"/>
      <c r="BE71" s="3404"/>
      <c r="BF71" s="3404"/>
    </row>
    <row r="72" spans="1:58" s="3399" customFormat="1" ht="42.75">
      <c r="A72" s="3414" t="s">
        <v>3384</v>
      </c>
      <c r="B72" s="3414" t="s">
        <v>3372</v>
      </c>
      <c r="C72" s="3414" t="s">
        <v>3373</v>
      </c>
      <c r="D72" s="3414" t="s">
        <v>3374</v>
      </c>
      <c r="E72" s="3414" t="s">
        <v>3200</v>
      </c>
      <c r="F72" s="3414" t="s">
        <v>3216</v>
      </c>
      <c r="G72" s="3413" t="s">
        <v>3152</v>
      </c>
      <c r="H72" s="3414" t="s">
        <v>3375</v>
      </c>
      <c r="I72" s="3449">
        <v>0.06</v>
      </c>
      <c r="J72" s="3450">
        <v>42447</v>
      </c>
      <c r="K72" s="3485">
        <v>42445</v>
      </c>
      <c r="L72" s="3429">
        <v>43539</v>
      </c>
      <c r="M72" s="3430">
        <v>0</v>
      </c>
      <c r="N72" s="3414" t="s">
        <v>3154</v>
      </c>
      <c r="O72" s="3413" t="s">
        <v>3363</v>
      </c>
      <c r="P72" s="3413" t="s">
        <v>3385</v>
      </c>
      <c r="Q72" s="3414" t="s">
        <v>3386</v>
      </c>
      <c r="R72" s="3420">
        <v>1</v>
      </c>
      <c r="S72" s="3419">
        <v>113.73</v>
      </c>
      <c r="T72" s="3420">
        <v>113.73</v>
      </c>
      <c r="U72" s="3419">
        <v>35</v>
      </c>
      <c r="V72" s="3414" t="s">
        <v>3158</v>
      </c>
      <c r="W72" s="3432" t="s">
        <v>3159</v>
      </c>
      <c r="X72" s="3422">
        <f t="shared" si="24"/>
        <v>3981</v>
      </c>
      <c r="Y72" s="3422">
        <f t="shared" si="25"/>
        <v>1.1667985579882179</v>
      </c>
      <c r="Z72" s="3433">
        <f t="shared" si="15"/>
        <v>1.1667985579882179</v>
      </c>
      <c r="AA72" s="3423">
        <f t="shared" si="26"/>
        <v>17383.7</v>
      </c>
      <c r="AB72" s="3407">
        <f t="shared" si="22"/>
        <v>1.2368064714675109</v>
      </c>
      <c r="AC72" s="3404">
        <f t="shared" si="27"/>
        <v>51341.63</v>
      </c>
      <c r="AD72" s="3446">
        <f t="shared" si="23"/>
        <v>1.3110148597555615</v>
      </c>
      <c r="AE72" s="3404">
        <f t="shared" si="28"/>
        <v>54422.13</v>
      </c>
      <c r="AF72" s="3446">
        <v>2.2000000000000002</v>
      </c>
      <c r="AG72" s="3404">
        <f t="shared" si="29"/>
        <v>91325.19</v>
      </c>
      <c r="AH72" s="3447">
        <f t="shared" si="21"/>
        <v>2.2549999999999999</v>
      </c>
      <c r="AI72" s="3399">
        <f t="shared" si="30"/>
        <v>93608.320000000007</v>
      </c>
      <c r="AJ72" s="3404">
        <f t="shared" si="13"/>
        <v>2.3113749999999995</v>
      </c>
      <c r="AK72" s="3404">
        <f t="shared" si="31"/>
        <v>95948.53</v>
      </c>
      <c r="AL72" s="3404">
        <f t="shared" si="11"/>
        <v>2.3691593749999993</v>
      </c>
      <c r="AM72" s="3404">
        <f t="shared" si="32"/>
        <v>98347.24</v>
      </c>
      <c r="AN72" s="3404"/>
      <c r="AO72" s="3404"/>
      <c r="AP72" s="3404"/>
      <c r="AQ72" s="3404"/>
      <c r="AR72" s="3404"/>
      <c r="AS72" s="3404"/>
      <c r="AT72" s="3404"/>
      <c r="AU72" s="3404"/>
      <c r="AV72" s="3404"/>
      <c r="AW72" s="3404"/>
      <c r="AX72" s="3404"/>
      <c r="AY72" s="3404"/>
      <c r="AZ72" s="3404"/>
      <c r="BA72" s="3404"/>
      <c r="BB72" s="3404"/>
      <c r="BC72" s="3404"/>
      <c r="BD72" s="3404"/>
      <c r="BE72" s="3404"/>
      <c r="BF72" s="3404"/>
    </row>
    <row r="73" spans="1:58" s="3399" customFormat="1" ht="57">
      <c r="A73" s="3414" t="s">
        <v>3387</v>
      </c>
      <c r="B73" s="3414" t="s">
        <v>3388</v>
      </c>
      <c r="C73" s="3414" t="s">
        <v>3389</v>
      </c>
      <c r="D73" s="3414" t="s">
        <v>3390</v>
      </c>
      <c r="E73" s="3414" t="s">
        <v>3200</v>
      </c>
      <c r="F73" s="3414" t="s">
        <v>3216</v>
      </c>
      <c r="G73" s="3413" t="s">
        <v>3152</v>
      </c>
      <c r="H73" s="3414" t="s">
        <v>3201</v>
      </c>
      <c r="I73" s="3449">
        <v>0.06</v>
      </c>
      <c r="J73" s="3450">
        <v>42402</v>
      </c>
      <c r="K73" s="3485">
        <v>42445</v>
      </c>
      <c r="L73" s="3429">
        <v>43539</v>
      </c>
      <c r="M73" s="3430">
        <v>12</v>
      </c>
      <c r="N73" s="3414" t="s">
        <v>3154</v>
      </c>
      <c r="O73" s="3413" t="s">
        <v>3155</v>
      </c>
      <c r="P73" s="3414" t="s">
        <v>3226</v>
      </c>
      <c r="Q73" s="3414" t="s">
        <v>3391</v>
      </c>
      <c r="R73" s="3420">
        <v>1</v>
      </c>
      <c r="S73" s="3419">
        <v>64.760000000000005</v>
      </c>
      <c r="T73" s="3420">
        <v>64.760000000000005</v>
      </c>
      <c r="U73" s="3419">
        <v>40</v>
      </c>
      <c r="V73" s="3414" t="s">
        <v>3158</v>
      </c>
      <c r="W73" s="3432" t="s">
        <v>3218</v>
      </c>
      <c r="X73" s="3422">
        <f t="shared" si="24"/>
        <v>2590</v>
      </c>
      <c r="Y73" s="3422">
        <f t="shared" si="25"/>
        <v>1.3331274449248507</v>
      </c>
      <c r="Z73" s="3433">
        <f t="shared" si="15"/>
        <v>1.3331274449248507</v>
      </c>
      <c r="AA73" s="3423">
        <f t="shared" si="26"/>
        <v>11309.67</v>
      </c>
      <c r="AB73" s="3407">
        <f t="shared" si="22"/>
        <v>1.4131150916203419</v>
      </c>
      <c r="AC73" s="3404">
        <f t="shared" si="27"/>
        <v>33402.370000000003</v>
      </c>
      <c r="AD73" s="3446">
        <f t="shared" si="23"/>
        <v>1.4979019971175624</v>
      </c>
      <c r="AE73" s="3404">
        <f t="shared" si="28"/>
        <v>35406.51</v>
      </c>
      <c r="AF73" s="3446">
        <v>2.2000000000000002</v>
      </c>
      <c r="AG73" s="3404">
        <f t="shared" si="29"/>
        <v>52002.28</v>
      </c>
      <c r="AH73" s="3447">
        <f t="shared" si="21"/>
        <v>2.2549999999999999</v>
      </c>
      <c r="AI73" s="3399">
        <f t="shared" si="30"/>
        <v>53302.34</v>
      </c>
      <c r="AJ73" s="3404">
        <f t="shared" si="13"/>
        <v>2.3113749999999995</v>
      </c>
      <c r="AK73" s="3404">
        <f t="shared" si="31"/>
        <v>54634.9</v>
      </c>
      <c r="AL73" s="3404">
        <f t="shared" ref="AL73:AL136" si="33">AJ73*(1+$AH$1)</f>
        <v>2.3691593749999993</v>
      </c>
      <c r="AM73" s="3404">
        <f t="shared" si="32"/>
        <v>56000.77</v>
      </c>
      <c r="AN73" s="3404"/>
      <c r="AO73" s="3404"/>
      <c r="AP73" s="3404"/>
      <c r="AQ73" s="3404"/>
      <c r="AR73" s="3404"/>
      <c r="AS73" s="3404"/>
      <c r="AT73" s="3404"/>
      <c r="AU73" s="3404"/>
      <c r="AV73" s="3404"/>
      <c r="AW73" s="3404"/>
      <c r="AX73" s="3404"/>
      <c r="AY73" s="3404"/>
      <c r="AZ73" s="3404"/>
      <c r="BA73" s="3404"/>
      <c r="BB73" s="3404"/>
      <c r="BC73" s="3404"/>
      <c r="BD73" s="3404"/>
      <c r="BE73" s="3404"/>
      <c r="BF73" s="3404"/>
    </row>
    <row r="74" spans="1:58" s="3399" customFormat="1" ht="57">
      <c r="A74" s="3414" t="s">
        <v>3387</v>
      </c>
      <c r="B74" s="3414" t="s">
        <v>3388</v>
      </c>
      <c r="C74" s="3414" t="s">
        <v>3389</v>
      </c>
      <c r="D74" s="3414" t="s">
        <v>3390</v>
      </c>
      <c r="E74" s="3414" t="s">
        <v>3200</v>
      </c>
      <c r="F74" s="3414" t="s">
        <v>3216</v>
      </c>
      <c r="G74" s="3413" t="s">
        <v>3152</v>
      </c>
      <c r="H74" s="3414" t="s">
        <v>3201</v>
      </c>
      <c r="I74" s="3449">
        <v>0.06</v>
      </c>
      <c r="J74" s="3450">
        <v>42402</v>
      </c>
      <c r="K74" s="3485">
        <v>42445</v>
      </c>
      <c r="L74" s="3429">
        <v>43539</v>
      </c>
      <c r="M74" s="3430">
        <v>0</v>
      </c>
      <c r="N74" s="3414" t="s">
        <v>3154</v>
      </c>
      <c r="O74" s="3413" t="s">
        <v>3155</v>
      </c>
      <c r="P74" s="3414" t="s">
        <v>3226</v>
      </c>
      <c r="Q74" s="3414" t="s">
        <v>3391</v>
      </c>
      <c r="R74" s="3420">
        <v>1</v>
      </c>
      <c r="S74" s="3419">
        <v>64.760000000000005</v>
      </c>
      <c r="T74" s="3420">
        <v>64.760000000000005</v>
      </c>
      <c r="U74" s="3419">
        <v>30</v>
      </c>
      <c r="V74" s="3414" t="s">
        <v>3158</v>
      </c>
      <c r="W74" s="3432" t="s">
        <v>3159</v>
      </c>
      <c r="X74" s="3422">
        <f t="shared" si="24"/>
        <v>1943</v>
      </c>
      <c r="Y74" s="3422">
        <f t="shared" si="25"/>
        <v>1.0001029442042413</v>
      </c>
      <c r="Z74" s="3433">
        <f t="shared" si="15"/>
        <v>1.0001029442042413</v>
      </c>
      <c r="AA74" s="3423">
        <f t="shared" si="26"/>
        <v>8484.43</v>
      </c>
      <c r="AB74" s="3407">
        <f t="shared" si="22"/>
        <v>1.0601091208564959</v>
      </c>
      <c r="AC74" s="3404">
        <f t="shared" si="27"/>
        <v>25058.22</v>
      </c>
      <c r="AD74" s="3446">
        <f t="shared" si="23"/>
        <v>1.1237156681078857</v>
      </c>
      <c r="AE74" s="3404">
        <f t="shared" si="28"/>
        <v>26561.72</v>
      </c>
      <c r="AF74" s="3446">
        <v>2.2000000000000002</v>
      </c>
      <c r="AG74" s="3404">
        <f t="shared" si="29"/>
        <v>52002.28</v>
      </c>
      <c r="AH74" s="3447">
        <f t="shared" si="21"/>
        <v>2.2549999999999999</v>
      </c>
      <c r="AI74" s="3399">
        <f t="shared" si="30"/>
        <v>53302.34</v>
      </c>
      <c r="AJ74" s="3404">
        <f t="shared" si="13"/>
        <v>2.3113749999999995</v>
      </c>
      <c r="AK74" s="3404">
        <f t="shared" si="31"/>
        <v>54634.9</v>
      </c>
      <c r="AL74" s="3404">
        <f t="shared" si="33"/>
        <v>2.3691593749999993</v>
      </c>
      <c r="AM74" s="3404">
        <f t="shared" si="32"/>
        <v>56000.77</v>
      </c>
      <c r="AN74" s="3404"/>
      <c r="AO74" s="3404"/>
      <c r="AP74" s="3404"/>
      <c r="AQ74" s="3404"/>
      <c r="AR74" s="3404"/>
      <c r="AS74" s="3404"/>
      <c r="AT74" s="3404"/>
      <c r="AU74" s="3404"/>
      <c r="AV74" s="3404"/>
      <c r="AW74" s="3404"/>
      <c r="AX74" s="3404"/>
      <c r="AY74" s="3404"/>
      <c r="AZ74" s="3404"/>
      <c r="BA74" s="3404"/>
      <c r="BB74" s="3404"/>
      <c r="BC74" s="3404"/>
      <c r="BD74" s="3404"/>
      <c r="BE74" s="3404"/>
      <c r="BF74" s="3404"/>
    </row>
    <row r="75" spans="1:58" s="3399" customFormat="1" ht="42.75">
      <c r="A75" s="3414" t="s">
        <v>3392</v>
      </c>
      <c r="B75" s="3414" t="s">
        <v>3393</v>
      </c>
      <c r="C75" s="3414" t="s">
        <v>3394</v>
      </c>
      <c r="D75" s="3414" t="s">
        <v>3395</v>
      </c>
      <c r="E75" s="3414" t="s">
        <v>3191</v>
      </c>
      <c r="F75" s="3414" t="s">
        <v>3216</v>
      </c>
      <c r="G75" s="3413" t="s">
        <v>3152</v>
      </c>
      <c r="H75" s="3414" t="s">
        <v>3396</v>
      </c>
      <c r="I75" s="3449">
        <v>0.06</v>
      </c>
      <c r="J75" s="3450">
        <v>42443</v>
      </c>
      <c r="K75" s="3485">
        <v>42491</v>
      </c>
      <c r="L75" s="3429">
        <v>43585</v>
      </c>
      <c r="M75" s="3430">
        <v>12</v>
      </c>
      <c r="N75" s="3414" t="s">
        <v>3154</v>
      </c>
      <c r="O75" s="3413" t="s">
        <v>3155</v>
      </c>
      <c r="P75" s="3414" t="s">
        <v>3247</v>
      </c>
      <c r="Q75" s="3414" t="s">
        <v>3397</v>
      </c>
      <c r="R75" s="3420">
        <v>1</v>
      </c>
      <c r="S75" s="3419">
        <v>84.1</v>
      </c>
      <c r="T75" s="3420">
        <v>84.1</v>
      </c>
      <c r="U75" s="3419">
        <v>15</v>
      </c>
      <c r="V75" s="3414" t="s">
        <v>3158</v>
      </c>
      <c r="W75" s="3432" t="s">
        <v>3218</v>
      </c>
      <c r="X75" s="3422">
        <f t="shared" si="24"/>
        <v>1262</v>
      </c>
      <c r="Y75" s="3422">
        <f t="shared" si="25"/>
        <v>0.50019817677368217</v>
      </c>
      <c r="Z75" s="3433">
        <f t="shared" si="15"/>
        <v>0.50019817677368217</v>
      </c>
      <c r="AA75" s="3423">
        <f t="shared" si="26"/>
        <v>5510.73</v>
      </c>
      <c r="AB75" s="3407">
        <f t="shared" si="22"/>
        <v>0.53021006738010312</v>
      </c>
      <c r="AC75" s="3404">
        <f t="shared" si="27"/>
        <v>16275.59</v>
      </c>
      <c r="AD75" s="3446">
        <f t="shared" si="23"/>
        <v>0.56202267142290929</v>
      </c>
      <c r="AE75" s="3404">
        <f t="shared" si="28"/>
        <v>17252.13</v>
      </c>
      <c r="AF75" s="3446">
        <v>2.2000000000000002</v>
      </c>
      <c r="AG75" s="3404">
        <f t="shared" si="29"/>
        <v>67532.3</v>
      </c>
      <c r="AH75" s="3447">
        <f t="shared" si="21"/>
        <v>2.2549999999999999</v>
      </c>
      <c r="AI75" s="3399">
        <f t="shared" si="30"/>
        <v>69220.61</v>
      </c>
      <c r="AJ75" s="3404">
        <f t="shared" si="13"/>
        <v>2.3113749999999995</v>
      </c>
      <c r="AK75" s="3404">
        <f t="shared" si="31"/>
        <v>70951.12</v>
      </c>
      <c r="AL75" s="3404">
        <f t="shared" si="33"/>
        <v>2.3691593749999993</v>
      </c>
      <c r="AM75" s="3404">
        <f t="shared" si="32"/>
        <v>72724.899999999994</v>
      </c>
      <c r="AN75" s="3404"/>
      <c r="AO75" s="3404"/>
      <c r="AP75" s="3404"/>
      <c r="AQ75" s="3404"/>
      <c r="AR75" s="3404"/>
      <c r="AS75" s="3404"/>
      <c r="AT75" s="3404"/>
      <c r="AU75" s="3404"/>
      <c r="AV75" s="3404"/>
      <c r="AW75" s="3404"/>
      <c r="AX75" s="3404"/>
      <c r="AY75" s="3404"/>
      <c r="AZ75" s="3404"/>
      <c r="BA75" s="3404"/>
      <c r="BB75" s="3404"/>
      <c r="BC75" s="3404"/>
      <c r="BD75" s="3404"/>
      <c r="BE75" s="3404"/>
      <c r="BF75" s="3404"/>
    </row>
    <row r="76" spans="1:58" s="3399" customFormat="1" ht="42.75">
      <c r="A76" s="3414" t="s">
        <v>3392</v>
      </c>
      <c r="B76" s="3414" t="s">
        <v>3393</v>
      </c>
      <c r="C76" s="3414" t="s">
        <v>3394</v>
      </c>
      <c r="D76" s="3414" t="s">
        <v>3395</v>
      </c>
      <c r="E76" s="3414" t="s">
        <v>3191</v>
      </c>
      <c r="F76" s="3414" t="s">
        <v>3216</v>
      </c>
      <c r="G76" s="3413" t="s">
        <v>3152</v>
      </c>
      <c r="H76" s="3414" t="s">
        <v>3396</v>
      </c>
      <c r="I76" s="3449">
        <v>0.06</v>
      </c>
      <c r="J76" s="3450">
        <v>42443</v>
      </c>
      <c r="K76" s="3485">
        <v>42491</v>
      </c>
      <c r="L76" s="3429">
        <v>43585</v>
      </c>
      <c r="M76" s="3430">
        <v>0</v>
      </c>
      <c r="N76" s="3414" t="s">
        <v>3154</v>
      </c>
      <c r="O76" s="3413" t="s">
        <v>3155</v>
      </c>
      <c r="P76" s="3414" t="s">
        <v>3247</v>
      </c>
      <c r="Q76" s="3414" t="s">
        <v>3397</v>
      </c>
      <c r="R76" s="3420">
        <v>1</v>
      </c>
      <c r="S76" s="3419">
        <v>84.1</v>
      </c>
      <c r="T76" s="3420">
        <v>84.1</v>
      </c>
      <c r="U76" s="3419">
        <v>20</v>
      </c>
      <c r="V76" s="3414" t="s">
        <v>3158</v>
      </c>
      <c r="W76" s="3432" t="s">
        <v>3159</v>
      </c>
      <c r="X76" s="3422">
        <f t="shared" si="24"/>
        <v>1682</v>
      </c>
      <c r="Y76" s="3422">
        <f t="shared" si="25"/>
        <v>0.66666666666666663</v>
      </c>
      <c r="Z76" s="3433">
        <f t="shared" si="15"/>
        <v>0.66666666666666663</v>
      </c>
      <c r="AA76" s="3423">
        <f t="shared" si="26"/>
        <v>7344.73</v>
      </c>
      <c r="AB76" s="3407">
        <f t="shared" si="22"/>
        <v>0.70666666666666667</v>
      </c>
      <c r="AC76" s="3404">
        <f t="shared" si="27"/>
        <v>21692.19</v>
      </c>
      <c r="AD76" s="3446">
        <f t="shared" si="23"/>
        <v>0.74906666666666666</v>
      </c>
      <c r="AE76" s="3404">
        <f t="shared" si="28"/>
        <v>22993.72</v>
      </c>
      <c r="AF76" s="3446">
        <v>2.2000000000000002</v>
      </c>
      <c r="AG76" s="3404">
        <f t="shared" si="29"/>
        <v>67532.3</v>
      </c>
      <c r="AH76" s="3447">
        <f t="shared" si="21"/>
        <v>2.2549999999999999</v>
      </c>
      <c r="AI76" s="3399">
        <f t="shared" si="30"/>
        <v>69220.61</v>
      </c>
      <c r="AJ76" s="3404">
        <f t="shared" si="13"/>
        <v>2.3113749999999995</v>
      </c>
      <c r="AK76" s="3404">
        <f t="shared" si="31"/>
        <v>70951.12</v>
      </c>
      <c r="AL76" s="3404">
        <f t="shared" si="33"/>
        <v>2.3691593749999993</v>
      </c>
      <c r="AM76" s="3404">
        <f t="shared" si="32"/>
        <v>72724.899999999994</v>
      </c>
      <c r="AN76" s="3404"/>
      <c r="AO76" s="3404"/>
      <c r="AP76" s="3404"/>
      <c r="AQ76" s="3404"/>
      <c r="AR76" s="3404"/>
      <c r="AS76" s="3404"/>
      <c r="AT76" s="3404"/>
      <c r="AU76" s="3404"/>
      <c r="AV76" s="3404"/>
      <c r="AW76" s="3404"/>
      <c r="AX76" s="3404"/>
      <c r="AY76" s="3404"/>
      <c r="AZ76" s="3404"/>
      <c r="BA76" s="3404"/>
      <c r="BB76" s="3404"/>
      <c r="BC76" s="3404"/>
      <c r="BD76" s="3404"/>
      <c r="BE76" s="3404"/>
      <c r="BF76" s="3404"/>
    </row>
    <row r="77" spans="1:58" s="3399" customFormat="1" ht="42.75">
      <c r="A77" s="3414" t="s">
        <v>3398</v>
      </c>
      <c r="B77" s="3414" t="s">
        <v>3399</v>
      </c>
      <c r="C77" s="3414" t="s">
        <v>3400</v>
      </c>
      <c r="D77" s="3414" t="s">
        <v>3401</v>
      </c>
      <c r="E77" s="3414" t="s">
        <v>3402</v>
      </c>
      <c r="F77" s="3414" t="s">
        <v>3216</v>
      </c>
      <c r="G77" s="3413" t="s">
        <v>3152</v>
      </c>
      <c r="H77" s="3414" t="s">
        <v>3403</v>
      </c>
      <c r="I77" s="3449">
        <v>0.06</v>
      </c>
      <c r="J77" s="3450">
        <v>42436</v>
      </c>
      <c r="K77" s="3485">
        <v>42522</v>
      </c>
      <c r="L77" s="3429">
        <v>43616</v>
      </c>
      <c r="M77" s="3430">
        <v>12</v>
      </c>
      <c r="N77" s="3414" t="s">
        <v>3154</v>
      </c>
      <c r="O77" s="3414" t="s">
        <v>3363</v>
      </c>
      <c r="P77" s="3414" t="s">
        <v>3404</v>
      </c>
      <c r="Q77" s="3414" t="s">
        <v>3405</v>
      </c>
      <c r="R77" s="3420">
        <v>1</v>
      </c>
      <c r="S77" s="3419">
        <v>64.7</v>
      </c>
      <c r="T77" s="3420">
        <v>64.7</v>
      </c>
      <c r="U77" s="3419">
        <v>30</v>
      </c>
      <c r="V77" s="3414" t="s">
        <v>3158</v>
      </c>
      <c r="W77" s="3432" t="s">
        <v>3218</v>
      </c>
      <c r="X77" s="3422">
        <f t="shared" si="24"/>
        <v>1941</v>
      </c>
      <c r="Y77" s="3422">
        <f t="shared" si="25"/>
        <v>1</v>
      </c>
      <c r="Z77" s="3433">
        <f t="shared" si="15"/>
        <v>1</v>
      </c>
      <c r="AA77" s="3423">
        <f t="shared" si="26"/>
        <v>8475.7000000000007</v>
      </c>
      <c r="AB77" s="3407">
        <f t="shared" si="22"/>
        <v>1.06</v>
      </c>
      <c r="AC77" s="3404">
        <f t="shared" si="27"/>
        <v>25032.43</v>
      </c>
      <c r="AD77" s="3446">
        <f t="shared" si="23"/>
        <v>1.1236000000000002</v>
      </c>
      <c r="AE77" s="3404">
        <f t="shared" si="28"/>
        <v>26534.38</v>
      </c>
      <c r="AF77" s="3446">
        <v>2.2000000000000002</v>
      </c>
      <c r="AG77" s="3404">
        <f t="shared" si="29"/>
        <v>51954.1</v>
      </c>
      <c r="AH77" s="3447">
        <f t="shared" si="21"/>
        <v>2.2549999999999999</v>
      </c>
      <c r="AI77" s="3399">
        <f t="shared" si="30"/>
        <v>53252.95</v>
      </c>
      <c r="AJ77" s="3404">
        <f t="shared" si="13"/>
        <v>2.3113749999999995</v>
      </c>
      <c r="AK77" s="3404">
        <f t="shared" si="31"/>
        <v>54584.28</v>
      </c>
      <c r="AL77" s="3404">
        <f t="shared" si="33"/>
        <v>2.3691593749999993</v>
      </c>
      <c r="AM77" s="3404">
        <f t="shared" si="32"/>
        <v>55948.88</v>
      </c>
      <c r="AN77" s="3404"/>
      <c r="AO77" s="3404"/>
      <c r="AP77" s="3404"/>
      <c r="AQ77" s="3404"/>
      <c r="AR77" s="3404"/>
      <c r="AS77" s="3404"/>
      <c r="AT77" s="3404"/>
      <c r="AU77" s="3404"/>
      <c r="AV77" s="3404"/>
      <c r="AW77" s="3404"/>
      <c r="AX77" s="3404"/>
      <c r="AY77" s="3404"/>
      <c r="AZ77" s="3404"/>
      <c r="BA77" s="3404"/>
      <c r="BB77" s="3404"/>
      <c r="BC77" s="3404"/>
      <c r="BD77" s="3404"/>
      <c r="BE77" s="3404"/>
      <c r="BF77" s="3404"/>
    </row>
    <row r="78" spans="1:58" s="3399" customFormat="1" ht="42.75">
      <c r="A78" s="3414" t="s">
        <v>3398</v>
      </c>
      <c r="B78" s="3414" t="s">
        <v>3399</v>
      </c>
      <c r="C78" s="3414" t="s">
        <v>3400</v>
      </c>
      <c r="D78" s="3414" t="s">
        <v>3401</v>
      </c>
      <c r="E78" s="3414" t="s">
        <v>3402</v>
      </c>
      <c r="F78" s="3414" t="s">
        <v>3216</v>
      </c>
      <c r="G78" s="3413" t="s">
        <v>3152</v>
      </c>
      <c r="H78" s="3414" t="s">
        <v>3403</v>
      </c>
      <c r="I78" s="3449">
        <v>0.06</v>
      </c>
      <c r="J78" s="3450">
        <v>42436</v>
      </c>
      <c r="K78" s="3485">
        <v>42522</v>
      </c>
      <c r="L78" s="3429">
        <v>43616</v>
      </c>
      <c r="M78" s="3430">
        <v>12</v>
      </c>
      <c r="N78" s="3414" t="s">
        <v>3154</v>
      </c>
      <c r="O78" s="3414" t="s">
        <v>3363</v>
      </c>
      <c r="P78" s="3414" t="s">
        <v>3404</v>
      </c>
      <c r="Q78" s="3414" t="s">
        <v>3405</v>
      </c>
      <c r="R78" s="3420">
        <v>1</v>
      </c>
      <c r="S78" s="3419">
        <v>64.7</v>
      </c>
      <c r="T78" s="3420">
        <v>64.7</v>
      </c>
      <c r="U78" s="3419">
        <v>40</v>
      </c>
      <c r="V78" s="3414" t="s">
        <v>3158</v>
      </c>
      <c r="W78" s="3432" t="s">
        <v>3159</v>
      </c>
      <c r="X78" s="3422">
        <f t="shared" si="24"/>
        <v>2588</v>
      </c>
      <c r="Y78" s="3422">
        <f t="shared" si="25"/>
        <v>1.3333333333333333</v>
      </c>
      <c r="Z78" s="3433">
        <f t="shared" si="15"/>
        <v>1.3333333333333333</v>
      </c>
      <c r="AA78" s="3423">
        <f t="shared" si="26"/>
        <v>11300.93</v>
      </c>
      <c r="AB78" s="3407">
        <f t="shared" si="22"/>
        <v>1.4133333333333333</v>
      </c>
      <c r="AC78" s="3404">
        <f t="shared" si="27"/>
        <v>33376.57</v>
      </c>
      <c r="AD78" s="3446">
        <f t="shared" si="23"/>
        <v>1.4981333333333333</v>
      </c>
      <c r="AE78" s="3404">
        <f t="shared" si="28"/>
        <v>35379.17</v>
      </c>
      <c r="AF78" s="3446">
        <v>2.2000000000000002</v>
      </c>
      <c r="AG78" s="3404">
        <f t="shared" si="29"/>
        <v>51954.1</v>
      </c>
      <c r="AH78" s="3447">
        <f t="shared" si="21"/>
        <v>2.2549999999999999</v>
      </c>
      <c r="AI78" s="3399">
        <f t="shared" si="30"/>
        <v>53252.95</v>
      </c>
      <c r="AJ78" s="3404">
        <f t="shared" ref="AJ78:AJ141" si="34">AH78*(1+$AH$1)</f>
        <v>2.3113749999999995</v>
      </c>
      <c r="AK78" s="3404">
        <f t="shared" si="31"/>
        <v>54584.28</v>
      </c>
      <c r="AL78" s="3404">
        <f t="shared" si="33"/>
        <v>2.3691593749999993</v>
      </c>
      <c r="AM78" s="3404">
        <f t="shared" si="32"/>
        <v>55948.88</v>
      </c>
      <c r="AN78" s="3404"/>
      <c r="AO78" s="3404"/>
      <c r="AP78" s="3404"/>
      <c r="AQ78" s="3404"/>
      <c r="AR78" s="3404"/>
      <c r="AS78" s="3404"/>
      <c r="AT78" s="3404"/>
      <c r="AU78" s="3404"/>
      <c r="AV78" s="3404"/>
      <c r="AW78" s="3404"/>
      <c r="AX78" s="3404"/>
      <c r="AY78" s="3404"/>
      <c r="AZ78" s="3404"/>
      <c r="BA78" s="3404"/>
      <c r="BB78" s="3404"/>
      <c r="BC78" s="3404"/>
      <c r="BD78" s="3404"/>
      <c r="BE78" s="3404"/>
      <c r="BF78" s="3404"/>
    </row>
    <row r="79" spans="1:58" s="3399" customFormat="1" ht="42.75">
      <c r="A79" s="3414" t="s">
        <v>3406</v>
      </c>
      <c r="B79" s="3414" t="s">
        <v>3407</v>
      </c>
      <c r="C79" s="3414" t="s">
        <v>3408</v>
      </c>
      <c r="D79" s="3414" t="s">
        <v>3409</v>
      </c>
      <c r="E79" s="3414" t="s">
        <v>3200</v>
      </c>
      <c r="F79" s="3414" t="s">
        <v>3216</v>
      </c>
      <c r="G79" s="3413" t="s">
        <v>3152</v>
      </c>
      <c r="H79" s="3414" t="s">
        <v>3375</v>
      </c>
      <c r="I79" s="3449">
        <v>0.06</v>
      </c>
      <c r="J79" s="3450">
        <v>42424</v>
      </c>
      <c r="K79" s="3485">
        <v>42445</v>
      </c>
      <c r="L79" s="3429">
        <v>43539</v>
      </c>
      <c r="M79" s="3430">
        <v>12</v>
      </c>
      <c r="N79" s="3414" t="s">
        <v>3154</v>
      </c>
      <c r="O79" s="3413" t="s">
        <v>3155</v>
      </c>
      <c r="P79" s="3413" t="s">
        <v>3202</v>
      </c>
      <c r="Q79" s="3414" t="s">
        <v>3410</v>
      </c>
      <c r="R79" s="3420">
        <v>1</v>
      </c>
      <c r="S79" s="3419">
        <v>150.15</v>
      </c>
      <c r="T79" s="3420">
        <v>150.15</v>
      </c>
      <c r="U79" s="3419">
        <v>36.5</v>
      </c>
      <c r="V79" s="3414" t="s">
        <v>3158</v>
      </c>
      <c r="W79" s="3432" t="s">
        <v>3218</v>
      </c>
      <c r="X79" s="3422">
        <f t="shared" si="24"/>
        <v>5480</v>
      </c>
      <c r="Y79" s="3422">
        <f t="shared" si="25"/>
        <v>1.2165612165612165</v>
      </c>
      <c r="Z79" s="3433">
        <f t="shared" si="15"/>
        <v>1.2165612165612165</v>
      </c>
      <c r="AA79" s="3423">
        <f t="shared" si="26"/>
        <v>23929.33</v>
      </c>
      <c r="AB79" s="3407">
        <f t="shared" si="22"/>
        <v>1.2895548895548896</v>
      </c>
      <c r="AC79" s="3404">
        <f t="shared" si="27"/>
        <v>70673.73</v>
      </c>
      <c r="AD79" s="3446">
        <f t="shared" si="23"/>
        <v>1.366928182928183</v>
      </c>
      <c r="AE79" s="3404">
        <f t="shared" si="28"/>
        <v>74914.16</v>
      </c>
      <c r="AF79" s="3446">
        <v>2.2000000000000002</v>
      </c>
      <c r="AG79" s="3404">
        <f t="shared" si="29"/>
        <v>120570.45</v>
      </c>
      <c r="AH79" s="3447">
        <f t="shared" si="21"/>
        <v>2.2549999999999999</v>
      </c>
      <c r="AI79" s="3399">
        <f t="shared" si="30"/>
        <v>123584.71</v>
      </c>
      <c r="AJ79" s="3404">
        <f t="shared" si="34"/>
        <v>2.3113749999999995</v>
      </c>
      <c r="AK79" s="3404">
        <f t="shared" si="31"/>
        <v>126674.33</v>
      </c>
      <c r="AL79" s="3404">
        <f t="shared" si="33"/>
        <v>2.3691593749999993</v>
      </c>
      <c r="AM79" s="3404">
        <f t="shared" si="32"/>
        <v>129841.19</v>
      </c>
      <c r="AN79" s="3404"/>
      <c r="AO79" s="3404"/>
      <c r="AP79" s="3404"/>
      <c r="AQ79" s="3404"/>
      <c r="AR79" s="3404"/>
      <c r="AS79" s="3404"/>
      <c r="AT79" s="3404"/>
      <c r="AU79" s="3404"/>
      <c r="AV79" s="3404"/>
      <c r="AW79" s="3404"/>
      <c r="AX79" s="3404"/>
      <c r="AY79" s="3404"/>
      <c r="AZ79" s="3404"/>
      <c r="BA79" s="3404"/>
      <c r="BB79" s="3404"/>
      <c r="BC79" s="3404"/>
      <c r="BD79" s="3404"/>
      <c r="BE79" s="3404"/>
      <c r="BF79" s="3404"/>
    </row>
    <row r="80" spans="1:58" s="3399" customFormat="1" ht="42.75">
      <c r="A80" s="3414" t="s">
        <v>3406</v>
      </c>
      <c r="B80" s="3414" t="s">
        <v>3407</v>
      </c>
      <c r="C80" s="3414" t="s">
        <v>3408</v>
      </c>
      <c r="D80" s="3414" t="s">
        <v>3409</v>
      </c>
      <c r="E80" s="3414" t="s">
        <v>3200</v>
      </c>
      <c r="F80" s="3414" t="s">
        <v>3216</v>
      </c>
      <c r="G80" s="3413" t="s">
        <v>3152</v>
      </c>
      <c r="H80" s="3414" t="s">
        <v>3375</v>
      </c>
      <c r="I80" s="3449">
        <v>0.06</v>
      </c>
      <c r="J80" s="3450">
        <v>42424</v>
      </c>
      <c r="K80" s="3485">
        <v>42445</v>
      </c>
      <c r="L80" s="3429">
        <v>43539</v>
      </c>
      <c r="M80" s="3430">
        <v>0</v>
      </c>
      <c r="N80" s="3414" t="s">
        <v>3154</v>
      </c>
      <c r="O80" s="3413" t="s">
        <v>3155</v>
      </c>
      <c r="P80" s="3413" t="s">
        <v>3202</v>
      </c>
      <c r="Q80" s="3414" t="s">
        <v>3410</v>
      </c>
      <c r="R80" s="3420">
        <v>1</v>
      </c>
      <c r="S80" s="3419">
        <v>150.15</v>
      </c>
      <c r="T80" s="3420">
        <v>150.15</v>
      </c>
      <c r="U80" s="3419">
        <v>40</v>
      </c>
      <c r="V80" s="3414" t="s">
        <v>3158</v>
      </c>
      <c r="W80" s="3432" t="s">
        <v>3159</v>
      </c>
      <c r="X80" s="3422">
        <f t="shared" si="24"/>
        <v>6006</v>
      </c>
      <c r="Y80" s="3422">
        <f t="shared" si="25"/>
        <v>1.3333333333333333</v>
      </c>
      <c r="Z80" s="3433">
        <f t="shared" ref="Z80:Z143" si="35">Y80</f>
        <v>1.3333333333333333</v>
      </c>
      <c r="AA80" s="3423">
        <f t="shared" si="26"/>
        <v>26226.2</v>
      </c>
      <c r="AB80" s="3407">
        <f t="shared" si="22"/>
        <v>1.4133333333333333</v>
      </c>
      <c r="AC80" s="3404">
        <f t="shared" si="27"/>
        <v>77457.38</v>
      </c>
      <c r="AD80" s="3446">
        <f t="shared" si="23"/>
        <v>1.4981333333333333</v>
      </c>
      <c r="AE80" s="3404">
        <f t="shared" si="28"/>
        <v>82104.820000000007</v>
      </c>
      <c r="AF80" s="3446">
        <v>2.2000000000000002</v>
      </c>
      <c r="AG80" s="3404">
        <f t="shared" si="29"/>
        <v>120570.45</v>
      </c>
      <c r="AH80" s="3447">
        <f t="shared" si="21"/>
        <v>2.2549999999999999</v>
      </c>
      <c r="AI80" s="3399">
        <f t="shared" si="30"/>
        <v>123584.71</v>
      </c>
      <c r="AJ80" s="3404">
        <f t="shared" si="34"/>
        <v>2.3113749999999995</v>
      </c>
      <c r="AK80" s="3404">
        <f t="shared" si="31"/>
        <v>126674.33</v>
      </c>
      <c r="AL80" s="3404">
        <f t="shared" si="33"/>
        <v>2.3691593749999993</v>
      </c>
      <c r="AM80" s="3404">
        <f t="shared" si="32"/>
        <v>129841.19</v>
      </c>
      <c r="AN80" s="3404"/>
      <c r="AO80" s="3404"/>
      <c r="AP80" s="3404"/>
      <c r="AQ80" s="3404"/>
      <c r="AR80" s="3404"/>
      <c r="AS80" s="3404"/>
      <c r="AT80" s="3404"/>
      <c r="AU80" s="3404"/>
      <c r="AV80" s="3404"/>
      <c r="AW80" s="3404"/>
      <c r="AX80" s="3404"/>
      <c r="AY80" s="3404"/>
      <c r="AZ80" s="3404"/>
      <c r="BA80" s="3404"/>
      <c r="BB80" s="3404"/>
      <c r="BC80" s="3404"/>
      <c r="BD80" s="3404"/>
      <c r="BE80" s="3404"/>
      <c r="BF80" s="3404"/>
    </row>
    <row r="81" spans="1:58" s="3399" customFormat="1" ht="42.75">
      <c r="A81" s="3414" t="s">
        <v>3411</v>
      </c>
      <c r="B81" s="3414" t="s">
        <v>3412</v>
      </c>
      <c r="C81" s="3414" t="s">
        <v>3413</v>
      </c>
      <c r="D81" s="3414" t="s">
        <v>3414</v>
      </c>
      <c r="E81" s="3414" t="s">
        <v>3238</v>
      </c>
      <c r="F81" s="3414" t="s">
        <v>3216</v>
      </c>
      <c r="G81" s="3413" t="s">
        <v>3152</v>
      </c>
      <c r="H81" s="3414" t="s">
        <v>3356</v>
      </c>
      <c r="I81" s="3449">
        <v>0.06</v>
      </c>
      <c r="J81" s="3450">
        <v>42475</v>
      </c>
      <c r="K81" s="3485">
        <v>42461</v>
      </c>
      <c r="L81" s="3429">
        <v>43554</v>
      </c>
      <c r="M81" s="3430">
        <v>12</v>
      </c>
      <c r="N81" s="3414" t="s">
        <v>3154</v>
      </c>
      <c r="O81" s="3413" t="s">
        <v>3363</v>
      </c>
      <c r="P81" s="3413" t="s">
        <v>3385</v>
      </c>
      <c r="Q81" s="3414" t="s">
        <v>3415</v>
      </c>
      <c r="R81" s="3420">
        <v>1</v>
      </c>
      <c r="S81" s="3419">
        <v>95.64</v>
      </c>
      <c r="T81" s="3420">
        <v>95.64</v>
      </c>
      <c r="U81" s="3419">
        <v>15</v>
      </c>
      <c r="V81" s="3414" t="s">
        <v>3158</v>
      </c>
      <c r="W81" s="3432" t="s">
        <v>3218</v>
      </c>
      <c r="X81" s="3422">
        <f t="shared" si="24"/>
        <v>1435</v>
      </c>
      <c r="Y81" s="3422">
        <f t="shared" si="25"/>
        <v>0.50013941168269904</v>
      </c>
      <c r="Z81" s="3433">
        <f t="shared" si="35"/>
        <v>0.50013941168269904</v>
      </c>
      <c r="AA81" s="3423">
        <f t="shared" si="26"/>
        <v>6266.17</v>
      </c>
      <c r="AB81" s="3407">
        <f t="shared" si="22"/>
        <v>0.53014777638366106</v>
      </c>
      <c r="AC81" s="3404">
        <f t="shared" si="27"/>
        <v>18506.72</v>
      </c>
      <c r="AD81" s="3446">
        <f t="shared" si="23"/>
        <v>0.5619566429666808</v>
      </c>
      <c r="AE81" s="3404">
        <f t="shared" si="28"/>
        <v>19617.12</v>
      </c>
      <c r="AF81" s="3446">
        <v>2.2000000000000002</v>
      </c>
      <c r="AG81" s="3404">
        <f t="shared" si="29"/>
        <v>76798.92</v>
      </c>
      <c r="AH81" s="3447">
        <f t="shared" si="21"/>
        <v>2.2549999999999999</v>
      </c>
      <c r="AI81" s="3399">
        <f t="shared" si="30"/>
        <v>78718.89</v>
      </c>
      <c r="AJ81" s="3404">
        <f t="shared" si="34"/>
        <v>2.3113749999999995</v>
      </c>
      <c r="AK81" s="3404">
        <f t="shared" si="31"/>
        <v>80686.87</v>
      </c>
      <c r="AL81" s="3404">
        <f t="shared" si="33"/>
        <v>2.3691593749999993</v>
      </c>
      <c r="AM81" s="3404">
        <f t="shared" si="32"/>
        <v>82704.039999999994</v>
      </c>
      <c r="AN81" s="3404"/>
      <c r="AO81" s="3404"/>
      <c r="AP81" s="3404"/>
      <c r="AQ81" s="3404"/>
      <c r="AR81" s="3404"/>
      <c r="AS81" s="3404"/>
      <c r="AT81" s="3404"/>
      <c r="AU81" s="3404"/>
      <c r="AV81" s="3404"/>
      <c r="AW81" s="3404"/>
      <c r="AX81" s="3404"/>
      <c r="AY81" s="3404"/>
      <c r="AZ81" s="3404"/>
      <c r="BA81" s="3404"/>
      <c r="BB81" s="3404"/>
      <c r="BC81" s="3404"/>
      <c r="BD81" s="3404"/>
      <c r="BE81" s="3404"/>
      <c r="BF81" s="3404"/>
    </row>
    <row r="82" spans="1:58" s="3399" customFormat="1" ht="42.75">
      <c r="A82" s="3414" t="s">
        <v>3411</v>
      </c>
      <c r="B82" s="3414" t="s">
        <v>3412</v>
      </c>
      <c r="C82" s="3414" t="s">
        <v>3413</v>
      </c>
      <c r="D82" s="3414" t="s">
        <v>3414</v>
      </c>
      <c r="E82" s="3414" t="s">
        <v>3238</v>
      </c>
      <c r="F82" s="3414" t="s">
        <v>3216</v>
      </c>
      <c r="G82" s="3413" t="s">
        <v>3152</v>
      </c>
      <c r="H82" s="3414" t="s">
        <v>3356</v>
      </c>
      <c r="I82" s="3449">
        <v>0.06</v>
      </c>
      <c r="J82" s="3450">
        <v>42475</v>
      </c>
      <c r="K82" s="3485">
        <v>42461</v>
      </c>
      <c r="L82" s="3429">
        <v>43554</v>
      </c>
      <c r="M82" s="3430">
        <v>0</v>
      </c>
      <c r="N82" s="3414" t="s">
        <v>3154</v>
      </c>
      <c r="O82" s="3413" t="s">
        <v>3363</v>
      </c>
      <c r="P82" s="3413" t="s">
        <v>3385</v>
      </c>
      <c r="Q82" s="3414" t="s">
        <v>3415</v>
      </c>
      <c r="R82" s="3420">
        <v>1</v>
      </c>
      <c r="S82" s="3419">
        <v>95.64</v>
      </c>
      <c r="T82" s="3420">
        <v>95.64</v>
      </c>
      <c r="U82" s="3419">
        <v>20</v>
      </c>
      <c r="V82" s="3414" t="s">
        <v>3158</v>
      </c>
      <c r="W82" s="3432" t="s">
        <v>3159</v>
      </c>
      <c r="X82" s="3422">
        <f t="shared" si="24"/>
        <v>1913</v>
      </c>
      <c r="Y82" s="3422">
        <f t="shared" si="25"/>
        <v>0.6667363725080161</v>
      </c>
      <c r="Z82" s="3433">
        <f t="shared" si="35"/>
        <v>0.6667363725080161</v>
      </c>
      <c r="AA82" s="3423">
        <f t="shared" si="26"/>
        <v>8353.43</v>
      </c>
      <c r="AB82" s="3407">
        <f t="shared" si="22"/>
        <v>0.70674055485849707</v>
      </c>
      <c r="AC82" s="3404">
        <f t="shared" si="27"/>
        <v>24671.32</v>
      </c>
      <c r="AD82" s="3446">
        <f t="shared" si="23"/>
        <v>0.74914498815000696</v>
      </c>
      <c r="AE82" s="3404">
        <f t="shared" si="28"/>
        <v>26151.599999999999</v>
      </c>
      <c r="AF82" s="3446">
        <v>2.2000000000000002</v>
      </c>
      <c r="AG82" s="3404">
        <f t="shared" si="29"/>
        <v>76798.92</v>
      </c>
      <c r="AH82" s="3447">
        <f t="shared" si="21"/>
        <v>2.2549999999999999</v>
      </c>
      <c r="AI82" s="3399">
        <f t="shared" si="30"/>
        <v>78718.89</v>
      </c>
      <c r="AJ82" s="3404">
        <f t="shared" si="34"/>
        <v>2.3113749999999995</v>
      </c>
      <c r="AK82" s="3404">
        <f t="shared" si="31"/>
        <v>80686.87</v>
      </c>
      <c r="AL82" s="3404">
        <f t="shared" si="33"/>
        <v>2.3691593749999993</v>
      </c>
      <c r="AM82" s="3404">
        <f t="shared" si="32"/>
        <v>82704.039999999994</v>
      </c>
      <c r="AN82" s="3404"/>
      <c r="AO82" s="3404"/>
      <c r="AP82" s="3404"/>
      <c r="AQ82" s="3404"/>
      <c r="AR82" s="3404"/>
      <c r="AS82" s="3404"/>
      <c r="AT82" s="3404"/>
      <c r="AU82" s="3404"/>
      <c r="AV82" s="3404"/>
      <c r="AW82" s="3404"/>
      <c r="AX82" s="3404"/>
      <c r="AY82" s="3404"/>
      <c r="AZ82" s="3404"/>
      <c r="BA82" s="3404"/>
      <c r="BB82" s="3404"/>
      <c r="BC82" s="3404"/>
      <c r="BD82" s="3404"/>
      <c r="BE82" s="3404"/>
      <c r="BF82" s="3404"/>
    </row>
    <row r="83" spans="1:58" s="3399" customFormat="1" ht="42.75">
      <c r="A83" s="3414" t="s">
        <v>3416</v>
      </c>
      <c r="B83" s="3414" t="s">
        <v>3417</v>
      </c>
      <c r="C83" s="3414" t="s">
        <v>3418</v>
      </c>
      <c r="D83" s="3414" t="s">
        <v>3419</v>
      </c>
      <c r="E83" s="3414" t="s">
        <v>3402</v>
      </c>
      <c r="F83" s="3414" t="s">
        <v>3216</v>
      </c>
      <c r="G83" s="3413" t="s">
        <v>3152</v>
      </c>
      <c r="H83" s="3414" t="s">
        <v>3381</v>
      </c>
      <c r="I83" s="3449">
        <v>0.06</v>
      </c>
      <c r="J83" s="3450">
        <v>42439</v>
      </c>
      <c r="K83" s="3485">
        <v>42461</v>
      </c>
      <c r="L83" s="3429">
        <v>43555</v>
      </c>
      <c r="M83" s="3430">
        <v>12</v>
      </c>
      <c r="N83" s="3414" t="s">
        <v>3154</v>
      </c>
      <c r="O83" s="3413" t="s">
        <v>3155</v>
      </c>
      <c r="P83" s="3414" t="s">
        <v>3247</v>
      </c>
      <c r="Q83" s="3414" t="s">
        <v>3420</v>
      </c>
      <c r="R83" s="3420">
        <v>3</v>
      </c>
      <c r="S83" s="3419">
        <v>287.33999999999997</v>
      </c>
      <c r="T83" s="3420">
        <v>287.33999999999997</v>
      </c>
      <c r="U83" s="3419">
        <v>15</v>
      </c>
      <c r="V83" s="3414" t="s">
        <v>3158</v>
      </c>
      <c r="W83" s="3432" t="s">
        <v>3218</v>
      </c>
      <c r="X83" s="3422">
        <f t="shared" si="24"/>
        <v>4310</v>
      </c>
      <c r="Y83" s="3422">
        <f t="shared" si="25"/>
        <v>0.49998839934108263</v>
      </c>
      <c r="Z83" s="3433">
        <f t="shared" si="35"/>
        <v>0.49998839934108263</v>
      </c>
      <c r="AA83" s="3423">
        <f t="shared" si="26"/>
        <v>18820.330000000002</v>
      </c>
      <c r="AB83" s="3407">
        <f t="shared" si="22"/>
        <v>0.52998770330154765</v>
      </c>
      <c r="AC83" s="3404">
        <f t="shared" si="27"/>
        <v>55584.63</v>
      </c>
      <c r="AD83" s="3446">
        <f t="shared" si="23"/>
        <v>0.56178696549964058</v>
      </c>
      <c r="AE83" s="3404">
        <f t="shared" si="28"/>
        <v>58919.71</v>
      </c>
      <c r="AF83" s="3446">
        <v>2.2000000000000002</v>
      </c>
      <c r="AG83" s="3404">
        <f t="shared" si="29"/>
        <v>230734.02</v>
      </c>
      <c r="AH83" s="3447">
        <f t="shared" si="21"/>
        <v>2.2549999999999999</v>
      </c>
      <c r="AI83" s="3399">
        <f t="shared" si="30"/>
        <v>236502.37</v>
      </c>
      <c r="AJ83" s="3404">
        <f t="shared" si="34"/>
        <v>2.3113749999999995</v>
      </c>
      <c r="AK83" s="3404">
        <f t="shared" si="31"/>
        <v>242414.93</v>
      </c>
      <c r="AL83" s="3404">
        <f t="shared" si="33"/>
        <v>2.3691593749999993</v>
      </c>
      <c r="AM83" s="3404">
        <f t="shared" si="32"/>
        <v>248475.3</v>
      </c>
      <c r="AN83" s="3404"/>
      <c r="AO83" s="3404"/>
      <c r="AP83" s="3404"/>
      <c r="AQ83" s="3404"/>
      <c r="AR83" s="3404"/>
      <c r="AS83" s="3404"/>
      <c r="AT83" s="3404"/>
      <c r="AU83" s="3404"/>
      <c r="AV83" s="3404"/>
      <c r="AW83" s="3404"/>
      <c r="AX83" s="3404"/>
      <c r="AY83" s="3404"/>
      <c r="AZ83" s="3404"/>
      <c r="BA83" s="3404"/>
      <c r="BB83" s="3404"/>
      <c r="BC83" s="3404"/>
      <c r="BD83" s="3404"/>
      <c r="BE83" s="3404"/>
      <c r="BF83" s="3404"/>
    </row>
    <row r="84" spans="1:58" s="3399" customFormat="1" ht="42.75">
      <c r="A84" s="3414" t="s">
        <v>3416</v>
      </c>
      <c r="B84" s="3414" t="s">
        <v>3417</v>
      </c>
      <c r="C84" s="3414" t="s">
        <v>3418</v>
      </c>
      <c r="D84" s="3414" t="s">
        <v>3419</v>
      </c>
      <c r="E84" s="3414" t="s">
        <v>3402</v>
      </c>
      <c r="F84" s="3414" t="s">
        <v>3216</v>
      </c>
      <c r="G84" s="3413" t="s">
        <v>3152</v>
      </c>
      <c r="H84" s="3414" t="s">
        <v>3381</v>
      </c>
      <c r="I84" s="3449">
        <v>0.06</v>
      </c>
      <c r="J84" s="3450">
        <v>42439</v>
      </c>
      <c r="K84" s="3485">
        <v>42461</v>
      </c>
      <c r="L84" s="3429">
        <v>43555</v>
      </c>
      <c r="M84" s="3430">
        <v>0</v>
      </c>
      <c r="N84" s="3414" t="s">
        <v>3154</v>
      </c>
      <c r="O84" s="3413" t="s">
        <v>3155</v>
      </c>
      <c r="P84" s="3414" t="s">
        <v>3247</v>
      </c>
      <c r="Q84" s="3414" t="s">
        <v>3420</v>
      </c>
      <c r="R84" s="3420">
        <v>3</v>
      </c>
      <c r="S84" s="3419">
        <v>287.33999999999997</v>
      </c>
      <c r="T84" s="3420">
        <v>287.33999999999997</v>
      </c>
      <c r="U84" s="3419">
        <v>20</v>
      </c>
      <c r="V84" s="3414" t="s">
        <v>3158</v>
      </c>
      <c r="W84" s="3432" t="s">
        <v>3159</v>
      </c>
      <c r="X84" s="3422">
        <f t="shared" si="24"/>
        <v>5747</v>
      </c>
      <c r="Y84" s="3422">
        <f t="shared" si="25"/>
        <v>0.66668986798450158</v>
      </c>
      <c r="Z84" s="3433">
        <f t="shared" si="35"/>
        <v>0.66668986798450158</v>
      </c>
      <c r="AA84" s="3423">
        <f t="shared" si="26"/>
        <v>25095.23</v>
      </c>
      <c r="AB84" s="3407">
        <f t="shared" si="22"/>
        <v>0.70669126006357175</v>
      </c>
      <c r="AC84" s="3404">
        <f t="shared" si="27"/>
        <v>74117.14</v>
      </c>
      <c r="AD84" s="3446">
        <f t="shared" si="23"/>
        <v>0.7490927356673861</v>
      </c>
      <c r="AE84" s="3404">
        <f t="shared" si="28"/>
        <v>78564.17</v>
      </c>
      <c r="AF84" s="3446">
        <v>2.2000000000000002</v>
      </c>
      <c r="AG84" s="3404">
        <f t="shared" si="29"/>
        <v>230734.02</v>
      </c>
      <c r="AH84" s="3447">
        <f t="shared" si="21"/>
        <v>2.2549999999999999</v>
      </c>
      <c r="AI84" s="3399">
        <f t="shared" si="30"/>
        <v>236502.37</v>
      </c>
      <c r="AJ84" s="3404">
        <f t="shared" si="34"/>
        <v>2.3113749999999995</v>
      </c>
      <c r="AK84" s="3404">
        <f t="shared" si="31"/>
        <v>242414.93</v>
      </c>
      <c r="AL84" s="3404">
        <f t="shared" si="33"/>
        <v>2.3691593749999993</v>
      </c>
      <c r="AM84" s="3404">
        <f t="shared" si="32"/>
        <v>248475.3</v>
      </c>
      <c r="AN84" s="3404"/>
      <c r="AO84" s="3404"/>
      <c r="AP84" s="3404"/>
      <c r="AQ84" s="3404"/>
      <c r="AR84" s="3404"/>
      <c r="AS84" s="3404"/>
      <c r="AT84" s="3404"/>
      <c r="AU84" s="3404"/>
      <c r="AV84" s="3404"/>
      <c r="AW84" s="3404"/>
      <c r="AX84" s="3404"/>
      <c r="AY84" s="3404"/>
      <c r="AZ84" s="3404"/>
      <c r="BA84" s="3404"/>
      <c r="BB84" s="3404"/>
      <c r="BC84" s="3404"/>
      <c r="BD84" s="3404"/>
      <c r="BE84" s="3404"/>
      <c r="BF84" s="3404"/>
    </row>
    <row r="85" spans="1:58" s="3399" customFormat="1" ht="42.75">
      <c r="A85" s="3414" t="s">
        <v>3421</v>
      </c>
      <c r="B85" s="3414" t="s">
        <v>3417</v>
      </c>
      <c r="C85" s="3414" t="s">
        <v>3418</v>
      </c>
      <c r="D85" s="3414" t="s">
        <v>3419</v>
      </c>
      <c r="E85" s="3414" t="s">
        <v>3402</v>
      </c>
      <c r="F85" s="3414" t="s">
        <v>3216</v>
      </c>
      <c r="G85" s="3413" t="s">
        <v>3152</v>
      </c>
      <c r="H85" s="3414" t="s">
        <v>3381</v>
      </c>
      <c r="I85" s="3449">
        <v>0.06</v>
      </c>
      <c r="J85" s="3450">
        <v>42439</v>
      </c>
      <c r="K85" s="3485">
        <v>42461</v>
      </c>
      <c r="L85" s="3429">
        <v>43555</v>
      </c>
      <c r="M85" s="3430">
        <v>12</v>
      </c>
      <c r="N85" s="3414" t="s">
        <v>3154</v>
      </c>
      <c r="O85" s="3413" t="s">
        <v>3155</v>
      </c>
      <c r="P85" s="3414" t="s">
        <v>3247</v>
      </c>
      <c r="Q85" s="3414" t="s">
        <v>3422</v>
      </c>
      <c r="R85" s="3420">
        <v>1</v>
      </c>
      <c r="S85" s="3419">
        <v>190.21</v>
      </c>
      <c r="T85" s="3420">
        <v>190.21</v>
      </c>
      <c r="U85" s="3419">
        <v>15</v>
      </c>
      <c r="V85" s="3414" t="s">
        <v>3158</v>
      </c>
      <c r="W85" s="3432" t="s">
        <v>3218</v>
      </c>
      <c r="X85" s="3422">
        <f t="shared" si="24"/>
        <v>2853</v>
      </c>
      <c r="Y85" s="3422">
        <f t="shared" si="25"/>
        <v>0.4999737132642868</v>
      </c>
      <c r="Z85" s="3433">
        <f t="shared" si="35"/>
        <v>0.4999737132642868</v>
      </c>
      <c r="AA85" s="3423">
        <f t="shared" si="26"/>
        <v>12458.1</v>
      </c>
      <c r="AB85" s="3407">
        <f t="shared" si="22"/>
        <v>0.52997213606014404</v>
      </c>
      <c r="AC85" s="3404">
        <f t="shared" si="27"/>
        <v>36794.19</v>
      </c>
      <c r="AD85" s="3446">
        <f t="shared" si="23"/>
        <v>0.56177046422375276</v>
      </c>
      <c r="AE85" s="3404">
        <f t="shared" si="28"/>
        <v>39001.839999999997</v>
      </c>
      <c r="AF85" s="3446">
        <v>2.2000000000000002</v>
      </c>
      <c r="AG85" s="3404">
        <f t="shared" si="29"/>
        <v>152738.63</v>
      </c>
      <c r="AH85" s="3447">
        <f t="shared" si="21"/>
        <v>2.2549999999999999</v>
      </c>
      <c r="AI85" s="3399">
        <f t="shared" si="30"/>
        <v>156557.1</v>
      </c>
      <c r="AJ85" s="3404">
        <f t="shared" si="34"/>
        <v>2.3113749999999995</v>
      </c>
      <c r="AK85" s="3404">
        <f t="shared" si="31"/>
        <v>160471.01999999999</v>
      </c>
      <c r="AL85" s="3404">
        <f t="shared" si="33"/>
        <v>2.3691593749999993</v>
      </c>
      <c r="AM85" s="3404">
        <f t="shared" si="32"/>
        <v>164482.79999999999</v>
      </c>
      <c r="AN85" s="3404"/>
      <c r="AO85" s="3404"/>
      <c r="AP85" s="3404"/>
      <c r="AQ85" s="3404"/>
      <c r="AR85" s="3404"/>
      <c r="AS85" s="3404"/>
      <c r="AT85" s="3404"/>
      <c r="AU85" s="3404"/>
      <c r="AV85" s="3404"/>
      <c r="AW85" s="3404"/>
      <c r="AX85" s="3404"/>
      <c r="AY85" s="3404"/>
      <c r="AZ85" s="3404"/>
      <c r="BA85" s="3404"/>
      <c r="BB85" s="3404"/>
      <c r="BC85" s="3404"/>
      <c r="BD85" s="3404"/>
      <c r="BE85" s="3404"/>
      <c r="BF85" s="3404"/>
    </row>
    <row r="86" spans="1:58" s="3399" customFormat="1" ht="42.75">
      <c r="A86" s="3414" t="s">
        <v>3421</v>
      </c>
      <c r="B86" s="3414" t="s">
        <v>3417</v>
      </c>
      <c r="C86" s="3414" t="s">
        <v>3418</v>
      </c>
      <c r="D86" s="3414" t="s">
        <v>3419</v>
      </c>
      <c r="E86" s="3414" t="s">
        <v>3402</v>
      </c>
      <c r="F86" s="3414" t="s">
        <v>3216</v>
      </c>
      <c r="G86" s="3413" t="s">
        <v>3152</v>
      </c>
      <c r="H86" s="3414" t="s">
        <v>3381</v>
      </c>
      <c r="I86" s="3449">
        <v>0.06</v>
      </c>
      <c r="J86" s="3450">
        <v>42439</v>
      </c>
      <c r="K86" s="3485">
        <v>42461</v>
      </c>
      <c r="L86" s="3429">
        <v>43555</v>
      </c>
      <c r="M86" s="3430">
        <v>0</v>
      </c>
      <c r="N86" s="3414" t="s">
        <v>3154</v>
      </c>
      <c r="O86" s="3413" t="s">
        <v>3155</v>
      </c>
      <c r="P86" s="3414" t="s">
        <v>3247</v>
      </c>
      <c r="Q86" s="3414" t="s">
        <v>3422</v>
      </c>
      <c r="R86" s="3420">
        <v>1</v>
      </c>
      <c r="S86" s="3419">
        <v>190.21</v>
      </c>
      <c r="T86" s="3420">
        <v>190.21</v>
      </c>
      <c r="U86" s="3419">
        <v>20</v>
      </c>
      <c r="V86" s="3414" t="s">
        <v>3158</v>
      </c>
      <c r="W86" s="3432" t="s">
        <v>3159</v>
      </c>
      <c r="X86" s="3422">
        <f t="shared" si="24"/>
        <v>3804</v>
      </c>
      <c r="Y86" s="3422">
        <f t="shared" si="25"/>
        <v>0.66663161768571577</v>
      </c>
      <c r="Z86" s="3433">
        <f t="shared" si="35"/>
        <v>0.66663161768571577</v>
      </c>
      <c r="AA86" s="3423">
        <f t="shared" si="26"/>
        <v>16610.8</v>
      </c>
      <c r="AB86" s="3407">
        <f t="shared" si="22"/>
        <v>0.70662951474685876</v>
      </c>
      <c r="AC86" s="3404">
        <f t="shared" si="27"/>
        <v>49058.92</v>
      </c>
      <c r="AD86" s="3446">
        <f t="shared" si="23"/>
        <v>0.74902728563167031</v>
      </c>
      <c r="AE86" s="3404">
        <f t="shared" si="28"/>
        <v>52002.46</v>
      </c>
      <c r="AF86" s="3446">
        <v>2.2000000000000002</v>
      </c>
      <c r="AG86" s="3404">
        <f t="shared" si="29"/>
        <v>152738.63</v>
      </c>
      <c r="AH86" s="3447">
        <f t="shared" si="21"/>
        <v>2.2549999999999999</v>
      </c>
      <c r="AI86" s="3399">
        <f t="shared" si="30"/>
        <v>156557.1</v>
      </c>
      <c r="AJ86" s="3404">
        <f t="shared" si="34"/>
        <v>2.3113749999999995</v>
      </c>
      <c r="AK86" s="3404">
        <f t="shared" si="31"/>
        <v>160471.01999999999</v>
      </c>
      <c r="AL86" s="3404">
        <f t="shared" si="33"/>
        <v>2.3691593749999993</v>
      </c>
      <c r="AM86" s="3404">
        <f t="shared" si="32"/>
        <v>164482.79999999999</v>
      </c>
      <c r="AN86" s="3404"/>
      <c r="AO86" s="3404"/>
      <c r="AP86" s="3404"/>
      <c r="AQ86" s="3404"/>
      <c r="AR86" s="3404"/>
      <c r="AS86" s="3404"/>
      <c r="AT86" s="3404"/>
      <c r="AU86" s="3404"/>
      <c r="AV86" s="3404"/>
      <c r="AW86" s="3404"/>
      <c r="AX86" s="3404"/>
      <c r="AY86" s="3404"/>
      <c r="AZ86" s="3404"/>
      <c r="BA86" s="3404"/>
      <c r="BB86" s="3404"/>
      <c r="BC86" s="3404"/>
      <c r="BD86" s="3404"/>
      <c r="BE86" s="3404"/>
      <c r="BF86" s="3404"/>
    </row>
    <row r="87" spans="1:58" s="3399" customFormat="1" ht="42.75">
      <c r="A87" s="3414" t="s">
        <v>3423</v>
      </c>
      <c r="B87" s="3414" t="s">
        <v>3424</v>
      </c>
      <c r="C87" s="3414" t="s">
        <v>3425</v>
      </c>
      <c r="D87" s="3414" t="s">
        <v>3426</v>
      </c>
      <c r="E87" s="3414" t="s">
        <v>3200</v>
      </c>
      <c r="F87" s="3414" t="s">
        <v>3216</v>
      </c>
      <c r="G87" s="3413" t="s">
        <v>3152</v>
      </c>
      <c r="H87" s="3414" t="s">
        <v>3396</v>
      </c>
      <c r="I87" s="3449">
        <v>0.06</v>
      </c>
      <c r="J87" s="3450">
        <v>42443</v>
      </c>
      <c r="K87" s="3485">
        <v>42491</v>
      </c>
      <c r="L87" s="3429">
        <v>43585</v>
      </c>
      <c r="M87" s="3430">
        <v>12</v>
      </c>
      <c r="N87" s="3414" t="s">
        <v>3154</v>
      </c>
      <c r="O87" s="3413" t="s">
        <v>3155</v>
      </c>
      <c r="P87" s="3413" t="s">
        <v>3202</v>
      </c>
      <c r="Q87" s="3414" t="s">
        <v>3427</v>
      </c>
      <c r="R87" s="3420">
        <v>5</v>
      </c>
      <c r="S87" s="3419">
        <v>686.71</v>
      </c>
      <c r="T87" s="3420">
        <v>686.71</v>
      </c>
      <c r="U87" s="3419">
        <v>16.5</v>
      </c>
      <c r="V87" s="3414" t="s">
        <v>3158</v>
      </c>
      <c r="W87" s="3432" t="s">
        <v>3218</v>
      </c>
      <c r="X87" s="3422">
        <f t="shared" si="24"/>
        <v>11331</v>
      </c>
      <c r="Y87" s="3422">
        <f t="shared" si="25"/>
        <v>0.55001383407843185</v>
      </c>
      <c r="Z87" s="3433">
        <f t="shared" si="35"/>
        <v>0.55001383407843185</v>
      </c>
      <c r="AA87" s="3423">
        <f t="shared" si="26"/>
        <v>49478.7</v>
      </c>
      <c r="AB87" s="3407">
        <f t="shared" si="22"/>
        <v>0.58301466412313774</v>
      </c>
      <c r="AC87" s="3404">
        <f t="shared" si="27"/>
        <v>146132.13</v>
      </c>
      <c r="AD87" s="3446">
        <f t="shared" si="23"/>
        <v>0.61799554397052603</v>
      </c>
      <c r="AE87" s="3404">
        <f t="shared" si="28"/>
        <v>154900.06</v>
      </c>
      <c r="AF87" s="3446">
        <v>2.2000000000000002</v>
      </c>
      <c r="AG87" s="3404">
        <f t="shared" si="29"/>
        <v>551428.13</v>
      </c>
      <c r="AH87" s="3447">
        <f t="shared" si="21"/>
        <v>2.2549999999999999</v>
      </c>
      <c r="AI87" s="3399">
        <f t="shared" si="30"/>
        <v>565213.82999999996</v>
      </c>
      <c r="AJ87" s="3404">
        <f t="shared" si="34"/>
        <v>2.3113749999999995</v>
      </c>
      <c r="AK87" s="3404">
        <f t="shared" si="31"/>
        <v>579344.18000000005</v>
      </c>
      <c r="AL87" s="3404">
        <f t="shared" si="33"/>
        <v>2.3691593749999993</v>
      </c>
      <c r="AM87" s="3404">
        <f t="shared" si="32"/>
        <v>593827.78</v>
      </c>
      <c r="AN87" s="3404"/>
      <c r="AO87" s="3404"/>
      <c r="AP87" s="3404"/>
      <c r="AQ87" s="3404"/>
      <c r="AR87" s="3404"/>
      <c r="AS87" s="3404"/>
      <c r="AT87" s="3404"/>
      <c r="AU87" s="3404"/>
      <c r="AV87" s="3404"/>
      <c r="AW87" s="3404"/>
      <c r="AX87" s="3404"/>
      <c r="AY87" s="3404"/>
      <c r="AZ87" s="3404"/>
      <c r="BA87" s="3404"/>
      <c r="BB87" s="3404"/>
      <c r="BC87" s="3404"/>
      <c r="BD87" s="3404"/>
      <c r="BE87" s="3404"/>
      <c r="BF87" s="3404"/>
    </row>
    <row r="88" spans="1:58" s="3399" customFormat="1" ht="42.75">
      <c r="A88" s="3414" t="s">
        <v>3423</v>
      </c>
      <c r="B88" s="3414" t="s">
        <v>3424</v>
      </c>
      <c r="C88" s="3414" t="s">
        <v>3425</v>
      </c>
      <c r="D88" s="3414" t="s">
        <v>3426</v>
      </c>
      <c r="E88" s="3414" t="s">
        <v>3200</v>
      </c>
      <c r="F88" s="3414" t="s">
        <v>3216</v>
      </c>
      <c r="G88" s="3413" t="s">
        <v>3152</v>
      </c>
      <c r="H88" s="3414" t="s">
        <v>3396</v>
      </c>
      <c r="I88" s="3449">
        <v>0.06</v>
      </c>
      <c r="J88" s="3450">
        <v>42443</v>
      </c>
      <c r="K88" s="3485">
        <v>42491</v>
      </c>
      <c r="L88" s="3429">
        <v>43585</v>
      </c>
      <c r="M88" s="3430">
        <v>0</v>
      </c>
      <c r="N88" s="3414" t="s">
        <v>3154</v>
      </c>
      <c r="O88" s="3413" t="s">
        <v>3155</v>
      </c>
      <c r="P88" s="3413" t="s">
        <v>3202</v>
      </c>
      <c r="Q88" s="3414" t="s">
        <v>3427</v>
      </c>
      <c r="R88" s="3420">
        <v>5</v>
      </c>
      <c r="S88" s="3419">
        <v>686.71</v>
      </c>
      <c r="T88" s="3420">
        <v>686.71</v>
      </c>
      <c r="U88" s="3419">
        <v>25</v>
      </c>
      <c r="V88" s="3414" t="s">
        <v>3158</v>
      </c>
      <c r="W88" s="3432" t="s">
        <v>3159</v>
      </c>
      <c r="X88" s="3422">
        <f t="shared" si="24"/>
        <v>17168</v>
      </c>
      <c r="Y88" s="3422">
        <f t="shared" si="25"/>
        <v>0.83334546848985258</v>
      </c>
      <c r="Z88" s="3433">
        <f t="shared" si="35"/>
        <v>0.83334546848985258</v>
      </c>
      <c r="AA88" s="3423">
        <f t="shared" si="26"/>
        <v>74966.929999999993</v>
      </c>
      <c r="AB88" s="3407">
        <f t="shared" si="22"/>
        <v>0.88334619659924374</v>
      </c>
      <c r="AC88" s="3404">
        <f t="shared" si="27"/>
        <v>221409.97</v>
      </c>
      <c r="AD88" s="3446">
        <f t="shared" si="23"/>
        <v>0.93634696839519838</v>
      </c>
      <c r="AE88" s="3404">
        <f t="shared" si="28"/>
        <v>234694.57</v>
      </c>
      <c r="AF88" s="3446">
        <v>2.2000000000000002</v>
      </c>
      <c r="AG88" s="3404">
        <f t="shared" si="29"/>
        <v>551428.13</v>
      </c>
      <c r="AH88" s="3447">
        <f t="shared" si="21"/>
        <v>2.2549999999999999</v>
      </c>
      <c r="AI88" s="3399">
        <f t="shared" si="30"/>
        <v>565213.82999999996</v>
      </c>
      <c r="AJ88" s="3404">
        <f t="shared" si="34"/>
        <v>2.3113749999999995</v>
      </c>
      <c r="AK88" s="3404">
        <f t="shared" si="31"/>
        <v>579344.18000000005</v>
      </c>
      <c r="AL88" s="3404">
        <f t="shared" si="33"/>
        <v>2.3691593749999993</v>
      </c>
      <c r="AM88" s="3404">
        <f t="shared" si="32"/>
        <v>593827.78</v>
      </c>
      <c r="AN88" s="3404"/>
      <c r="AO88" s="3404"/>
      <c r="AP88" s="3404"/>
      <c r="AQ88" s="3404"/>
      <c r="AR88" s="3404"/>
      <c r="AS88" s="3404"/>
      <c r="AT88" s="3404"/>
      <c r="AU88" s="3404"/>
      <c r="AV88" s="3404"/>
      <c r="AW88" s="3404"/>
      <c r="AX88" s="3404"/>
      <c r="AY88" s="3404"/>
      <c r="AZ88" s="3404"/>
      <c r="BA88" s="3404"/>
      <c r="BB88" s="3404"/>
      <c r="BC88" s="3404"/>
      <c r="BD88" s="3404"/>
      <c r="BE88" s="3404"/>
      <c r="BF88" s="3404"/>
    </row>
    <row r="89" spans="1:58" s="3399" customFormat="1" ht="57">
      <c r="A89" s="3414" t="s">
        <v>3428</v>
      </c>
      <c r="B89" s="3414" t="s">
        <v>3429</v>
      </c>
      <c r="C89" s="3414" t="s">
        <v>3430</v>
      </c>
      <c r="D89" s="3414" t="s">
        <v>3431</v>
      </c>
      <c r="E89" s="3414" t="s">
        <v>3314</v>
      </c>
      <c r="F89" s="3414" t="s">
        <v>3216</v>
      </c>
      <c r="G89" s="3413" t="s">
        <v>3152</v>
      </c>
      <c r="H89" s="3414" t="s">
        <v>3396</v>
      </c>
      <c r="I89" s="3449">
        <v>0.06</v>
      </c>
      <c r="J89" s="3450">
        <v>42440</v>
      </c>
      <c r="K89" s="3485">
        <v>42491</v>
      </c>
      <c r="L89" s="3429">
        <v>43585</v>
      </c>
      <c r="M89" s="3430">
        <v>12</v>
      </c>
      <c r="N89" s="3414" t="s">
        <v>3154</v>
      </c>
      <c r="O89" s="3413" t="s">
        <v>3155</v>
      </c>
      <c r="P89" s="3414" t="s">
        <v>3232</v>
      </c>
      <c r="Q89" s="3414" t="s">
        <v>3432</v>
      </c>
      <c r="R89" s="3420">
        <v>2</v>
      </c>
      <c r="S89" s="3419">
        <v>195.88</v>
      </c>
      <c r="T89" s="3420">
        <v>195.88</v>
      </c>
      <c r="U89" s="3419">
        <v>15</v>
      </c>
      <c r="V89" s="3414" t="s">
        <v>3158</v>
      </c>
      <c r="W89" s="3432" t="s">
        <v>3218</v>
      </c>
      <c r="X89" s="3422">
        <f t="shared" si="24"/>
        <v>2938</v>
      </c>
      <c r="Y89" s="3422">
        <f t="shared" si="25"/>
        <v>0.49996596555714384</v>
      </c>
      <c r="Z89" s="3433">
        <f t="shared" si="35"/>
        <v>0.49996596555714384</v>
      </c>
      <c r="AA89" s="3423">
        <f t="shared" si="26"/>
        <v>12829.27</v>
      </c>
      <c r="AB89" s="3407">
        <f t="shared" si="22"/>
        <v>0.52996392349057253</v>
      </c>
      <c r="AC89" s="3404">
        <f t="shared" si="27"/>
        <v>37890.410000000003</v>
      </c>
      <c r="AD89" s="3446">
        <f t="shared" si="23"/>
        <v>0.5617617589000069</v>
      </c>
      <c r="AE89" s="3404">
        <f t="shared" si="28"/>
        <v>40163.83</v>
      </c>
      <c r="AF89" s="3446">
        <v>2.2000000000000002</v>
      </c>
      <c r="AG89" s="3404">
        <f t="shared" si="29"/>
        <v>157291.64000000001</v>
      </c>
      <c r="AH89" s="3447">
        <f t="shared" si="21"/>
        <v>2.2549999999999999</v>
      </c>
      <c r="AI89" s="3399">
        <f t="shared" si="30"/>
        <v>161223.93</v>
      </c>
      <c r="AJ89" s="3404">
        <f t="shared" si="34"/>
        <v>2.3113749999999995</v>
      </c>
      <c r="AK89" s="3404">
        <f t="shared" si="31"/>
        <v>165254.53</v>
      </c>
      <c r="AL89" s="3404">
        <f t="shared" si="33"/>
        <v>2.3691593749999993</v>
      </c>
      <c r="AM89" s="3404">
        <f t="shared" si="32"/>
        <v>169385.89</v>
      </c>
      <c r="AN89" s="3404"/>
      <c r="AO89" s="3404"/>
      <c r="AP89" s="3404"/>
      <c r="AQ89" s="3404"/>
      <c r="AR89" s="3404"/>
      <c r="AS89" s="3404"/>
      <c r="AT89" s="3404"/>
      <c r="AU89" s="3404"/>
      <c r="AV89" s="3404"/>
      <c r="AW89" s="3404"/>
      <c r="AX89" s="3404"/>
      <c r="AY89" s="3404"/>
      <c r="AZ89" s="3404"/>
      <c r="BA89" s="3404"/>
      <c r="BB89" s="3404"/>
      <c r="BC89" s="3404"/>
      <c r="BD89" s="3404"/>
      <c r="BE89" s="3404"/>
      <c r="BF89" s="3404"/>
    </row>
    <row r="90" spans="1:58" s="3399" customFormat="1" ht="57">
      <c r="A90" s="3414" t="s">
        <v>3428</v>
      </c>
      <c r="B90" s="3414" t="s">
        <v>3429</v>
      </c>
      <c r="C90" s="3414" t="s">
        <v>3430</v>
      </c>
      <c r="D90" s="3414" t="s">
        <v>3431</v>
      </c>
      <c r="E90" s="3414" t="s">
        <v>3314</v>
      </c>
      <c r="F90" s="3414" t="s">
        <v>3216</v>
      </c>
      <c r="G90" s="3413" t="s">
        <v>3152</v>
      </c>
      <c r="H90" s="3414" t="s">
        <v>3396</v>
      </c>
      <c r="I90" s="3449">
        <v>0.06</v>
      </c>
      <c r="J90" s="3450">
        <v>42440</v>
      </c>
      <c r="K90" s="3485">
        <v>42491</v>
      </c>
      <c r="L90" s="3429">
        <v>43585</v>
      </c>
      <c r="M90" s="3430">
        <v>0</v>
      </c>
      <c r="N90" s="3414" t="s">
        <v>3154</v>
      </c>
      <c r="O90" s="3413" t="s">
        <v>3155</v>
      </c>
      <c r="P90" s="3414" t="s">
        <v>3232</v>
      </c>
      <c r="Q90" s="3414" t="s">
        <v>3432</v>
      </c>
      <c r="R90" s="3420">
        <v>2</v>
      </c>
      <c r="S90" s="3419">
        <v>195.88</v>
      </c>
      <c r="T90" s="3420">
        <v>195.88</v>
      </c>
      <c r="U90" s="3419">
        <v>20</v>
      </c>
      <c r="V90" s="3414" t="s">
        <v>3158</v>
      </c>
      <c r="W90" s="3432" t="s">
        <v>3159</v>
      </c>
      <c r="X90" s="3422">
        <f t="shared" si="24"/>
        <v>3918</v>
      </c>
      <c r="Y90" s="3422">
        <f t="shared" si="25"/>
        <v>0.66673473555237905</v>
      </c>
      <c r="Z90" s="3433">
        <f t="shared" si="35"/>
        <v>0.66673473555237905</v>
      </c>
      <c r="AA90" s="3423">
        <f t="shared" si="26"/>
        <v>17108.599999999999</v>
      </c>
      <c r="AB90" s="3407">
        <f t="shared" si="22"/>
        <v>0.70673881968552188</v>
      </c>
      <c r="AC90" s="3404">
        <f t="shared" si="27"/>
        <v>50529.14</v>
      </c>
      <c r="AD90" s="3446">
        <f t="shared" si="23"/>
        <v>0.74914314886665323</v>
      </c>
      <c r="AE90" s="3404">
        <f t="shared" si="28"/>
        <v>53560.89</v>
      </c>
      <c r="AF90" s="3446">
        <v>2.2000000000000002</v>
      </c>
      <c r="AG90" s="3404">
        <f t="shared" si="29"/>
        <v>157291.64000000001</v>
      </c>
      <c r="AH90" s="3447">
        <f t="shared" si="21"/>
        <v>2.2549999999999999</v>
      </c>
      <c r="AI90" s="3399">
        <f t="shared" si="30"/>
        <v>161223.93</v>
      </c>
      <c r="AJ90" s="3404">
        <f t="shared" si="34"/>
        <v>2.3113749999999995</v>
      </c>
      <c r="AK90" s="3404">
        <f t="shared" si="31"/>
        <v>165254.53</v>
      </c>
      <c r="AL90" s="3404">
        <f t="shared" si="33"/>
        <v>2.3691593749999993</v>
      </c>
      <c r="AM90" s="3404">
        <f t="shared" si="32"/>
        <v>169385.89</v>
      </c>
      <c r="AN90" s="3404"/>
      <c r="AO90" s="3404"/>
      <c r="AP90" s="3404"/>
      <c r="AQ90" s="3404"/>
      <c r="AR90" s="3404"/>
      <c r="AS90" s="3404"/>
      <c r="AT90" s="3404"/>
      <c r="AU90" s="3404"/>
      <c r="AV90" s="3404"/>
      <c r="AW90" s="3404"/>
      <c r="AX90" s="3404"/>
      <c r="AY90" s="3404"/>
      <c r="AZ90" s="3404"/>
      <c r="BA90" s="3404"/>
      <c r="BB90" s="3404"/>
      <c r="BC90" s="3404"/>
      <c r="BD90" s="3404"/>
      <c r="BE90" s="3404"/>
      <c r="BF90" s="3404"/>
    </row>
    <row r="91" spans="1:58" s="3399" customFormat="1" ht="42.75">
      <c r="A91" s="3414" t="s">
        <v>3433</v>
      </c>
      <c r="B91" s="3414" t="s">
        <v>3434</v>
      </c>
      <c r="C91" s="3414" t="s">
        <v>3435</v>
      </c>
      <c r="D91" s="3414" t="s">
        <v>3436</v>
      </c>
      <c r="E91" s="3414" t="s">
        <v>3283</v>
      </c>
      <c r="F91" s="3414" t="s">
        <v>3216</v>
      </c>
      <c r="G91" s="3413" t="s">
        <v>3152</v>
      </c>
      <c r="H91" s="3414" t="s">
        <v>3403</v>
      </c>
      <c r="I91" s="3449">
        <v>0.06</v>
      </c>
      <c r="J91" s="3450">
        <v>42457</v>
      </c>
      <c r="K91" s="3485">
        <v>42522</v>
      </c>
      <c r="L91" s="3429">
        <v>43616</v>
      </c>
      <c r="M91" s="3430" t="s">
        <v>3382</v>
      </c>
      <c r="N91" s="3414" t="s">
        <v>3154</v>
      </c>
      <c r="O91" s="3414" t="s">
        <v>3363</v>
      </c>
      <c r="P91" s="3414" t="s">
        <v>3437</v>
      </c>
      <c r="Q91" s="3414" t="s">
        <v>3438</v>
      </c>
      <c r="R91" s="3420">
        <v>1</v>
      </c>
      <c r="S91" s="3419">
        <v>74.63</v>
      </c>
      <c r="T91" s="3420">
        <v>74.63</v>
      </c>
      <c r="U91" s="3419">
        <v>30</v>
      </c>
      <c r="V91" s="3414" t="s">
        <v>3158</v>
      </c>
      <c r="W91" s="3432" t="s">
        <v>3218</v>
      </c>
      <c r="X91" s="3422">
        <f t="shared" si="24"/>
        <v>2239</v>
      </c>
      <c r="Y91" s="3422">
        <f t="shared" si="25"/>
        <v>1.0000446647907455</v>
      </c>
      <c r="Z91" s="3433">
        <f t="shared" si="35"/>
        <v>1.0000446647907455</v>
      </c>
      <c r="AA91" s="3423">
        <f t="shared" si="26"/>
        <v>9776.9699999999993</v>
      </c>
      <c r="AB91" s="3407">
        <f t="shared" si="22"/>
        <v>1.0600473446781902</v>
      </c>
      <c r="AC91" s="3404">
        <f t="shared" si="27"/>
        <v>28875.64</v>
      </c>
      <c r="AD91" s="3446">
        <f t="shared" si="23"/>
        <v>1.1236501853588816</v>
      </c>
      <c r="AE91" s="3404">
        <f t="shared" si="28"/>
        <v>30608.17</v>
      </c>
      <c r="AF91" s="3446">
        <v>2.2000000000000002</v>
      </c>
      <c r="AG91" s="3404">
        <f t="shared" si="29"/>
        <v>59927.89</v>
      </c>
      <c r="AH91" s="3447">
        <f t="shared" si="21"/>
        <v>2.2549999999999999</v>
      </c>
      <c r="AI91" s="3399">
        <f t="shared" si="30"/>
        <v>61426.09</v>
      </c>
      <c r="AJ91" s="3404">
        <f t="shared" si="34"/>
        <v>2.3113749999999995</v>
      </c>
      <c r="AK91" s="3404">
        <f t="shared" si="31"/>
        <v>62961.74</v>
      </c>
      <c r="AL91" s="3404">
        <f t="shared" si="33"/>
        <v>2.3691593749999993</v>
      </c>
      <c r="AM91" s="3404">
        <f t="shared" si="32"/>
        <v>64535.78</v>
      </c>
      <c r="AN91" s="3404"/>
      <c r="AO91" s="3404"/>
      <c r="AP91" s="3404"/>
      <c r="AQ91" s="3404"/>
      <c r="AR91" s="3404"/>
      <c r="AS91" s="3404"/>
      <c r="AT91" s="3404"/>
      <c r="AU91" s="3404"/>
      <c r="AV91" s="3404"/>
      <c r="AW91" s="3404"/>
      <c r="AX91" s="3404"/>
      <c r="AY91" s="3404"/>
      <c r="AZ91" s="3404"/>
      <c r="BA91" s="3404"/>
      <c r="BB91" s="3404"/>
      <c r="BC91" s="3404"/>
      <c r="BD91" s="3404"/>
      <c r="BE91" s="3404"/>
      <c r="BF91" s="3404"/>
    </row>
    <row r="92" spans="1:58" s="3399" customFormat="1" ht="42.75">
      <c r="A92" s="3414" t="s">
        <v>3433</v>
      </c>
      <c r="B92" s="3414" t="s">
        <v>3434</v>
      </c>
      <c r="C92" s="3414" t="s">
        <v>3435</v>
      </c>
      <c r="D92" s="3414" t="s">
        <v>3436</v>
      </c>
      <c r="E92" s="3414" t="s">
        <v>3283</v>
      </c>
      <c r="F92" s="3414" t="s">
        <v>3216</v>
      </c>
      <c r="G92" s="3413" t="s">
        <v>3152</v>
      </c>
      <c r="H92" s="3414" t="s">
        <v>3403</v>
      </c>
      <c r="I92" s="3449">
        <v>0.06</v>
      </c>
      <c r="J92" s="3450">
        <v>42457</v>
      </c>
      <c r="K92" s="3485">
        <v>42522</v>
      </c>
      <c r="L92" s="3429">
        <v>43616</v>
      </c>
      <c r="M92" s="3430">
        <v>0</v>
      </c>
      <c r="N92" s="3414" t="s">
        <v>3154</v>
      </c>
      <c r="O92" s="3414" t="s">
        <v>3363</v>
      </c>
      <c r="P92" s="3414" t="s">
        <v>3437</v>
      </c>
      <c r="Q92" s="3414" t="s">
        <v>3438</v>
      </c>
      <c r="R92" s="3420">
        <v>1</v>
      </c>
      <c r="S92" s="3419">
        <v>74.63</v>
      </c>
      <c r="T92" s="3420">
        <v>74.63</v>
      </c>
      <c r="U92" s="3419">
        <v>40</v>
      </c>
      <c r="V92" s="3414" t="s">
        <v>3158</v>
      </c>
      <c r="W92" s="3432" t="s">
        <v>3159</v>
      </c>
      <c r="X92" s="3422">
        <f t="shared" si="24"/>
        <v>2985</v>
      </c>
      <c r="Y92" s="3422">
        <f t="shared" si="25"/>
        <v>1.3332440037518425</v>
      </c>
      <c r="Z92" s="3433">
        <f t="shared" si="35"/>
        <v>1.3332440037518425</v>
      </c>
      <c r="AA92" s="3423">
        <f t="shared" si="26"/>
        <v>13034.5</v>
      </c>
      <c r="AB92" s="3407">
        <f t="shared" si="22"/>
        <v>1.4132386439769531</v>
      </c>
      <c r="AC92" s="3404">
        <f t="shared" si="27"/>
        <v>38496.550000000003</v>
      </c>
      <c r="AD92" s="3446">
        <f t="shared" si="23"/>
        <v>1.4980329626155704</v>
      </c>
      <c r="AE92" s="3404">
        <f t="shared" si="28"/>
        <v>40806.339999999997</v>
      </c>
      <c r="AF92" s="3446">
        <v>2.2000000000000002</v>
      </c>
      <c r="AG92" s="3404">
        <f t="shared" si="29"/>
        <v>59927.89</v>
      </c>
      <c r="AH92" s="3447">
        <f t="shared" si="21"/>
        <v>2.2549999999999999</v>
      </c>
      <c r="AI92" s="3399">
        <f t="shared" si="30"/>
        <v>61426.09</v>
      </c>
      <c r="AJ92" s="3404">
        <f t="shared" si="34"/>
        <v>2.3113749999999995</v>
      </c>
      <c r="AK92" s="3404">
        <f t="shared" si="31"/>
        <v>62961.74</v>
      </c>
      <c r="AL92" s="3404">
        <f t="shared" si="33"/>
        <v>2.3691593749999993</v>
      </c>
      <c r="AM92" s="3404">
        <f t="shared" si="32"/>
        <v>64535.78</v>
      </c>
      <c r="AN92" s="3404"/>
      <c r="AO92" s="3404"/>
      <c r="AP92" s="3404"/>
      <c r="AQ92" s="3404"/>
      <c r="AR92" s="3404"/>
      <c r="AS92" s="3404"/>
      <c r="AT92" s="3404"/>
      <c r="AU92" s="3404"/>
      <c r="AV92" s="3404"/>
      <c r="AW92" s="3404"/>
      <c r="AX92" s="3404"/>
      <c r="AY92" s="3404"/>
      <c r="AZ92" s="3404"/>
      <c r="BA92" s="3404"/>
      <c r="BB92" s="3404"/>
      <c r="BC92" s="3404"/>
      <c r="BD92" s="3404"/>
      <c r="BE92" s="3404"/>
      <c r="BF92" s="3404"/>
    </row>
    <row r="93" spans="1:58" s="3399" customFormat="1" ht="42.75">
      <c r="A93" s="3414" t="s">
        <v>3439</v>
      </c>
      <c r="B93" s="3414" t="s">
        <v>3440</v>
      </c>
      <c r="C93" s="3414" t="s">
        <v>3441</v>
      </c>
      <c r="D93" s="3414" t="s">
        <v>3442</v>
      </c>
      <c r="E93" s="3414" t="s">
        <v>3246</v>
      </c>
      <c r="F93" s="3414" t="s">
        <v>3216</v>
      </c>
      <c r="G93" s="3413" t="s">
        <v>3152</v>
      </c>
      <c r="H93" s="3414" t="s">
        <v>3443</v>
      </c>
      <c r="I93" s="3449">
        <v>0.06</v>
      </c>
      <c r="J93" s="3485">
        <v>42444</v>
      </c>
      <c r="K93" s="3485">
        <v>42552</v>
      </c>
      <c r="L93" s="3429">
        <v>43646</v>
      </c>
      <c r="M93" s="3430">
        <v>12</v>
      </c>
      <c r="N93" s="3414" t="s">
        <v>3154</v>
      </c>
      <c r="O93" s="3413" t="s">
        <v>3155</v>
      </c>
      <c r="P93" s="3413" t="s">
        <v>3202</v>
      </c>
      <c r="Q93" s="3414" t="s">
        <v>3444</v>
      </c>
      <c r="R93" s="3420">
        <v>1</v>
      </c>
      <c r="S93" s="3419">
        <v>63.31</v>
      </c>
      <c r="T93" s="3420">
        <v>63.31</v>
      </c>
      <c r="U93" s="3419">
        <v>36.5</v>
      </c>
      <c r="V93" s="3414" t="s">
        <v>3158</v>
      </c>
      <c r="W93" s="3432" t="s">
        <v>3218</v>
      </c>
      <c r="X93" s="3422">
        <f t="shared" si="24"/>
        <v>2311</v>
      </c>
      <c r="Y93" s="3422">
        <f t="shared" si="25"/>
        <v>1.2167640709735166</v>
      </c>
      <c r="Z93" s="3433">
        <f t="shared" si="35"/>
        <v>1.2167640709735166</v>
      </c>
      <c r="AA93" s="3423">
        <f t="shared" si="26"/>
        <v>10091.370000000001</v>
      </c>
      <c r="AB93" s="3407">
        <f t="shared" si="22"/>
        <v>1.2897699152319277</v>
      </c>
      <c r="AC93" s="3404">
        <f t="shared" si="27"/>
        <v>29804.2</v>
      </c>
      <c r="AD93" s="3446">
        <f t="shared" si="23"/>
        <v>1.3671561101458434</v>
      </c>
      <c r="AE93" s="3404">
        <f t="shared" si="28"/>
        <v>31592.45</v>
      </c>
      <c r="AF93" s="3446">
        <v>2.2000000000000002</v>
      </c>
      <c r="AG93" s="3404">
        <f t="shared" si="29"/>
        <v>50837.93</v>
      </c>
      <c r="AH93" s="3447">
        <f t="shared" si="21"/>
        <v>2.2549999999999999</v>
      </c>
      <c r="AI93" s="3399">
        <f t="shared" si="30"/>
        <v>52108.88</v>
      </c>
      <c r="AJ93" s="3404">
        <f t="shared" si="34"/>
        <v>2.3113749999999995</v>
      </c>
      <c r="AK93" s="3404">
        <f t="shared" si="31"/>
        <v>53411.6</v>
      </c>
      <c r="AL93" s="3404">
        <f t="shared" si="33"/>
        <v>2.3691593749999993</v>
      </c>
      <c r="AM93" s="3404">
        <f t="shared" si="32"/>
        <v>54746.89</v>
      </c>
      <c r="AN93" s="3404"/>
      <c r="AO93" s="3404"/>
      <c r="AP93" s="3404"/>
      <c r="AQ93" s="3404"/>
      <c r="AR93" s="3404"/>
      <c r="AS93" s="3404"/>
      <c r="AT93" s="3404"/>
      <c r="AU93" s="3404"/>
      <c r="AV93" s="3404"/>
      <c r="AW93" s="3404"/>
      <c r="AX93" s="3404"/>
      <c r="AY93" s="3404"/>
      <c r="AZ93" s="3404"/>
      <c r="BA93" s="3404"/>
      <c r="BB93" s="3404"/>
      <c r="BC93" s="3404"/>
      <c r="BD93" s="3404"/>
      <c r="BE93" s="3404"/>
      <c r="BF93" s="3404"/>
    </row>
    <row r="94" spans="1:58" s="3399" customFormat="1" ht="42.75">
      <c r="A94" s="3414" t="s">
        <v>3439</v>
      </c>
      <c r="B94" s="3414" t="s">
        <v>3440</v>
      </c>
      <c r="C94" s="3414" t="s">
        <v>3441</v>
      </c>
      <c r="D94" s="3414" t="s">
        <v>3442</v>
      </c>
      <c r="E94" s="3414" t="s">
        <v>3246</v>
      </c>
      <c r="F94" s="3414" t="s">
        <v>3216</v>
      </c>
      <c r="G94" s="3413" t="s">
        <v>3152</v>
      </c>
      <c r="H94" s="3414" t="s">
        <v>3443</v>
      </c>
      <c r="I94" s="3449">
        <v>0.06</v>
      </c>
      <c r="J94" s="3485">
        <v>42444</v>
      </c>
      <c r="K94" s="3485">
        <v>42552</v>
      </c>
      <c r="L94" s="3429">
        <v>43646</v>
      </c>
      <c r="M94" s="3430">
        <v>12</v>
      </c>
      <c r="N94" s="3414" t="s">
        <v>3154</v>
      </c>
      <c r="O94" s="3413" t="s">
        <v>3155</v>
      </c>
      <c r="P94" s="3413" t="s">
        <v>3202</v>
      </c>
      <c r="Q94" s="3414" t="s">
        <v>3444</v>
      </c>
      <c r="R94" s="3420">
        <v>1</v>
      </c>
      <c r="S94" s="3419">
        <v>63.31</v>
      </c>
      <c r="T94" s="3420">
        <v>63.31</v>
      </c>
      <c r="U94" s="3419">
        <v>40</v>
      </c>
      <c r="V94" s="3414" t="s">
        <v>3158</v>
      </c>
      <c r="W94" s="3432" t="s">
        <v>3159</v>
      </c>
      <c r="X94" s="3422">
        <f t="shared" si="24"/>
        <v>2532</v>
      </c>
      <c r="Y94" s="3422">
        <f t="shared" si="25"/>
        <v>1.3331227294266308</v>
      </c>
      <c r="Z94" s="3433">
        <f t="shared" si="35"/>
        <v>1.3331227294266308</v>
      </c>
      <c r="AA94" s="3423">
        <f t="shared" si="26"/>
        <v>11056.4</v>
      </c>
      <c r="AB94" s="3407">
        <f t="shared" si="22"/>
        <v>1.4131100931922287</v>
      </c>
      <c r="AC94" s="3404">
        <f t="shared" si="27"/>
        <v>32654.36</v>
      </c>
      <c r="AD94" s="3446">
        <f t="shared" si="23"/>
        <v>1.4978966987837625</v>
      </c>
      <c r="AE94" s="3404">
        <f t="shared" si="28"/>
        <v>34613.620000000003</v>
      </c>
      <c r="AF94" s="3446">
        <v>2.2000000000000002</v>
      </c>
      <c r="AG94" s="3404">
        <f t="shared" si="29"/>
        <v>50837.93</v>
      </c>
      <c r="AH94" s="3447">
        <f t="shared" si="21"/>
        <v>2.2549999999999999</v>
      </c>
      <c r="AI94" s="3399">
        <f t="shared" si="30"/>
        <v>52108.88</v>
      </c>
      <c r="AJ94" s="3404">
        <f t="shared" si="34"/>
        <v>2.3113749999999995</v>
      </c>
      <c r="AK94" s="3404">
        <f t="shared" si="31"/>
        <v>53411.6</v>
      </c>
      <c r="AL94" s="3404">
        <f t="shared" si="33"/>
        <v>2.3691593749999993</v>
      </c>
      <c r="AM94" s="3404">
        <f t="shared" si="32"/>
        <v>54746.89</v>
      </c>
      <c r="AN94" s="3404"/>
      <c r="AO94" s="3404"/>
      <c r="AP94" s="3404"/>
      <c r="AQ94" s="3404"/>
      <c r="AR94" s="3404"/>
      <c r="AS94" s="3404"/>
      <c r="AT94" s="3404"/>
      <c r="AU94" s="3404"/>
      <c r="AV94" s="3404"/>
      <c r="AW94" s="3404"/>
      <c r="AX94" s="3404"/>
      <c r="AY94" s="3404"/>
      <c r="AZ94" s="3404"/>
      <c r="BA94" s="3404"/>
      <c r="BB94" s="3404"/>
      <c r="BC94" s="3404"/>
      <c r="BD94" s="3404"/>
      <c r="BE94" s="3404"/>
      <c r="BF94" s="3404"/>
    </row>
    <row r="95" spans="1:58" s="3448" customFormat="1" ht="42.75">
      <c r="A95" s="3436" t="s">
        <v>3445</v>
      </c>
      <c r="B95" s="3436" t="s">
        <v>3446</v>
      </c>
      <c r="C95" s="3436" t="s">
        <v>3447</v>
      </c>
      <c r="D95" s="3436" t="s">
        <v>3448</v>
      </c>
      <c r="E95" s="3436" t="s">
        <v>3246</v>
      </c>
      <c r="F95" s="3436" t="s">
        <v>3216</v>
      </c>
      <c r="G95" s="3437" t="s">
        <v>3152</v>
      </c>
      <c r="H95" s="3436" t="s">
        <v>3356</v>
      </c>
      <c r="I95" s="3438">
        <v>0.06</v>
      </c>
      <c r="J95" s="3439">
        <v>42475</v>
      </c>
      <c r="K95" s="3486">
        <v>42475</v>
      </c>
      <c r="L95" s="3429">
        <v>43569</v>
      </c>
      <c r="M95" s="3487">
        <v>12</v>
      </c>
      <c r="N95" s="3436" t="s">
        <v>3154</v>
      </c>
      <c r="O95" s="3437" t="s">
        <v>3155</v>
      </c>
      <c r="P95" s="3437" t="s">
        <v>3202</v>
      </c>
      <c r="Q95" s="3436" t="s">
        <v>3449</v>
      </c>
      <c r="R95" s="3442">
        <v>1</v>
      </c>
      <c r="S95" s="3443">
        <v>35.450000000000003</v>
      </c>
      <c r="T95" s="3442">
        <v>35.450000000000003</v>
      </c>
      <c r="U95" s="3443">
        <v>73</v>
      </c>
      <c r="V95" s="3436" t="s">
        <v>3158</v>
      </c>
      <c r="W95" s="3467" t="s">
        <v>3218</v>
      </c>
      <c r="X95" s="3445">
        <f t="shared" si="24"/>
        <v>2588</v>
      </c>
      <c r="Y95" s="3422">
        <f t="shared" si="25"/>
        <v>2.4334743770568874</v>
      </c>
      <c r="Z95" s="3433">
        <f t="shared" si="35"/>
        <v>2.4334743770568874</v>
      </c>
      <c r="AA95" s="3423">
        <f t="shared" si="26"/>
        <v>11300.93</v>
      </c>
      <c r="AB95" s="3407">
        <f t="shared" si="22"/>
        <v>2.5794828396803009</v>
      </c>
      <c r="AC95" s="3404">
        <f t="shared" si="27"/>
        <v>33376.57</v>
      </c>
      <c r="AD95" s="3446">
        <f t="shared" si="23"/>
        <v>2.7342518100611191</v>
      </c>
      <c r="AE95" s="3404">
        <f t="shared" si="28"/>
        <v>35379.17</v>
      </c>
      <c r="AF95" s="3446">
        <v>2.2000000000000002</v>
      </c>
      <c r="AG95" s="3404">
        <f t="shared" si="29"/>
        <v>28466.35</v>
      </c>
      <c r="AH95" s="3447">
        <f t="shared" si="21"/>
        <v>2.2549999999999999</v>
      </c>
      <c r="AI95" s="3399">
        <f t="shared" si="30"/>
        <v>29178.01</v>
      </c>
      <c r="AJ95" s="3404">
        <f t="shared" si="34"/>
        <v>2.3113749999999995</v>
      </c>
      <c r="AK95" s="3404">
        <f t="shared" si="31"/>
        <v>29907.46</v>
      </c>
      <c r="AL95" s="3404">
        <f t="shared" si="33"/>
        <v>2.3691593749999993</v>
      </c>
      <c r="AM95" s="3404">
        <f t="shared" si="32"/>
        <v>30655.15</v>
      </c>
      <c r="AN95" s="3447"/>
      <c r="AO95" s="3447"/>
      <c r="AP95" s="3447"/>
      <c r="AQ95" s="3447"/>
      <c r="AR95" s="3447"/>
      <c r="AS95" s="3447"/>
      <c r="AT95" s="3447"/>
      <c r="AU95" s="3447"/>
      <c r="AV95" s="3447"/>
      <c r="AW95" s="3447"/>
      <c r="AX95" s="3447"/>
      <c r="AY95" s="3447"/>
      <c r="AZ95" s="3447"/>
      <c r="BA95" s="3447"/>
      <c r="BB95" s="3447"/>
      <c r="BC95" s="3447"/>
      <c r="BD95" s="3447"/>
      <c r="BE95" s="3447"/>
      <c r="BF95" s="3447"/>
    </row>
    <row r="96" spans="1:58" s="3448" customFormat="1" ht="42.75">
      <c r="A96" s="3436" t="s">
        <v>3445</v>
      </c>
      <c r="B96" s="3436" t="s">
        <v>3446</v>
      </c>
      <c r="C96" s="3436" t="s">
        <v>3447</v>
      </c>
      <c r="D96" s="3436" t="s">
        <v>3448</v>
      </c>
      <c r="E96" s="3436" t="s">
        <v>3246</v>
      </c>
      <c r="F96" s="3436" t="s">
        <v>3216</v>
      </c>
      <c r="G96" s="3437" t="s">
        <v>3152</v>
      </c>
      <c r="H96" s="3436" t="s">
        <v>3356</v>
      </c>
      <c r="I96" s="3438">
        <v>0.06</v>
      </c>
      <c r="J96" s="3439">
        <v>42475</v>
      </c>
      <c r="K96" s="3486">
        <v>42475</v>
      </c>
      <c r="L96" s="3429">
        <v>43569</v>
      </c>
      <c r="M96" s="3487">
        <v>0</v>
      </c>
      <c r="N96" s="3436" t="s">
        <v>3154</v>
      </c>
      <c r="O96" s="3437" t="s">
        <v>3155</v>
      </c>
      <c r="P96" s="3437" t="s">
        <v>3202</v>
      </c>
      <c r="Q96" s="3436" t="s">
        <v>3449</v>
      </c>
      <c r="R96" s="3442">
        <v>1</v>
      </c>
      <c r="S96" s="3443">
        <v>35.450000000000003</v>
      </c>
      <c r="T96" s="3442">
        <v>35.450000000000003</v>
      </c>
      <c r="U96" s="3443">
        <v>72</v>
      </c>
      <c r="V96" s="3436" t="s">
        <v>3158</v>
      </c>
      <c r="W96" s="3467" t="s">
        <v>3159</v>
      </c>
      <c r="X96" s="3445">
        <f t="shared" si="24"/>
        <v>2552</v>
      </c>
      <c r="Y96" s="3422">
        <f t="shared" si="25"/>
        <v>2.399623883403855</v>
      </c>
      <c r="Z96" s="3433">
        <f t="shared" si="35"/>
        <v>2.399623883403855</v>
      </c>
      <c r="AA96" s="3423">
        <f t="shared" si="26"/>
        <v>11143.73</v>
      </c>
      <c r="AB96" s="3407">
        <f t="shared" si="22"/>
        <v>2.5436013164080866</v>
      </c>
      <c r="AC96" s="3404">
        <f t="shared" si="27"/>
        <v>32912.29</v>
      </c>
      <c r="AD96" s="3446">
        <f t="shared" si="23"/>
        <v>2.6962173953925719</v>
      </c>
      <c r="AE96" s="3404">
        <f t="shared" si="28"/>
        <v>34887.03</v>
      </c>
      <c r="AF96" s="3446">
        <v>2.2000000000000002</v>
      </c>
      <c r="AG96" s="3404">
        <f t="shared" si="29"/>
        <v>28466.35</v>
      </c>
      <c r="AH96" s="3447">
        <f t="shared" si="21"/>
        <v>2.2549999999999999</v>
      </c>
      <c r="AI96" s="3399">
        <f t="shared" si="30"/>
        <v>29178.01</v>
      </c>
      <c r="AJ96" s="3404">
        <f t="shared" si="34"/>
        <v>2.3113749999999995</v>
      </c>
      <c r="AK96" s="3404">
        <f t="shared" si="31"/>
        <v>29907.46</v>
      </c>
      <c r="AL96" s="3404">
        <f t="shared" si="33"/>
        <v>2.3691593749999993</v>
      </c>
      <c r="AM96" s="3404">
        <f t="shared" si="32"/>
        <v>30655.15</v>
      </c>
      <c r="AN96" s="3447"/>
      <c r="AO96" s="3447"/>
      <c r="AP96" s="3447"/>
      <c r="AQ96" s="3447"/>
      <c r="AR96" s="3447"/>
      <c r="AS96" s="3447"/>
      <c r="AT96" s="3447"/>
      <c r="AU96" s="3447"/>
      <c r="AV96" s="3447"/>
      <c r="AW96" s="3447"/>
      <c r="AX96" s="3447"/>
      <c r="AY96" s="3447"/>
      <c r="AZ96" s="3447"/>
      <c r="BA96" s="3447"/>
      <c r="BB96" s="3447"/>
      <c r="BC96" s="3447"/>
      <c r="BD96" s="3447"/>
      <c r="BE96" s="3447"/>
      <c r="BF96" s="3447"/>
    </row>
    <row r="97" spans="1:58" s="3399" customFormat="1" ht="42.75">
      <c r="A97" s="3414" t="s">
        <v>3450</v>
      </c>
      <c r="B97" s="3414" t="s">
        <v>3451</v>
      </c>
      <c r="C97" s="3414" t="s">
        <v>3452</v>
      </c>
      <c r="D97" s="3414" t="s">
        <v>3453</v>
      </c>
      <c r="E97" s="3414" t="s">
        <v>3454</v>
      </c>
      <c r="F97" s="3414" t="s">
        <v>3216</v>
      </c>
      <c r="G97" s="3413" t="s">
        <v>3152</v>
      </c>
      <c r="H97" s="3414" t="s">
        <v>3396</v>
      </c>
      <c r="I97" s="3449">
        <v>0.06</v>
      </c>
      <c r="J97" s="3450">
        <v>42451</v>
      </c>
      <c r="K97" s="3485">
        <v>42491</v>
      </c>
      <c r="L97" s="3429">
        <v>43585</v>
      </c>
      <c r="M97" s="3430" t="s">
        <v>3382</v>
      </c>
      <c r="N97" s="3414" t="s">
        <v>3154</v>
      </c>
      <c r="O97" s="3414" t="s">
        <v>3363</v>
      </c>
      <c r="P97" s="3414" t="s">
        <v>3437</v>
      </c>
      <c r="Q97" s="3414" t="s">
        <v>3455</v>
      </c>
      <c r="R97" s="3420">
        <v>1</v>
      </c>
      <c r="S97" s="3419">
        <v>64.36</v>
      </c>
      <c r="T97" s="3420">
        <v>64.36</v>
      </c>
      <c r="U97" s="3419">
        <v>40</v>
      </c>
      <c r="V97" s="3414" t="s">
        <v>3158</v>
      </c>
      <c r="W97" s="3432" t="s">
        <v>3218</v>
      </c>
      <c r="X97" s="3422">
        <f t="shared" si="24"/>
        <v>2574</v>
      </c>
      <c r="Y97" s="3422">
        <f t="shared" si="25"/>
        <v>1.3331261653200746</v>
      </c>
      <c r="Z97" s="3433">
        <f t="shared" si="35"/>
        <v>1.3331261653200746</v>
      </c>
      <c r="AA97" s="3423">
        <f t="shared" si="26"/>
        <v>11239.8</v>
      </c>
      <c r="AB97" s="3407">
        <f t="shared" si="22"/>
        <v>1.4131137352392791</v>
      </c>
      <c r="AC97" s="3404">
        <f t="shared" si="27"/>
        <v>33196.019999999997</v>
      </c>
      <c r="AD97" s="3446">
        <f t="shared" si="23"/>
        <v>1.4979005593536359</v>
      </c>
      <c r="AE97" s="3404">
        <f t="shared" si="28"/>
        <v>35187.78</v>
      </c>
      <c r="AF97" s="3446">
        <v>2.2000000000000002</v>
      </c>
      <c r="AG97" s="3404">
        <f t="shared" si="29"/>
        <v>51681.08</v>
      </c>
      <c r="AH97" s="3447">
        <f t="shared" si="21"/>
        <v>2.2549999999999999</v>
      </c>
      <c r="AI97" s="3399">
        <f t="shared" si="30"/>
        <v>52973.11</v>
      </c>
      <c r="AJ97" s="3404">
        <f t="shared" si="34"/>
        <v>2.3113749999999995</v>
      </c>
      <c r="AK97" s="3404">
        <f t="shared" si="31"/>
        <v>54297.43</v>
      </c>
      <c r="AL97" s="3404">
        <f t="shared" si="33"/>
        <v>2.3691593749999993</v>
      </c>
      <c r="AM97" s="3404">
        <f t="shared" si="32"/>
        <v>55654.87</v>
      </c>
      <c r="AN97" s="3404"/>
      <c r="AO97" s="3404"/>
      <c r="AP97" s="3404"/>
      <c r="AQ97" s="3404"/>
      <c r="AR97" s="3404"/>
      <c r="AS97" s="3404"/>
      <c r="AT97" s="3404"/>
      <c r="AU97" s="3404"/>
      <c r="AV97" s="3404"/>
      <c r="AW97" s="3404"/>
      <c r="AX97" s="3404"/>
      <c r="AY97" s="3404"/>
      <c r="AZ97" s="3404"/>
      <c r="BA97" s="3404"/>
      <c r="BB97" s="3404"/>
      <c r="BC97" s="3404"/>
      <c r="BD97" s="3404"/>
      <c r="BE97" s="3404"/>
      <c r="BF97" s="3404"/>
    </row>
    <row r="98" spans="1:58" s="3399" customFormat="1" ht="42.75">
      <c r="A98" s="3414" t="s">
        <v>3450</v>
      </c>
      <c r="B98" s="3414" t="s">
        <v>3451</v>
      </c>
      <c r="C98" s="3414" t="s">
        <v>3452</v>
      </c>
      <c r="D98" s="3414" t="s">
        <v>3453</v>
      </c>
      <c r="E98" s="3414" t="s">
        <v>3454</v>
      </c>
      <c r="F98" s="3414" t="s">
        <v>3216</v>
      </c>
      <c r="G98" s="3413" t="s">
        <v>3152</v>
      </c>
      <c r="H98" s="3414" t="s">
        <v>3396</v>
      </c>
      <c r="I98" s="3449">
        <v>0.06</v>
      </c>
      <c r="J98" s="3450">
        <v>42451</v>
      </c>
      <c r="K98" s="3485">
        <v>42491</v>
      </c>
      <c r="L98" s="3429">
        <v>43585</v>
      </c>
      <c r="M98" s="3430">
        <v>0</v>
      </c>
      <c r="N98" s="3414" t="s">
        <v>3154</v>
      </c>
      <c r="O98" s="3414" t="s">
        <v>3363</v>
      </c>
      <c r="P98" s="3414" t="s">
        <v>3437</v>
      </c>
      <c r="Q98" s="3414" t="s">
        <v>3455</v>
      </c>
      <c r="R98" s="3420">
        <v>1</v>
      </c>
      <c r="S98" s="3419">
        <v>64.36</v>
      </c>
      <c r="T98" s="3420">
        <v>64.36</v>
      </c>
      <c r="U98" s="3419">
        <v>40</v>
      </c>
      <c r="V98" s="3414" t="s">
        <v>3158</v>
      </c>
      <c r="W98" s="3432" t="s">
        <v>3159</v>
      </c>
      <c r="X98" s="3422">
        <f t="shared" si="24"/>
        <v>2574</v>
      </c>
      <c r="Y98" s="3422">
        <f t="shared" si="25"/>
        <v>1.3331261653200746</v>
      </c>
      <c r="Z98" s="3433">
        <f t="shared" si="35"/>
        <v>1.3331261653200746</v>
      </c>
      <c r="AA98" s="3423">
        <f t="shared" si="26"/>
        <v>11239.8</v>
      </c>
      <c r="AB98" s="3407">
        <f t="shared" si="22"/>
        <v>1.4131137352392791</v>
      </c>
      <c r="AC98" s="3404">
        <f t="shared" si="27"/>
        <v>33196.019999999997</v>
      </c>
      <c r="AD98" s="3446">
        <f t="shared" si="23"/>
        <v>1.4979005593536359</v>
      </c>
      <c r="AE98" s="3404">
        <f t="shared" si="28"/>
        <v>35187.78</v>
      </c>
      <c r="AF98" s="3446">
        <v>2.2000000000000002</v>
      </c>
      <c r="AG98" s="3404">
        <f t="shared" si="29"/>
        <v>51681.08</v>
      </c>
      <c r="AH98" s="3447">
        <f t="shared" si="21"/>
        <v>2.2549999999999999</v>
      </c>
      <c r="AI98" s="3399">
        <f t="shared" si="30"/>
        <v>52973.11</v>
      </c>
      <c r="AJ98" s="3404">
        <f t="shared" si="34"/>
        <v>2.3113749999999995</v>
      </c>
      <c r="AK98" s="3404">
        <f t="shared" si="31"/>
        <v>54297.43</v>
      </c>
      <c r="AL98" s="3404">
        <f t="shared" si="33"/>
        <v>2.3691593749999993</v>
      </c>
      <c r="AM98" s="3404">
        <f t="shared" si="32"/>
        <v>55654.87</v>
      </c>
      <c r="AN98" s="3404"/>
      <c r="AO98" s="3404"/>
      <c r="AP98" s="3404"/>
      <c r="AQ98" s="3404"/>
      <c r="AR98" s="3404"/>
      <c r="AS98" s="3404"/>
      <c r="AT98" s="3404"/>
      <c r="AU98" s="3404"/>
      <c r="AV98" s="3404"/>
      <c r="AW98" s="3404"/>
      <c r="AX98" s="3404"/>
      <c r="AY98" s="3404"/>
      <c r="AZ98" s="3404"/>
      <c r="BA98" s="3404"/>
      <c r="BB98" s="3404"/>
      <c r="BC98" s="3404"/>
      <c r="BD98" s="3404"/>
      <c r="BE98" s="3404"/>
      <c r="BF98" s="3404"/>
    </row>
    <row r="99" spans="1:58" s="3399" customFormat="1" ht="42.75">
      <c r="A99" s="3414" t="s">
        <v>3456</v>
      </c>
      <c r="B99" s="3414" t="s">
        <v>3457</v>
      </c>
      <c r="C99" s="3414" t="s">
        <v>3458</v>
      </c>
      <c r="D99" s="3414" t="s">
        <v>3459</v>
      </c>
      <c r="E99" s="3414" t="s">
        <v>3200</v>
      </c>
      <c r="F99" s="3414" t="s">
        <v>3216</v>
      </c>
      <c r="G99" s="3413" t="s">
        <v>3152</v>
      </c>
      <c r="H99" s="3414" t="s">
        <v>3381</v>
      </c>
      <c r="I99" s="3449">
        <v>0.06</v>
      </c>
      <c r="J99" s="3450">
        <v>42452</v>
      </c>
      <c r="K99" s="3485">
        <v>42461</v>
      </c>
      <c r="L99" s="3429">
        <v>43555</v>
      </c>
      <c r="M99" s="3430" t="s">
        <v>3382</v>
      </c>
      <c r="N99" s="3414" t="s">
        <v>3154</v>
      </c>
      <c r="O99" s="3413" t="s">
        <v>3363</v>
      </c>
      <c r="P99" s="3488" t="s">
        <v>3460</v>
      </c>
      <c r="Q99" s="3488" t="s">
        <v>3461</v>
      </c>
      <c r="R99" s="3420">
        <v>1</v>
      </c>
      <c r="S99" s="3419">
        <v>72.930000000000007</v>
      </c>
      <c r="T99" s="3420">
        <v>72.930000000000007</v>
      </c>
      <c r="U99" s="3419">
        <v>30</v>
      </c>
      <c r="V99" s="3414" t="s">
        <v>3158</v>
      </c>
      <c r="W99" s="3432" t="s">
        <v>3218</v>
      </c>
      <c r="X99" s="3422">
        <f t="shared" si="24"/>
        <v>2188</v>
      </c>
      <c r="Y99" s="3422">
        <f t="shared" si="25"/>
        <v>1.0000457059280587</v>
      </c>
      <c r="Z99" s="3433">
        <f t="shared" si="35"/>
        <v>1.0000457059280587</v>
      </c>
      <c r="AA99" s="3423">
        <f t="shared" si="26"/>
        <v>9554.27</v>
      </c>
      <c r="AB99" s="3407">
        <f t="shared" si="22"/>
        <v>1.0600484482837422</v>
      </c>
      <c r="AC99" s="3404">
        <f t="shared" si="27"/>
        <v>28217.91</v>
      </c>
      <c r="AD99" s="3446">
        <f t="shared" si="23"/>
        <v>1.1236513551807668</v>
      </c>
      <c r="AE99" s="3404">
        <f t="shared" si="28"/>
        <v>29910.98</v>
      </c>
      <c r="AF99" s="3446">
        <v>2.2000000000000002</v>
      </c>
      <c r="AG99" s="3404">
        <f t="shared" si="29"/>
        <v>58562.79</v>
      </c>
      <c r="AH99" s="3447">
        <f t="shared" si="21"/>
        <v>2.2549999999999999</v>
      </c>
      <c r="AI99" s="3399">
        <f t="shared" si="30"/>
        <v>60026.86</v>
      </c>
      <c r="AJ99" s="3404">
        <f t="shared" si="34"/>
        <v>2.3113749999999995</v>
      </c>
      <c r="AK99" s="3404">
        <f t="shared" si="31"/>
        <v>61527.53</v>
      </c>
      <c r="AL99" s="3404">
        <f t="shared" si="33"/>
        <v>2.3691593749999993</v>
      </c>
      <c r="AM99" s="3404">
        <f t="shared" si="32"/>
        <v>63065.72</v>
      </c>
      <c r="AN99" s="3404"/>
      <c r="AO99" s="3404"/>
      <c r="AP99" s="3404"/>
      <c r="AQ99" s="3404"/>
      <c r="AR99" s="3404"/>
      <c r="AS99" s="3404"/>
      <c r="AT99" s="3404"/>
      <c r="AU99" s="3404"/>
      <c r="AV99" s="3404"/>
      <c r="AW99" s="3404"/>
      <c r="AX99" s="3404"/>
      <c r="AY99" s="3404"/>
      <c r="AZ99" s="3404"/>
      <c r="BA99" s="3404"/>
      <c r="BB99" s="3404"/>
      <c r="BC99" s="3404"/>
      <c r="BD99" s="3404"/>
      <c r="BE99" s="3404"/>
      <c r="BF99" s="3404"/>
    </row>
    <row r="100" spans="1:58" s="3399" customFormat="1" ht="42.75">
      <c r="A100" s="3414" t="s">
        <v>3456</v>
      </c>
      <c r="B100" s="3414" t="s">
        <v>3457</v>
      </c>
      <c r="C100" s="3414" t="s">
        <v>3458</v>
      </c>
      <c r="D100" s="3414" t="s">
        <v>3459</v>
      </c>
      <c r="E100" s="3414" t="s">
        <v>3200</v>
      </c>
      <c r="F100" s="3414" t="s">
        <v>3216</v>
      </c>
      <c r="G100" s="3413" t="s">
        <v>3152</v>
      </c>
      <c r="H100" s="3414" t="s">
        <v>3381</v>
      </c>
      <c r="I100" s="3449">
        <v>0.06</v>
      </c>
      <c r="J100" s="3450">
        <v>42452</v>
      </c>
      <c r="K100" s="3485">
        <v>42461</v>
      </c>
      <c r="L100" s="3429">
        <v>43555</v>
      </c>
      <c r="M100" s="3430">
        <v>0</v>
      </c>
      <c r="N100" s="3414" t="s">
        <v>3154</v>
      </c>
      <c r="O100" s="3413" t="s">
        <v>3363</v>
      </c>
      <c r="P100" s="3488" t="s">
        <v>3460</v>
      </c>
      <c r="Q100" s="3488" t="s">
        <v>3461</v>
      </c>
      <c r="R100" s="3420">
        <v>1</v>
      </c>
      <c r="S100" s="3419">
        <v>72.930000000000007</v>
      </c>
      <c r="T100" s="3420">
        <v>72.930000000000007</v>
      </c>
      <c r="U100" s="3419">
        <v>50</v>
      </c>
      <c r="V100" s="3414" t="s">
        <v>3158</v>
      </c>
      <c r="W100" s="3432" t="s">
        <v>3159</v>
      </c>
      <c r="X100" s="3422">
        <f t="shared" si="24"/>
        <v>3647</v>
      </c>
      <c r="Y100" s="3422">
        <f t="shared" si="25"/>
        <v>1.6668951963069609</v>
      </c>
      <c r="Z100" s="3433">
        <f t="shared" si="35"/>
        <v>1.6668951963069609</v>
      </c>
      <c r="AA100" s="3423">
        <f t="shared" si="26"/>
        <v>15925.23</v>
      </c>
      <c r="AB100" s="3407">
        <f t="shared" si="22"/>
        <v>1.7669089080853786</v>
      </c>
      <c r="AC100" s="3404">
        <f t="shared" si="27"/>
        <v>47034.14</v>
      </c>
      <c r="AD100" s="3446">
        <f t="shared" si="23"/>
        <v>1.8729234425705015</v>
      </c>
      <c r="AE100" s="3404">
        <f t="shared" si="28"/>
        <v>49856.19</v>
      </c>
      <c r="AF100" s="3446">
        <v>2.2000000000000002</v>
      </c>
      <c r="AG100" s="3404">
        <f t="shared" si="29"/>
        <v>58562.79</v>
      </c>
      <c r="AH100" s="3447">
        <f t="shared" si="21"/>
        <v>2.2549999999999999</v>
      </c>
      <c r="AI100" s="3399">
        <f t="shared" si="30"/>
        <v>60026.86</v>
      </c>
      <c r="AJ100" s="3404">
        <f t="shared" si="34"/>
        <v>2.3113749999999995</v>
      </c>
      <c r="AK100" s="3404">
        <f t="shared" si="31"/>
        <v>61527.53</v>
      </c>
      <c r="AL100" s="3404">
        <f t="shared" si="33"/>
        <v>2.3691593749999993</v>
      </c>
      <c r="AM100" s="3404">
        <f t="shared" si="32"/>
        <v>63065.72</v>
      </c>
      <c r="AN100" s="3404"/>
      <c r="AO100" s="3404"/>
      <c r="AP100" s="3404"/>
      <c r="AQ100" s="3404"/>
      <c r="AR100" s="3404"/>
      <c r="AS100" s="3404"/>
      <c r="AT100" s="3404"/>
      <c r="AU100" s="3404"/>
      <c r="AV100" s="3404"/>
      <c r="AW100" s="3404"/>
      <c r="AX100" s="3404"/>
      <c r="AY100" s="3404"/>
      <c r="AZ100" s="3404"/>
      <c r="BA100" s="3404"/>
      <c r="BB100" s="3404"/>
      <c r="BC100" s="3404"/>
      <c r="BD100" s="3404"/>
      <c r="BE100" s="3404"/>
      <c r="BF100" s="3404"/>
    </row>
    <row r="101" spans="1:58" s="3399" customFormat="1" ht="42.75">
      <c r="A101" s="3414" t="s">
        <v>3462</v>
      </c>
      <c r="B101" s="3414" t="s">
        <v>3463</v>
      </c>
      <c r="C101" s="3414" t="s">
        <v>3464</v>
      </c>
      <c r="D101" s="3414" t="s">
        <v>3465</v>
      </c>
      <c r="E101" s="3414" t="s">
        <v>3215</v>
      </c>
      <c r="F101" s="3414" t="s">
        <v>3216</v>
      </c>
      <c r="G101" s="3413" t="s">
        <v>3152</v>
      </c>
      <c r="H101" s="3414" t="s">
        <v>3396</v>
      </c>
      <c r="I101" s="3449">
        <v>0.06</v>
      </c>
      <c r="J101" s="3450">
        <v>42465</v>
      </c>
      <c r="K101" s="3485">
        <v>42491</v>
      </c>
      <c r="L101" s="3429">
        <v>43585</v>
      </c>
      <c r="M101" s="3430">
        <v>12</v>
      </c>
      <c r="N101" s="3414" t="s">
        <v>3154</v>
      </c>
      <c r="O101" s="3413" t="s">
        <v>3155</v>
      </c>
      <c r="P101" s="3413" t="s">
        <v>3202</v>
      </c>
      <c r="Q101" s="3414" t="s">
        <v>3466</v>
      </c>
      <c r="R101" s="3420">
        <v>2</v>
      </c>
      <c r="S101" s="3419">
        <v>81.19</v>
      </c>
      <c r="T101" s="3420">
        <v>81.19</v>
      </c>
      <c r="U101" s="3419">
        <v>60</v>
      </c>
      <c r="V101" s="3414" t="s">
        <v>3158</v>
      </c>
      <c r="W101" s="3432" t="s">
        <v>3218</v>
      </c>
      <c r="X101" s="3422">
        <f t="shared" si="24"/>
        <v>4871</v>
      </c>
      <c r="Y101" s="3422">
        <f t="shared" si="25"/>
        <v>1.9998357761629102</v>
      </c>
      <c r="Z101" s="3433">
        <f t="shared" si="35"/>
        <v>1.9998357761629102</v>
      </c>
      <c r="AA101" s="3423">
        <f t="shared" si="26"/>
        <v>21270.03</v>
      </c>
      <c r="AB101" s="3407">
        <f t="shared" si="22"/>
        <v>2.119825922732685</v>
      </c>
      <c r="AC101" s="3404">
        <f t="shared" si="27"/>
        <v>62819.66</v>
      </c>
      <c r="AD101" s="3446">
        <f t="shared" si="23"/>
        <v>2.247015478096646</v>
      </c>
      <c r="AE101" s="3404">
        <f t="shared" si="28"/>
        <v>66588.84</v>
      </c>
      <c r="AF101" s="3446">
        <v>2.2000000000000002</v>
      </c>
      <c r="AG101" s="3404">
        <f t="shared" si="29"/>
        <v>65195.57</v>
      </c>
      <c r="AH101" s="3447">
        <f t="shared" ref="AH101:AH152" si="36">AF101*(1+$AH$1)</f>
        <v>2.2549999999999999</v>
      </c>
      <c r="AI101" s="3399">
        <f t="shared" si="30"/>
        <v>66825.460000000006</v>
      </c>
      <c r="AJ101" s="3404">
        <f t="shared" si="34"/>
        <v>2.3113749999999995</v>
      </c>
      <c r="AK101" s="3404">
        <f t="shared" si="31"/>
        <v>68496.100000000006</v>
      </c>
      <c r="AL101" s="3404">
        <f t="shared" si="33"/>
        <v>2.3691593749999993</v>
      </c>
      <c r="AM101" s="3404">
        <f t="shared" si="32"/>
        <v>70208.5</v>
      </c>
      <c r="AN101" s="3404"/>
      <c r="AO101" s="3404"/>
      <c r="AP101" s="3404"/>
      <c r="AQ101" s="3404"/>
      <c r="AR101" s="3404"/>
      <c r="AS101" s="3404"/>
      <c r="AT101" s="3404"/>
      <c r="AU101" s="3404"/>
      <c r="AV101" s="3404"/>
      <c r="AW101" s="3404"/>
      <c r="AX101" s="3404"/>
      <c r="AY101" s="3404"/>
      <c r="AZ101" s="3404"/>
      <c r="BA101" s="3404"/>
      <c r="BB101" s="3404"/>
      <c r="BC101" s="3404"/>
      <c r="BD101" s="3404"/>
      <c r="BE101" s="3404"/>
      <c r="BF101" s="3404"/>
    </row>
    <row r="102" spans="1:58" s="3399" customFormat="1" ht="42.75">
      <c r="A102" s="3414" t="s">
        <v>3462</v>
      </c>
      <c r="B102" s="3414" t="s">
        <v>3463</v>
      </c>
      <c r="C102" s="3414" t="s">
        <v>3464</v>
      </c>
      <c r="D102" s="3414" t="s">
        <v>3465</v>
      </c>
      <c r="E102" s="3414" t="s">
        <v>3215</v>
      </c>
      <c r="F102" s="3414" t="s">
        <v>3216</v>
      </c>
      <c r="G102" s="3413" t="s">
        <v>3152</v>
      </c>
      <c r="H102" s="3414" t="s">
        <v>3396</v>
      </c>
      <c r="I102" s="3449">
        <v>0.06</v>
      </c>
      <c r="J102" s="3450">
        <v>42465</v>
      </c>
      <c r="K102" s="3485">
        <v>42491</v>
      </c>
      <c r="L102" s="3429">
        <v>43585</v>
      </c>
      <c r="M102" s="3430">
        <v>0</v>
      </c>
      <c r="N102" s="3414" t="s">
        <v>3154</v>
      </c>
      <c r="O102" s="3413" t="s">
        <v>3155</v>
      </c>
      <c r="P102" s="3413" t="s">
        <v>3202</v>
      </c>
      <c r="Q102" s="3414" t="s">
        <v>3466</v>
      </c>
      <c r="R102" s="3420">
        <v>2</v>
      </c>
      <c r="S102" s="3419">
        <v>81.19</v>
      </c>
      <c r="T102" s="3420">
        <v>81.19</v>
      </c>
      <c r="U102" s="3419">
        <v>60</v>
      </c>
      <c r="V102" s="3414" t="s">
        <v>3158</v>
      </c>
      <c r="W102" s="3432" t="s">
        <v>3159</v>
      </c>
      <c r="X102" s="3422">
        <f t="shared" si="24"/>
        <v>4871</v>
      </c>
      <c r="Y102" s="3422">
        <f t="shared" si="25"/>
        <v>1.9998357761629102</v>
      </c>
      <c r="Z102" s="3433">
        <f t="shared" si="35"/>
        <v>1.9998357761629102</v>
      </c>
      <c r="AA102" s="3423">
        <f t="shared" si="26"/>
        <v>21270.03</v>
      </c>
      <c r="AB102" s="3407">
        <f t="shared" si="22"/>
        <v>2.119825922732685</v>
      </c>
      <c r="AC102" s="3404">
        <f t="shared" si="27"/>
        <v>62819.66</v>
      </c>
      <c r="AD102" s="3446">
        <f t="shared" si="23"/>
        <v>2.247015478096646</v>
      </c>
      <c r="AE102" s="3404">
        <f t="shared" si="28"/>
        <v>66588.84</v>
      </c>
      <c r="AF102" s="3446">
        <v>2.2000000000000002</v>
      </c>
      <c r="AG102" s="3404">
        <f t="shared" si="29"/>
        <v>65195.57</v>
      </c>
      <c r="AH102" s="3447">
        <f t="shared" si="36"/>
        <v>2.2549999999999999</v>
      </c>
      <c r="AI102" s="3399">
        <f t="shared" si="30"/>
        <v>66825.460000000006</v>
      </c>
      <c r="AJ102" s="3404">
        <f t="shared" si="34"/>
        <v>2.3113749999999995</v>
      </c>
      <c r="AK102" s="3404">
        <f t="shared" si="31"/>
        <v>68496.100000000006</v>
      </c>
      <c r="AL102" s="3404">
        <f t="shared" si="33"/>
        <v>2.3691593749999993</v>
      </c>
      <c r="AM102" s="3404">
        <f t="shared" si="32"/>
        <v>70208.5</v>
      </c>
      <c r="AN102" s="3404"/>
      <c r="AO102" s="3404"/>
      <c r="AP102" s="3404"/>
      <c r="AQ102" s="3404"/>
      <c r="AR102" s="3404"/>
      <c r="AS102" s="3404"/>
      <c r="AT102" s="3404"/>
      <c r="AU102" s="3404"/>
      <c r="AV102" s="3404"/>
      <c r="AW102" s="3404"/>
      <c r="AX102" s="3404"/>
      <c r="AY102" s="3404"/>
      <c r="AZ102" s="3404"/>
      <c r="BA102" s="3404"/>
      <c r="BB102" s="3404"/>
      <c r="BC102" s="3404"/>
      <c r="BD102" s="3404"/>
      <c r="BE102" s="3404"/>
      <c r="BF102" s="3404"/>
    </row>
    <row r="103" spans="1:58" s="3399" customFormat="1" ht="42.75">
      <c r="A103" s="3414" t="s">
        <v>3467</v>
      </c>
      <c r="B103" s="3414" t="s">
        <v>3468</v>
      </c>
      <c r="C103" s="3414" t="s">
        <v>3469</v>
      </c>
      <c r="D103" s="3414" t="s">
        <v>3470</v>
      </c>
      <c r="E103" s="3414" t="s">
        <v>3200</v>
      </c>
      <c r="F103" s="3414" t="s">
        <v>3471</v>
      </c>
      <c r="G103" s="3413" t="s">
        <v>3152</v>
      </c>
      <c r="H103" s="3414" t="s">
        <v>3396</v>
      </c>
      <c r="I103" s="3449">
        <v>0.06</v>
      </c>
      <c r="J103" s="3450">
        <v>42469</v>
      </c>
      <c r="K103" s="3485">
        <v>42491</v>
      </c>
      <c r="L103" s="3429">
        <v>43585</v>
      </c>
      <c r="M103" s="3430" t="s">
        <v>3382</v>
      </c>
      <c r="N103" s="3414" t="s">
        <v>3154</v>
      </c>
      <c r="O103" s="3413" t="s">
        <v>3363</v>
      </c>
      <c r="P103" s="3413" t="s">
        <v>3364</v>
      </c>
      <c r="Q103" s="3414" t="s">
        <v>3472</v>
      </c>
      <c r="R103" s="3420">
        <v>1</v>
      </c>
      <c r="S103" s="3419">
        <v>143.69</v>
      </c>
      <c r="T103" s="3420">
        <v>143.69</v>
      </c>
      <c r="U103" s="3419">
        <v>35</v>
      </c>
      <c r="V103" s="3414" t="s">
        <v>3158</v>
      </c>
      <c r="W103" s="3432" t="s">
        <v>3218</v>
      </c>
      <c r="X103" s="3422">
        <f t="shared" si="24"/>
        <v>5029</v>
      </c>
      <c r="Y103" s="3422">
        <f t="shared" si="25"/>
        <v>1.1666318695339504</v>
      </c>
      <c r="Z103" s="3433">
        <f t="shared" si="35"/>
        <v>1.1666318695339504</v>
      </c>
      <c r="AA103" s="3423">
        <f t="shared" si="26"/>
        <v>21959.97</v>
      </c>
      <c r="AB103" s="3407">
        <f t="shared" si="22"/>
        <v>1.2366297817059875</v>
      </c>
      <c r="AC103" s="3404">
        <f t="shared" si="27"/>
        <v>64857.34</v>
      </c>
      <c r="AD103" s="3446">
        <f t="shared" si="23"/>
        <v>1.3108275686083468</v>
      </c>
      <c r="AE103" s="3404">
        <f t="shared" si="28"/>
        <v>68748.78</v>
      </c>
      <c r="AF103" s="3446">
        <v>2.2000000000000002</v>
      </c>
      <c r="AG103" s="3404">
        <f t="shared" si="29"/>
        <v>115383.07</v>
      </c>
      <c r="AH103" s="3447">
        <f t="shared" si="36"/>
        <v>2.2549999999999999</v>
      </c>
      <c r="AI103" s="3399">
        <f t="shared" si="30"/>
        <v>118267.65</v>
      </c>
      <c r="AJ103" s="3404">
        <f t="shared" si="34"/>
        <v>2.3113749999999995</v>
      </c>
      <c r="AK103" s="3404">
        <f t="shared" si="31"/>
        <v>121224.34</v>
      </c>
      <c r="AL103" s="3404">
        <f t="shared" si="33"/>
        <v>2.3691593749999993</v>
      </c>
      <c r="AM103" s="3404">
        <f t="shared" si="32"/>
        <v>124254.95</v>
      </c>
      <c r="AN103" s="3404"/>
      <c r="AO103" s="3404"/>
      <c r="AP103" s="3404"/>
      <c r="AQ103" s="3404"/>
      <c r="AR103" s="3404"/>
      <c r="AS103" s="3404"/>
      <c r="AT103" s="3404"/>
      <c r="AU103" s="3404"/>
      <c r="AV103" s="3404"/>
      <c r="AW103" s="3404"/>
      <c r="AX103" s="3404"/>
      <c r="AY103" s="3404"/>
      <c r="AZ103" s="3404"/>
      <c r="BA103" s="3404"/>
      <c r="BB103" s="3404"/>
      <c r="BC103" s="3404"/>
      <c r="BD103" s="3404"/>
      <c r="BE103" s="3404"/>
      <c r="BF103" s="3404"/>
    </row>
    <row r="104" spans="1:58" s="3399" customFormat="1" ht="42.75">
      <c r="A104" s="3414" t="s">
        <v>3467</v>
      </c>
      <c r="B104" s="3414" t="s">
        <v>3468</v>
      </c>
      <c r="C104" s="3414" t="s">
        <v>3469</v>
      </c>
      <c r="D104" s="3414" t="s">
        <v>3470</v>
      </c>
      <c r="E104" s="3414" t="s">
        <v>3200</v>
      </c>
      <c r="F104" s="3414" t="s">
        <v>3471</v>
      </c>
      <c r="G104" s="3413" t="s">
        <v>3152</v>
      </c>
      <c r="H104" s="3414" t="s">
        <v>3396</v>
      </c>
      <c r="I104" s="3449">
        <v>0.06</v>
      </c>
      <c r="J104" s="3450">
        <v>42469</v>
      </c>
      <c r="K104" s="3485">
        <v>42491</v>
      </c>
      <c r="L104" s="3429">
        <v>43585</v>
      </c>
      <c r="M104" s="3430">
        <v>0</v>
      </c>
      <c r="N104" s="3414" t="s">
        <v>3154</v>
      </c>
      <c r="O104" s="3413" t="s">
        <v>3363</v>
      </c>
      <c r="P104" s="3413" t="s">
        <v>3364</v>
      </c>
      <c r="Q104" s="3414" t="s">
        <v>3472</v>
      </c>
      <c r="R104" s="3420">
        <v>1</v>
      </c>
      <c r="S104" s="3419">
        <v>143.69</v>
      </c>
      <c r="T104" s="3420">
        <v>143.69</v>
      </c>
      <c r="U104" s="3419">
        <v>35</v>
      </c>
      <c r="V104" s="3414" t="s">
        <v>3158</v>
      </c>
      <c r="W104" s="3432" t="s">
        <v>3159</v>
      </c>
      <c r="X104" s="3422">
        <f t="shared" si="24"/>
        <v>5029</v>
      </c>
      <c r="Y104" s="3422">
        <f t="shared" si="25"/>
        <v>1.1666318695339504</v>
      </c>
      <c r="Z104" s="3433">
        <f t="shared" si="35"/>
        <v>1.1666318695339504</v>
      </c>
      <c r="AA104" s="3423">
        <f t="shared" si="26"/>
        <v>21959.97</v>
      </c>
      <c r="AB104" s="3407">
        <f t="shared" si="22"/>
        <v>1.2366297817059875</v>
      </c>
      <c r="AC104" s="3404">
        <f t="shared" si="27"/>
        <v>64857.34</v>
      </c>
      <c r="AD104" s="3446">
        <f t="shared" si="23"/>
        <v>1.3108275686083468</v>
      </c>
      <c r="AE104" s="3404">
        <f t="shared" si="28"/>
        <v>68748.78</v>
      </c>
      <c r="AF104" s="3446">
        <v>2.2000000000000002</v>
      </c>
      <c r="AG104" s="3404">
        <f t="shared" si="29"/>
        <v>115383.07</v>
      </c>
      <c r="AH104" s="3447">
        <f t="shared" si="36"/>
        <v>2.2549999999999999</v>
      </c>
      <c r="AI104" s="3399">
        <f t="shared" si="30"/>
        <v>118267.65</v>
      </c>
      <c r="AJ104" s="3404">
        <f t="shared" si="34"/>
        <v>2.3113749999999995</v>
      </c>
      <c r="AK104" s="3404">
        <f t="shared" si="31"/>
        <v>121224.34</v>
      </c>
      <c r="AL104" s="3404">
        <f t="shared" si="33"/>
        <v>2.3691593749999993</v>
      </c>
      <c r="AM104" s="3404">
        <f t="shared" si="32"/>
        <v>124254.95</v>
      </c>
      <c r="AN104" s="3404"/>
      <c r="AO104" s="3404"/>
      <c r="AP104" s="3404"/>
      <c r="AQ104" s="3404"/>
      <c r="AR104" s="3404"/>
      <c r="AS104" s="3404"/>
      <c r="AT104" s="3404"/>
      <c r="AU104" s="3404"/>
      <c r="AV104" s="3404"/>
      <c r="AW104" s="3404"/>
      <c r="AX104" s="3404"/>
      <c r="AY104" s="3404"/>
      <c r="AZ104" s="3404"/>
      <c r="BA104" s="3404"/>
      <c r="BB104" s="3404"/>
      <c r="BC104" s="3404"/>
      <c r="BD104" s="3404"/>
      <c r="BE104" s="3404"/>
      <c r="BF104" s="3404"/>
    </row>
    <row r="105" spans="1:58" s="3399" customFormat="1" ht="42.75">
      <c r="A105" s="3414" t="s">
        <v>3473</v>
      </c>
      <c r="B105" s="3414" t="s">
        <v>3474</v>
      </c>
      <c r="C105" s="3414" t="s">
        <v>3475</v>
      </c>
      <c r="D105" s="3414" t="s">
        <v>3476</v>
      </c>
      <c r="E105" s="3414" t="s">
        <v>3314</v>
      </c>
      <c r="F105" s="3414" t="s">
        <v>3216</v>
      </c>
      <c r="G105" s="3413" t="s">
        <v>3152</v>
      </c>
      <c r="H105" s="3414" t="s">
        <v>3396</v>
      </c>
      <c r="I105" s="3449">
        <v>0.06</v>
      </c>
      <c r="J105" s="3450">
        <v>42466</v>
      </c>
      <c r="K105" s="3485">
        <v>42491</v>
      </c>
      <c r="L105" s="3429">
        <v>43585</v>
      </c>
      <c r="M105" s="3430">
        <v>15</v>
      </c>
      <c r="N105" s="3414" t="s">
        <v>3154</v>
      </c>
      <c r="O105" s="3413" t="s">
        <v>3155</v>
      </c>
      <c r="P105" s="3414" t="s">
        <v>3193</v>
      </c>
      <c r="Q105" s="3414" t="s">
        <v>3477</v>
      </c>
      <c r="R105" s="3420">
        <v>5</v>
      </c>
      <c r="S105" s="3419">
        <v>487.6</v>
      </c>
      <c r="T105" s="3419">
        <v>582.47</v>
      </c>
      <c r="U105" s="3419">
        <v>15</v>
      </c>
      <c r="V105" s="3414" t="s">
        <v>3158</v>
      </c>
      <c r="W105" s="3432" t="s">
        <v>3218</v>
      </c>
      <c r="X105" s="3422">
        <f t="shared" si="24"/>
        <v>8737</v>
      </c>
      <c r="Y105" s="3422">
        <f t="shared" si="25"/>
        <v>0.49999713862230383</v>
      </c>
      <c r="Z105" s="3433">
        <f t="shared" si="35"/>
        <v>0.49999713862230383</v>
      </c>
      <c r="AA105" s="3423">
        <f t="shared" si="26"/>
        <v>38151.57</v>
      </c>
      <c r="AB105" s="3407">
        <f t="shared" si="22"/>
        <v>0.52999696693964204</v>
      </c>
      <c r="AC105" s="3404">
        <f t="shared" si="27"/>
        <v>112678.18</v>
      </c>
      <c r="AD105" s="3446">
        <f t="shared" si="23"/>
        <v>0.56179678495602059</v>
      </c>
      <c r="AE105" s="3404">
        <f t="shared" si="28"/>
        <v>119438.87</v>
      </c>
      <c r="AF105" s="3446">
        <v>2.2000000000000002</v>
      </c>
      <c r="AG105" s="3404">
        <f t="shared" si="29"/>
        <v>467723.41</v>
      </c>
      <c r="AH105" s="3447">
        <f t="shared" si="36"/>
        <v>2.2549999999999999</v>
      </c>
      <c r="AI105" s="3399">
        <f t="shared" si="30"/>
        <v>479416.5</v>
      </c>
      <c r="AJ105" s="3404">
        <f t="shared" si="34"/>
        <v>2.3113749999999995</v>
      </c>
      <c r="AK105" s="3404">
        <f t="shared" si="31"/>
        <v>491401.91</v>
      </c>
      <c r="AL105" s="3404">
        <f t="shared" si="33"/>
        <v>2.3691593749999993</v>
      </c>
      <c r="AM105" s="3404">
        <f t="shared" si="32"/>
        <v>503686.96</v>
      </c>
      <c r="AN105" s="3404"/>
      <c r="AO105" s="3404"/>
      <c r="AP105" s="3404"/>
      <c r="AQ105" s="3404"/>
      <c r="AR105" s="3404"/>
      <c r="AS105" s="3404"/>
      <c r="AT105" s="3404"/>
      <c r="AU105" s="3404"/>
      <c r="AV105" s="3404"/>
      <c r="AW105" s="3404"/>
      <c r="AX105" s="3404"/>
      <c r="AY105" s="3404"/>
      <c r="AZ105" s="3404"/>
      <c r="BA105" s="3404"/>
      <c r="BB105" s="3404"/>
      <c r="BC105" s="3404"/>
      <c r="BD105" s="3404"/>
      <c r="BE105" s="3404"/>
      <c r="BF105" s="3404"/>
    </row>
    <row r="106" spans="1:58" s="3399" customFormat="1" ht="42.75">
      <c r="A106" s="3414" t="s">
        <v>3473</v>
      </c>
      <c r="B106" s="3414" t="s">
        <v>3474</v>
      </c>
      <c r="C106" s="3414" t="s">
        <v>3475</v>
      </c>
      <c r="D106" s="3414" t="s">
        <v>3476</v>
      </c>
      <c r="E106" s="3414" t="s">
        <v>3314</v>
      </c>
      <c r="F106" s="3414" t="s">
        <v>3216</v>
      </c>
      <c r="G106" s="3413" t="s">
        <v>3152</v>
      </c>
      <c r="H106" s="3414" t="s">
        <v>3396</v>
      </c>
      <c r="I106" s="3449">
        <v>0.06</v>
      </c>
      <c r="J106" s="3450">
        <v>42466</v>
      </c>
      <c r="K106" s="3485">
        <v>42491</v>
      </c>
      <c r="L106" s="3429">
        <v>43585</v>
      </c>
      <c r="M106" s="3430">
        <v>0</v>
      </c>
      <c r="N106" s="3414" t="s">
        <v>3154</v>
      </c>
      <c r="O106" s="3413" t="s">
        <v>3155</v>
      </c>
      <c r="P106" s="3414" t="s">
        <v>3193</v>
      </c>
      <c r="Q106" s="3414" t="s">
        <v>3477</v>
      </c>
      <c r="R106" s="3420">
        <v>5</v>
      </c>
      <c r="S106" s="3419">
        <v>487.6</v>
      </c>
      <c r="T106" s="3419">
        <v>582.47</v>
      </c>
      <c r="U106" s="3419">
        <v>15</v>
      </c>
      <c r="V106" s="3414" t="s">
        <v>3158</v>
      </c>
      <c r="W106" s="3432" t="s">
        <v>3159</v>
      </c>
      <c r="X106" s="3422">
        <f t="shared" si="24"/>
        <v>8737</v>
      </c>
      <c r="Y106" s="3422">
        <f t="shared" si="25"/>
        <v>0.49999713862230383</v>
      </c>
      <c r="Z106" s="3433">
        <f t="shared" si="35"/>
        <v>0.49999713862230383</v>
      </c>
      <c r="AA106" s="3423">
        <f t="shared" si="26"/>
        <v>38151.57</v>
      </c>
      <c r="AB106" s="3407">
        <f t="shared" si="22"/>
        <v>0.52999696693964204</v>
      </c>
      <c r="AC106" s="3404">
        <f t="shared" si="27"/>
        <v>112678.18</v>
      </c>
      <c r="AD106" s="3446">
        <f t="shared" si="23"/>
        <v>0.56179678495602059</v>
      </c>
      <c r="AE106" s="3404">
        <f t="shared" si="28"/>
        <v>119438.87</v>
      </c>
      <c r="AF106" s="3446">
        <v>2.2000000000000002</v>
      </c>
      <c r="AG106" s="3404">
        <f t="shared" si="29"/>
        <v>467723.41</v>
      </c>
      <c r="AH106" s="3447">
        <f t="shared" si="36"/>
        <v>2.2549999999999999</v>
      </c>
      <c r="AI106" s="3399">
        <f t="shared" si="30"/>
        <v>479416.5</v>
      </c>
      <c r="AJ106" s="3404">
        <f t="shared" si="34"/>
        <v>2.3113749999999995</v>
      </c>
      <c r="AK106" s="3404">
        <f t="shared" si="31"/>
        <v>491401.91</v>
      </c>
      <c r="AL106" s="3404">
        <f t="shared" si="33"/>
        <v>2.3691593749999993</v>
      </c>
      <c r="AM106" s="3404">
        <f t="shared" si="32"/>
        <v>503686.96</v>
      </c>
      <c r="AN106" s="3404"/>
      <c r="AO106" s="3404"/>
      <c r="AP106" s="3404"/>
      <c r="AQ106" s="3404"/>
      <c r="AR106" s="3404"/>
      <c r="AS106" s="3404"/>
      <c r="AT106" s="3404"/>
      <c r="AU106" s="3404"/>
      <c r="AV106" s="3404"/>
      <c r="AW106" s="3404"/>
      <c r="AX106" s="3404"/>
      <c r="AY106" s="3404"/>
      <c r="AZ106" s="3404"/>
      <c r="BA106" s="3404"/>
      <c r="BB106" s="3404"/>
      <c r="BC106" s="3404"/>
      <c r="BD106" s="3404"/>
      <c r="BE106" s="3404"/>
      <c r="BF106" s="3404"/>
    </row>
    <row r="107" spans="1:58" s="3399" customFormat="1" ht="42.75">
      <c r="A107" s="3414" t="s">
        <v>3478</v>
      </c>
      <c r="B107" s="3414" t="s">
        <v>3479</v>
      </c>
      <c r="C107" s="3414" t="s">
        <v>3480</v>
      </c>
      <c r="D107" s="3414" t="s">
        <v>3479</v>
      </c>
      <c r="E107" s="3414" t="s">
        <v>3314</v>
      </c>
      <c r="F107" s="3414" t="s">
        <v>3216</v>
      </c>
      <c r="G107" s="3413" t="s">
        <v>3152</v>
      </c>
      <c r="H107" s="3414" t="s">
        <v>3403</v>
      </c>
      <c r="I107" s="3449">
        <v>0.06</v>
      </c>
      <c r="J107" s="3450">
        <v>42481</v>
      </c>
      <c r="K107" s="3485">
        <v>42522</v>
      </c>
      <c r="L107" s="3429">
        <v>43616</v>
      </c>
      <c r="M107" s="3430">
        <v>12</v>
      </c>
      <c r="N107" s="3414" t="s">
        <v>3154</v>
      </c>
      <c r="O107" s="3414" t="s">
        <v>3155</v>
      </c>
      <c r="P107" s="3414" t="s">
        <v>3247</v>
      </c>
      <c r="Q107" s="3414" t="s">
        <v>3481</v>
      </c>
      <c r="R107" s="3420">
        <v>4</v>
      </c>
      <c r="S107" s="3419">
        <v>503.74</v>
      </c>
      <c r="T107" s="3420">
        <v>503.74</v>
      </c>
      <c r="U107" s="3419">
        <v>17.5</v>
      </c>
      <c r="V107" s="3414" t="s">
        <v>3158</v>
      </c>
      <c r="W107" s="3432" t="s">
        <v>3218</v>
      </c>
      <c r="X107" s="3422">
        <f t="shared" si="24"/>
        <v>8815</v>
      </c>
      <c r="Y107" s="3422">
        <f t="shared" si="25"/>
        <v>0.58330355606728335</v>
      </c>
      <c r="Z107" s="3433">
        <f t="shared" si="35"/>
        <v>0.58330355606728335</v>
      </c>
      <c r="AA107" s="3423">
        <f t="shared" si="26"/>
        <v>38492.17</v>
      </c>
      <c r="AB107" s="3407">
        <f t="shared" si="22"/>
        <v>0.61830176943132042</v>
      </c>
      <c r="AC107" s="3404">
        <f t="shared" si="27"/>
        <v>113684.12</v>
      </c>
      <c r="AD107" s="3446">
        <f t="shared" si="23"/>
        <v>0.6553998755971997</v>
      </c>
      <c r="AE107" s="3404">
        <f t="shared" si="28"/>
        <v>120505.16</v>
      </c>
      <c r="AF107" s="3446">
        <v>2.2000000000000002</v>
      </c>
      <c r="AG107" s="3404">
        <f t="shared" si="29"/>
        <v>404503.22</v>
      </c>
      <c r="AH107" s="3447">
        <f t="shared" si="36"/>
        <v>2.2549999999999999</v>
      </c>
      <c r="AI107" s="3399">
        <f t="shared" si="30"/>
        <v>414615.8</v>
      </c>
      <c r="AJ107" s="3404">
        <f t="shared" si="34"/>
        <v>2.3113749999999995</v>
      </c>
      <c r="AK107" s="3404">
        <f t="shared" si="31"/>
        <v>424981.2</v>
      </c>
      <c r="AL107" s="3404">
        <f t="shared" si="33"/>
        <v>2.3691593749999993</v>
      </c>
      <c r="AM107" s="3404">
        <f t="shared" si="32"/>
        <v>435605.73</v>
      </c>
      <c r="AN107" s="3404"/>
      <c r="AO107" s="3404"/>
      <c r="AP107" s="3404"/>
      <c r="AQ107" s="3404"/>
      <c r="AR107" s="3404"/>
      <c r="AS107" s="3404"/>
      <c r="AT107" s="3404"/>
      <c r="AU107" s="3404"/>
      <c r="AV107" s="3404"/>
      <c r="AW107" s="3404"/>
      <c r="AX107" s="3404"/>
      <c r="AY107" s="3404"/>
      <c r="AZ107" s="3404"/>
      <c r="BA107" s="3404"/>
      <c r="BB107" s="3404"/>
      <c r="BC107" s="3404"/>
      <c r="BD107" s="3404"/>
      <c r="BE107" s="3404"/>
      <c r="BF107" s="3404"/>
    </row>
    <row r="108" spans="1:58" s="3399" customFormat="1" ht="42.75">
      <c r="A108" s="3414" t="s">
        <v>3478</v>
      </c>
      <c r="B108" s="3414" t="s">
        <v>3479</v>
      </c>
      <c r="C108" s="3414" t="s">
        <v>3480</v>
      </c>
      <c r="D108" s="3414" t="s">
        <v>3479</v>
      </c>
      <c r="E108" s="3414" t="s">
        <v>3314</v>
      </c>
      <c r="F108" s="3414" t="s">
        <v>3216</v>
      </c>
      <c r="G108" s="3413" t="s">
        <v>3152</v>
      </c>
      <c r="H108" s="3414" t="s">
        <v>3403</v>
      </c>
      <c r="I108" s="3449">
        <v>0.06</v>
      </c>
      <c r="J108" s="3450">
        <v>42481</v>
      </c>
      <c r="K108" s="3485">
        <v>42522</v>
      </c>
      <c r="L108" s="3429">
        <v>43616</v>
      </c>
      <c r="M108" s="3430">
        <v>12</v>
      </c>
      <c r="N108" s="3414" t="s">
        <v>3154</v>
      </c>
      <c r="O108" s="3414" t="s">
        <v>3155</v>
      </c>
      <c r="P108" s="3414" t="s">
        <v>3247</v>
      </c>
      <c r="Q108" s="3414" t="s">
        <v>3481</v>
      </c>
      <c r="R108" s="3420">
        <v>4</v>
      </c>
      <c r="S108" s="3419">
        <v>503.74</v>
      </c>
      <c r="T108" s="3420">
        <v>503.74</v>
      </c>
      <c r="U108" s="3419">
        <v>17.5</v>
      </c>
      <c r="V108" s="3414" t="s">
        <v>3158</v>
      </c>
      <c r="W108" s="3432" t="s">
        <v>3159</v>
      </c>
      <c r="X108" s="3422">
        <f t="shared" si="24"/>
        <v>8815</v>
      </c>
      <c r="Y108" s="3422">
        <f t="shared" si="25"/>
        <v>0.58330355606728335</v>
      </c>
      <c r="Z108" s="3433">
        <f t="shared" si="35"/>
        <v>0.58330355606728335</v>
      </c>
      <c r="AA108" s="3423">
        <f t="shared" si="26"/>
        <v>38492.17</v>
      </c>
      <c r="AB108" s="3407">
        <f t="shared" si="22"/>
        <v>0.61830176943132042</v>
      </c>
      <c r="AC108" s="3404">
        <f t="shared" si="27"/>
        <v>113684.12</v>
      </c>
      <c r="AD108" s="3446">
        <f t="shared" si="23"/>
        <v>0.6553998755971997</v>
      </c>
      <c r="AE108" s="3404">
        <f t="shared" si="28"/>
        <v>120505.16</v>
      </c>
      <c r="AF108" s="3446">
        <v>2.2000000000000002</v>
      </c>
      <c r="AG108" s="3404">
        <f t="shared" si="29"/>
        <v>404503.22</v>
      </c>
      <c r="AH108" s="3447">
        <f t="shared" si="36"/>
        <v>2.2549999999999999</v>
      </c>
      <c r="AI108" s="3399">
        <f t="shared" si="30"/>
        <v>414615.8</v>
      </c>
      <c r="AJ108" s="3404">
        <f t="shared" si="34"/>
        <v>2.3113749999999995</v>
      </c>
      <c r="AK108" s="3404">
        <f t="shared" si="31"/>
        <v>424981.2</v>
      </c>
      <c r="AL108" s="3404">
        <f t="shared" si="33"/>
        <v>2.3691593749999993</v>
      </c>
      <c r="AM108" s="3404">
        <f t="shared" si="32"/>
        <v>435605.73</v>
      </c>
      <c r="AN108" s="3404"/>
      <c r="AO108" s="3404"/>
      <c r="AP108" s="3404"/>
      <c r="AQ108" s="3404"/>
      <c r="AR108" s="3404"/>
      <c r="AS108" s="3404"/>
      <c r="AT108" s="3404"/>
      <c r="AU108" s="3404"/>
      <c r="AV108" s="3404"/>
      <c r="AW108" s="3404"/>
      <c r="AX108" s="3404"/>
      <c r="AY108" s="3404"/>
      <c r="AZ108" s="3404"/>
      <c r="BA108" s="3404"/>
      <c r="BB108" s="3404"/>
      <c r="BC108" s="3404"/>
      <c r="BD108" s="3404"/>
      <c r="BE108" s="3404"/>
      <c r="BF108" s="3404"/>
    </row>
    <row r="109" spans="1:58" s="3399" customFormat="1" ht="42.75">
      <c r="A109" s="3414" t="s">
        <v>3482</v>
      </c>
      <c r="B109" s="3414" t="s">
        <v>3483</v>
      </c>
      <c r="C109" s="3414" t="s">
        <v>3484</v>
      </c>
      <c r="D109" s="3414" t="s">
        <v>3485</v>
      </c>
      <c r="E109" s="3414" t="s">
        <v>3314</v>
      </c>
      <c r="F109" s="3414" t="s">
        <v>3216</v>
      </c>
      <c r="G109" s="3413" t="s">
        <v>3152</v>
      </c>
      <c r="H109" s="3414" t="s">
        <v>3486</v>
      </c>
      <c r="I109" s="3449">
        <v>0.06</v>
      </c>
      <c r="J109" s="3450">
        <v>42503</v>
      </c>
      <c r="K109" s="3485">
        <v>42506</v>
      </c>
      <c r="L109" s="3429">
        <v>43600</v>
      </c>
      <c r="M109" s="3430">
        <v>12</v>
      </c>
      <c r="N109" s="3414" t="s">
        <v>3154</v>
      </c>
      <c r="O109" s="3413" t="s">
        <v>3155</v>
      </c>
      <c r="P109" s="3414" t="s">
        <v>3209</v>
      </c>
      <c r="Q109" s="3414" t="s">
        <v>3487</v>
      </c>
      <c r="R109" s="3420">
        <v>1</v>
      </c>
      <c r="S109" s="3419">
        <v>244.5</v>
      </c>
      <c r="T109" s="3420">
        <v>244.5</v>
      </c>
      <c r="U109" s="3419">
        <v>15</v>
      </c>
      <c r="V109" s="3414" t="s">
        <v>3158</v>
      </c>
      <c r="W109" s="3432" t="s">
        <v>3218</v>
      </c>
      <c r="X109" s="3422">
        <f t="shared" si="24"/>
        <v>3668</v>
      </c>
      <c r="Y109" s="3422">
        <f t="shared" si="25"/>
        <v>0.50006816632583506</v>
      </c>
      <c r="Z109" s="3433">
        <f t="shared" si="35"/>
        <v>0.50006816632583506</v>
      </c>
      <c r="AA109" s="3423">
        <f t="shared" si="26"/>
        <v>16016.93</v>
      </c>
      <c r="AB109" s="3407">
        <f t="shared" si="22"/>
        <v>0.53007225630538524</v>
      </c>
      <c r="AC109" s="3404">
        <f t="shared" si="27"/>
        <v>47304.97</v>
      </c>
      <c r="AD109" s="3446">
        <f t="shared" si="23"/>
        <v>0.5618765916837084</v>
      </c>
      <c r="AE109" s="3404">
        <f t="shared" si="28"/>
        <v>50143.27</v>
      </c>
      <c r="AF109" s="3446">
        <v>2.2000000000000002</v>
      </c>
      <c r="AG109" s="3404">
        <f t="shared" si="29"/>
        <v>196333.5</v>
      </c>
      <c r="AH109" s="3447">
        <f t="shared" si="36"/>
        <v>2.2549999999999999</v>
      </c>
      <c r="AI109" s="3399">
        <f t="shared" si="30"/>
        <v>201241.84</v>
      </c>
      <c r="AJ109" s="3404">
        <f t="shared" si="34"/>
        <v>2.3113749999999995</v>
      </c>
      <c r="AK109" s="3404">
        <f t="shared" si="31"/>
        <v>206272.88</v>
      </c>
      <c r="AL109" s="3404">
        <f t="shared" si="33"/>
        <v>2.3691593749999993</v>
      </c>
      <c r="AM109" s="3404">
        <f t="shared" si="32"/>
        <v>211429.71</v>
      </c>
      <c r="AN109" s="3404"/>
      <c r="AO109" s="3404"/>
      <c r="AP109" s="3404"/>
      <c r="AQ109" s="3404"/>
      <c r="AR109" s="3404"/>
      <c r="AS109" s="3404"/>
      <c r="AT109" s="3404"/>
      <c r="AU109" s="3404"/>
      <c r="AV109" s="3404"/>
      <c r="AW109" s="3404"/>
      <c r="AX109" s="3404"/>
      <c r="AY109" s="3404"/>
      <c r="AZ109" s="3404"/>
      <c r="BA109" s="3404"/>
      <c r="BB109" s="3404"/>
      <c r="BC109" s="3404"/>
      <c r="BD109" s="3404"/>
      <c r="BE109" s="3404"/>
      <c r="BF109" s="3404"/>
    </row>
    <row r="110" spans="1:58" s="3399" customFormat="1" ht="42.75">
      <c r="A110" s="3414" t="s">
        <v>3482</v>
      </c>
      <c r="B110" s="3414" t="s">
        <v>3483</v>
      </c>
      <c r="C110" s="3414" t="s">
        <v>3484</v>
      </c>
      <c r="D110" s="3414" t="s">
        <v>3485</v>
      </c>
      <c r="E110" s="3414" t="s">
        <v>3314</v>
      </c>
      <c r="F110" s="3414" t="s">
        <v>3216</v>
      </c>
      <c r="G110" s="3413" t="s">
        <v>3152</v>
      </c>
      <c r="H110" s="3414" t="s">
        <v>3486</v>
      </c>
      <c r="I110" s="3449">
        <v>0.06</v>
      </c>
      <c r="J110" s="3450">
        <v>42503</v>
      </c>
      <c r="K110" s="3485">
        <v>42506</v>
      </c>
      <c r="L110" s="3429">
        <v>43616</v>
      </c>
      <c r="M110" s="3430">
        <v>12</v>
      </c>
      <c r="N110" s="3414" t="s">
        <v>3154</v>
      </c>
      <c r="O110" s="3413" t="s">
        <v>3155</v>
      </c>
      <c r="P110" s="3414" t="s">
        <v>3209</v>
      </c>
      <c r="Q110" s="3414" t="s">
        <v>3487</v>
      </c>
      <c r="R110" s="3420">
        <v>1</v>
      </c>
      <c r="S110" s="3419">
        <v>244.5</v>
      </c>
      <c r="T110" s="3420">
        <v>244.5</v>
      </c>
      <c r="U110" s="3419">
        <v>15</v>
      </c>
      <c r="V110" s="3414" t="s">
        <v>3158</v>
      </c>
      <c r="W110" s="3432" t="s">
        <v>3159</v>
      </c>
      <c r="X110" s="3422">
        <f t="shared" si="24"/>
        <v>3668</v>
      </c>
      <c r="Y110" s="3422">
        <f t="shared" si="25"/>
        <v>0.50006816632583506</v>
      </c>
      <c r="Z110" s="3433">
        <f t="shared" si="35"/>
        <v>0.50006816632583506</v>
      </c>
      <c r="AA110" s="3423">
        <f t="shared" si="26"/>
        <v>16016.93</v>
      </c>
      <c r="AB110" s="3407">
        <f t="shared" si="22"/>
        <v>0.53007225630538524</v>
      </c>
      <c r="AC110" s="3404">
        <f t="shared" si="27"/>
        <v>47304.97</v>
      </c>
      <c r="AD110" s="3446">
        <f t="shared" si="23"/>
        <v>0.5618765916837084</v>
      </c>
      <c r="AE110" s="3404">
        <f t="shared" si="28"/>
        <v>50143.27</v>
      </c>
      <c r="AF110" s="3446">
        <v>2.2000000000000002</v>
      </c>
      <c r="AG110" s="3404">
        <f t="shared" si="29"/>
        <v>196333.5</v>
      </c>
      <c r="AH110" s="3447">
        <f t="shared" si="36"/>
        <v>2.2549999999999999</v>
      </c>
      <c r="AI110" s="3399">
        <f t="shared" si="30"/>
        <v>201241.84</v>
      </c>
      <c r="AJ110" s="3404">
        <f t="shared" si="34"/>
        <v>2.3113749999999995</v>
      </c>
      <c r="AK110" s="3404">
        <f t="shared" si="31"/>
        <v>206272.88</v>
      </c>
      <c r="AL110" s="3404">
        <f t="shared" si="33"/>
        <v>2.3691593749999993</v>
      </c>
      <c r="AM110" s="3404">
        <f t="shared" si="32"/>
        <v>211429.71</v>
      </c>
      <c r="AN110" s="3404"/>
      <c r="AO110" s="3404"/>
      <c r="AP110" s="3404"/>
      <c r="AQ110" s="3404"/>
      <c r="AR110" s="3404"/>
      <c r="AS110" s="3404"/>
      <c r="AT110" s="3404"/>
      <c r="AU110" s="3404"/>
      <c r="AV110" s="3404"/>
      <c r="AW110" s="3404"/>
      <c r="AX110" s="3404"/>
      <c r="AY110" s="3404"/>
      <c r="AZ110" s="3404"/>
      <c r="BA110" s="3404"/>
      <c r="BB110" s="3404"/>
      <c r="BC110" s="3404"/>
      <c r="BD110" s="3404"/>
      <c r="BE110" s="3404"/>
      <c r="BF110" s="3404"/>
    </row>
    <row r="111" spans="1:58" s="3399" customFormat="1" ht="42.75">
      <c r="A111" s="3414" t="s">
        <v>3488</v>
      </c>
      <c r="B111" s="3414" t="s">
        <v>3489</v>
      </c>
      <c r="C111" s="3414" t="s">
        <v>3490</v>
      </c>
      <c r="D111" s="3414" t="s">
        <v>3491</v>
      </c>
      <c r="E111" s="3414" t="s">
        <v>3454</v>
      </c>
      <c r="F111" s="3414" t="s">
        <v>3216</v>
      </c>
      <c r="G111" s="3413" t="s">
        <v>3152</v>
      </c>
      <c r="H111" s="3414" t="s">
        <v>3486</v>
      </c>
      <c r="I111" s="3449">
        <v>0.06</v>
      </c>
      <c r="J111" s="3450">
        <v>42494</v>
      </c>
      <c r="K111" s="3485">
        <v>42506</v>
      </c>
      <c r="L111" s="3429">
        <v>43600</v>
      </c>
      <c r="M111" s="3430">
        <v>12</v>
      </c>
      <c r="N111" s="3414" t="s">
        <v>3154</v>
      </c>
      <c r="O111" s="3414" t="s">
        <v>3363</v>
      </c>
      <c r="P111" s="3414" t="s">
        <v>3460</v>
      </c>
      <c r="Q111" s="3414" t="s">
        <v>3492</v>
      </c>
      <c r="R111" s="3420">
        <v>1</v>
      </c>
      <c r="S111" s="3419">
        <v>85.21</v>
      </c>
      <c r="T111" s="3420">
        <v>85.21</v>
      </c>
      <c r="U111" s="3419">
        <v>40</v>
      </c>
      <c r="V111" s="3414" t="s">
        <v>3158</v>
      </c>
      <c r="W111" s="3432" t="s">
        <v>3218</v>
      </c>
      <c r="X111" s="3422">
        <f t="shared" si="24"/>
        <v>3408</v>
      </c>
      <c r="Y111" s="3422">
        <f t="shared" si="25"/>
        <v>1.3331768571763878</v>
      </c>
      <c r="Z111" s="3433">
        <f t="shared" si="35"/>
        <v>1.3331768571763878</v>
      </c>
      <c r="AA111" s="3423">
        <f t="shared" si="26"/>
        <v>14881.6</v>
      </c>
      <c r="AB111" s="3407">
        <f t="shared" si="22"/>
        <v>1.4131674686069711</v>
      </c>
      <c r="AC111" s="3404">
        <f t="shared" si="27"/>
        <v>43951.839999999997</v>
      </c>
      <c r="AD111" s="3446">
        <f t="shared" si="23"/>
        <v>1.4979575167233894</v>
      </c>
      <c r="AE111" s="3404">
        <f t="shared" si="28"/>
        <v>46588.95</v>
      </c>
      <c r="AF111" s="3446">
        <v>2.2000000000000002</v>
      </c>
      <c r="AG111" s="3404">
        <f t="shared" si="29"/>
        <v>68423.63</v>
      </c>
      <c r="AH111" s="3447">
        <f t="shared" si="36"/>
        <v>2.2549999999999999</v>
      </c>
      <c r="AI111" s="3399">
        <f t="shared" si="30"/>
        <v>70134.22</v>
      </c>
      <c r="AJ111" s="3404">
        <f t="shared" si="34"/>
        <v>2.3113749999999995</v>
      </c>
      <c r="AK111" s="3404">
        <f t="shared" si="31"/>
        <v>71887.58</v>
      </c>
      <c r="AL111" s="3404">
        <f t="shared" si="33"/>
        <v>2.3691593749999993</v>
      </c>
      <c r="AM111" s="3404">
        <f t="shared" si="32"/>
        <v>73684.77</v>
      </c>
      <c r="AN111" s="3404"/>
      <c r="AO111" s="3404"/>
      <c r="AP111" s="3404"/>
      <c r="AQ111" s="3404"/>
      <c r="AR111" s="3404"/>
      <c r="AS111" s="3404"/>
      <c r="AT111" s="3404"/>
      <c r="AU111" s="3404"/>
      <c r="AV111" s="3404"/>
      <c r="AW111" s="3404"/>
      <c r="AX111" s="3404"/>
      <c r="AY111" s="3404"/>
      <c r="AZ111" s="3404"/>
      <c r="BA111" s="3404"/>
      <c r="BB111" s="3404"/>
      <c r="BC111" s="3404"/>
      <c r="BD111" s="3404"/>
      <c r="BE111" s="3404"/>
      <c r="BF111" s="3404"/>
    </row>
    <row r="112" spans="1:58" s="3399" customFormat="1" ht="42.75">
      <c r="A112" s="3414" t="s">
        <v>3488</v>
      </c>
      <c r="B112" s="3414" t="s">
        <v>3489</v>
      </c>
      <c r="C112" s="3414" t="s">
        <v>3490</v>
      </c>
      <c r="D112" s="3414" t="s">
        <v>3491</v>
      </c>
      <c r="E112" s="3414" t="s">
        <v>3454</v>
      </c>
      <c r="F112" s="3414" t="s">
        <v>3216</v>
      </c>
      <c r="G112" s="3413" t="s">
        <v>3152</v>
      </c>
      <c r="H112" s="3414" t="s">
        <v>3486</v>
      </c>
      <c r="I112" s="3449">
        <v>0.06</v>
      </c>
      <c r="J112" s="3450">
        <v>42494</v>
      </c>
      <c r="K112" s="3485">
        <v>42506</v>
      </c>
      <c r="L112" s="3429">
        <v>43616</v>
      </c>
      <c r="M112" s="3430">
        <v>12</v>
      </c>
      <c r="N112" s="3414" t="s">
        <v>3154</v>
      </c>
      <c r="O112" s="3414" t="s">
        <v>3363</v>
      </c>
      <c r="P112" s="3414" t="s">
        <v>3460</v>
      </c>
      <c r="Q112" s="3414" t="s">
        <v>3492</v>
      </c>
      <c r="R112" s="3420">
        <v>1</v>
      </c>
      <c r="S112" s="3419">
        <v>85.21</v>
      </c>
      <c r="T112" s="3420">
        <v>85.21</v>
      </c>
      <c r="U112" s="3419">
        <v>40</v>
      </c>
      <c r="V112" s="3414" t="s">
        <v>3158</v>
      </c>
      <c r="W112" s="3432" t="s">
        <v>3159</v>
      </c>
      <c r="X112" s="3422">
        <f t="shared" si="24"/>
        <v>3408</v>
      </c>
      <c r="Y112" s="3422">
        <f t="shared" si="25"/>
        <v>1.3331768571763878</v>
      </c>
      <c r="Z112" s="3433">
        <f t="shared" si="35"/>
        <v>1.3331768571763878</v>
      </c>
      <c r="AA112" s="3423">
        <f t="shared" si="26"/>
        <v>14881.6</v>
      </c>
      <c r="AB112" s="3407">
        <f t="shared" si="22"/>
        <v>1.4131674686069711</v>
      </c>
      <c r="AC112" s="3404">
        <f t="shared" si="27"/>
        <v>43951.839999999997</v>
      </c>
      <c r="AD112" s="3446">
        <f t="shared" si="23"/>
        <v>1.4979575167233894</v>
      </c>
      <c r="AE112" s="3404">
        <f t="shared" si="28"/>
        <v>46588.95</v>
      </c>
      <c r="AF112" s="3446">
        <v>2.2000000000000002</v>
      </c>
      <c r="AG112" s="3404">
        <f t="shared" si="29"/>
        <v>68423.63</v>
      </c>
      <c r="AH112" s="3447">
        <f t="shared" si="36"/>
        <v>2.2549999999999999</v>
      </c>
      <c r="AI112" s="3399">
        <f t="shared" si="30"/>
        <v>70134.22</v>
      </c>
      <c r="AJ112" s="3404">
        <f t="shared" si="34"/>
        <v>2.3113749999999995</v>
      </c>
      <c r="AK112" s="3404">
        <f t="shared" si="31"/>
        <v>71887.58</v>
      </c>
      <c r="AL112" s="3404">
        <f t="shared" si="33"/>
        <v>2.3691593749999993</v>
      </c>
      <c r="AM112" s="3404">
        <f t="shared" si="32"/>
        <v>73684.77</v>
      </c>
      <c r="AN112" s="3404"/>
      <c r="AO112" s="3404"/>
      <c r="AP112" s="3404"/>
      <c r="AQ112" s="3404"/>
      <c r="AR112" s="3404"/>
      <c r="AS112" s="3404"/>
      <c r="AT112" s="3404"/>
      <c r="AU112" s="3404"/>
      <c r="AV112" s="3404"/>
      <c r="AW112" s="3404"/>
      <c r="AX112" s="3404"/>
      <c r="AY112" s="3404"/>
      <c r="AZ112" s="3404"/>
      <c r="BA112" s="3404"/>
      <c r="BB112" s="3404"/>
      <c r="BC112" s="3404"/>
      <c r="BD112" s="3404"/>
      <c r="BE112" s="3404"/>
      <c r="BF112" s="3404"/>
    </row>
    <row r="113" spans="1:58" s="3399" customFormat="1" ht="42.75">
      <c r="A113" s="3414" t="s">
        <v>3493</v>
      </c>
      <c r="B113" s="3414" t="s">
        <v>3494</v>
      </c>
      <c r="C113" s="3414" t="s">
        <v>3495</v>
      </c>
      <c r="D113" s="3414" t="s">
        <v>3496</v>
      </c>
      <c r="E113" s="3414" t="s">
        <v>3283</v>
      </c>
      <c r="F113" s="3414" t="s">
        <v>3216</v>
      </c>
      <c r="G113" s="3413" t="s">
        <v>3152</v>
      </c>
      <c r="H113" s="3414" t="s">
        <v>3403</v>
      </c>
      <c r="I113" s="3449">
        <v>0.06</v>
      </c>
      <c r="J113" s="3450">
        <v>42506</v>
      </c>
      <c r="K113" s="3485">
        <v>42522</v>
      </c>
      <c r="L113" s="3429">
        <v>43616</v>
      </c>
      <c r="M113" s="3430">
        <v>12</v>
      </c>
      <c r="N113" s="3414" t="s">
        <v>3154</v>
      </c>
      <c r="O113" s="3413" t="s">
        <v>3155</v>
      </c>
      <c r="P113" s="3414" t="s">
        <v>3247</v>
      </c>
      <c r="Q113" s="3414" t="s">
        <v>3497</v>
      </c>
      <c r="R113" s="3420">
        <v>2</v>
      </c>
      <c r="S113" s="3419">
        <v>155.5</v>
      </c>
      <c r="T113" s="3420">
        <v>155.5</v>
      </c>
      <c r="U113" s="3419">
        <v>17.5</v>
      </c>
      <c r="V113" s="3414" t="s">
        <v>3158</v>
      </c>
      <c r="W113" s="3432" t="s">
        <v>3218</v>
      </c>
      <c r="X113" s="3422">
        <f t="shared" si="24"/>
        <v>2721</v>
      </c>
      <c r="Y113" s="3422">
        <f t="shared" si="25"/>
        <v>0.58327974276527328</v>
      </c>
      <c r="Z113" s="3433">
        <f t="shared" si="35"/>
        <v>0.58327974276527328</v>
      </c>
      <c r="AA113" s="3423">
        <f t="shared" si="26"/>
        <v>11881.7</v>
      </c>
      <c r="AB113" s="3407">
        <f t="shared" si="22"/>
        <v>0.61827652733118965</v>
      </c>
      <c r="AC113" s="3404">
        <f t="shared" si="27"/>
        <v>35091.83</v>
      </c>
      <c r="AD113" s="3446">
        <f t="shared" si="23"/>
        <v>0.6553731189710611</v>
      </c>
      <c r="AE113" s="3404">
        <f t="shared" si="28"/>
        <v>37197.339999999997</v>
      </c>
      <c r="AF113" s="3446">
        <v>2.2000000000000002</v>
      </c>
      <c r="AG113" s="3404">
        <f t="shared" si="29"/>
        <v>124866.5</v>
      </c>
      <c r="AH113" s="3447">
        <f t="shared" si="36"/>
        <v>2.2549999999999999</v>
      </c>
      <c r="AI113" s="3399">
        <f t="shared" si="30"/>
        <v>127988.16</v>
      </c>
      <c r="AJ113" s="3404">
        <f t="shared" si="34"/>
        <v>2.3113749999999995</v>
      </c>
      <c r="AK113" s="3404">
        <f t="shared" si="31"/>
        <v>131187.87</v>
      </c>
      <c r="AL113" s="3404">
        <f t="shared" si="33"/>
        <v>2.3691593749999993</v>
      </c>
      <c r="AM113" s="3404">
        <f t="shared" si="32"/>
        <v>134467.56</v>
      </c>
      <c r="AN113" s="3404"/>
      <c r="AO113" s="3404"/>
      <c r="AP113" s="3404"/>
      <c r="AQ113" s="3404"/>
      <c r="AR113" s="3404"/>
      <c r="AS113" s="3404"/>
      <c r="AT113" s="3404"/>
      <c r="AU113" s="3404"/>
      <c r="AV113" s="3404"/>
      <c r="AW113" s="3404"/>
      <c r="AX113" s="3404"/>
      <c r="AY113" s="3404"/>
      <c r="AZ113" s="3404"/>
      <c r="BA113" s="3404"/>
      <c r="BB113" s="3404"/>
      <c r="BC113" s="3404"/>
      <c r="BD113" s="3404"/>
      <c r="BE113" s="3404"/>
      <c r="BF113" s="3404"/>
    </row>
    <row r="114" spans="1:58" s="3399" customFormat="1" ht="42.75">
      <c r="A114" s="3414" t="s">
        <v>3493</v>
      </c>
      <c r="B114" s="3414" t="s">
        <v>3494</v>
      </c>
      <c r="C114" s="3414" t="s">
        <v>3495</v>
      </c>
      <c r="D114" s="3414" t="s">
        <v>3496</v>
      </c>
      <c r="E114" s="3414" t="s">
        <v>3283</v>
      </c>
      <c r="F114" s="3414" t="s">
        <v>3216</v>
      </c>
      <c r="G114" s="3413" t="s">
        <v>3152</v>
      </c>
      <c r="H114" s="3414" t="s">
        <v>3403</v>
      </c>
      <c r="I114" s="3449">
        <v>0.06</v>
      </c>
      <c r="J114" s="3450">
        <v>42506</v>
      </c>
      <c r="K114" s="3485">
        <v>42522</v>
      </c>
      <c r="L114" s="3429">
        <v>43616</v>
      </c>
      <c r="M114" s="3430">
        <v>0</v>
      </c>
      <c r="N114" s="3414" t="s">
        <v>3154</v>
      </c>
      <c r="O114" s="3413" t="s">
        <v>3155</v>
      </c>
      <c r="P114" s="3414" t="s">
        <v>3247</v>
      </c>
      <c r="Q114" s="3414" t="s">
        <v>3497</v>
      </c>
      <c r="R114" s="3420">
        <v>2</v>
      </c>
      <c r="S114" s="3419">
        <v>155.5</v>
      </c>
      <c r="T114" s="3420">
        <v>155.5</v>
      </c>
      <c r="U114" s="3419">
        <v>17.5</v>
      </c>
      <c r="V114" s="3414" t="s">
        <v>3158</v>
      </c>
      <c r="W114" s="3432" t="s">
        <v>3159</v>
      </c>
      <c r="X114" s="3422">
        <f t="shared" si="24"/>
        <v>2721</v>
      </c>
      <c r="Y114" s="3422">
        <f t="shared" si="25"/>
        <v>0.58327974276527328</v>
      </c>
      <c r="Z114" s="3433">
        <f t="shared" si="35"/>
        <v>0.58327974276527328</v>
      </c>
      <c r="AA114" s="3423">
        <f t="shared" si="26"/>
        <v>11881.7</v>
      </c>
      <c r="AB114" s="3407">
        <f t="shared" si="22"/>
        <v>0.61827652733118965</v>
      </c>
      <c r="AC114" s="3404">
        <f t="shared" si="27"/>
        <v>35091.83</v>
      </c>
      <c r="AD114" s="3446">
        <f t="shared" si="23"/>
        <v>0.6553731189710611</v>
      </c>
      <c r="AE114" s="3404">
        <f t="shared" si="28"/>
        <v>37197.339999999997</v>
      </c>
      <c r="AF114" s="3446">
        <v>2.2000000000000002</v>
      </c>
      <c r="AG114" s="3404">
        <f t="shared" si="29"/>
        <v>124866.5</v>
      </c>
      <c r="AH114" s="3447">
        <f t="shared" si="36"/>
        <v>2.2549999999999999</v>
      </c>
      <c r="AI114" s="3399">
        <f t="shared" si="30"/>
        <v>127988.16</v>
      </c>
      <c r="AJ114" s="3404">
        <f t="shared" si="34"/>
        <v>2.3113749999999995</v>
      </c>
      <c r="AK114" s="3404">
        <f t="shared" si="31"/>
        <v>131187.87</v>
      </c>
      <c r="AL114" s="3404">
        <f t="shared" si="33"/>
        <v>2.3691593749999993</v>
      </c>
      <c r="AM114" s="3404">
        <f t="shared" si="32"/>
        <v>134467.56</v>
      </c>
      <c r="AN114" s="3404"/>
      <c r="AO114" s="3404"/>
      <c r="AP114" s="3404"/>
      <c r="AQ114" s="3404"/>
      <c r="AR114" s="3404"/>
      <c r="AS114" s="3404"/>
      <c r="AT114" s="3404"/>
      <c r="AU114" s="3404"/>
      <c r="AV114" s="3404"/>
      <c r="AW114" s="3404"/>
      <c r="AX114" s="3404"/>
      <c r="AY114" s="3404"/>
      <c r="AZ114" s="3404"/>
      <c r="BA114" s="3404"/>
      <c r="BB114" s="3404"/>
      <c r="BC114" s="3404"/>
      <c r="BD114" s="3404"/>
      <c r="BE114" s="3404"/>
      <c r="BF114" s="3404"/>
    </row>
    <row r="115" spans="1:58" s="3399" customFormat="1" ht="42.75">
      <c r="A115" s="3414" t="s">
        <v>3498</v>
      </c>
      <c r="B115" s="3414" t="s">
        <v>3499</v>
      </c>
      <c r="C115" s="3414" t="s">
        <v>3500</v>
      </c>
      <c r="D115" s="3414" t="s">
        <v>3501</v>
      </c>
      <c r="E115" s="3414" t="s">
        <v>3200</v>
      </c>
      <c r="F115" s="3414" t="s">
        <v>3216</v>
      </c>
      <c r="G115" s="3413" t="s">
        <v>3152</v>
      </c>
      <c r="H115" s="3414" t="s">
        <v>3396</v>
      </c>
      <c r="I115" s="3449">
        <v>0.06</v>
      </c>
      <c r="J115" s="3450">
        <v>42511</v>
      </c>
      <c r="K115" s="3485">
        <v>42536</v>
      </c>
      <c r="L115" s="3429">
        <v>43630</v>
      </c>
      <c r="M115" s="3430">
        <v>12</v>
      </c>
      <c r="N115" s="3414" t="s">
        <v>3154</v>
      </c>
      <c r="O115" s="3413" t="s">
        <v>3155</v>
      </c>
      <c r="P115" s="3414" t="s">
        <v>3232</v>
      </c>
      <c r="Q115" s="3414" t="s">
        <v>3502</v>
      </c>
      <c r="R115" s="3420">
        <v>1</v>
      </c>
      <c r="S115" s="3419">
        <v>63.12</v>
      </c>
      <c r="T115" s="3420">
        <v>63.12</v>
      </c>
      <c r="U115" s="3419">
        <v>40</v>
      </c>
      <c r="V115" s="3414" t="s">
        <v>3158</v>
      </c>
      <c r="W115" s="3432" t="s">
        <v>3218</v>
      </c>
      <c r="X115" s="3422">
        <f t="shared" si="24"/>
        <v>2525</v>
      </c>
      <c r="Y115" s="3422">
        <f t="shared" si="25"/>
        <v>1.333438952260245</v>
      </c>
      <c r="Z115" s="3433">
        <f t="shared" si="35"/>
        <v>1.333438952260245</v>
      </c>
      <c r="AA115" s="3423">
        <f t="shared" si="26"/>
        <v>11025.83</v>
      </c>
      <c r="AB115" s="3407">
        <f t="shared" si="22"/>
        <v>1.4134452893958598</v>
      </c>
      <c r="AC115" s="3404">
        <f t="shared" si="27"/>
        <v>32564.080000000002</v>
      </c>
      <c r="AD115" s="3446">
        <f t="shared" si="23"/>
        <v>1.4982520067596115</v>
      </c>
      <c r="AE115" s="3404">
        <f t="shared" si="28"/>
        <v>34517.93</v>
      </c>
      <c r="AF115" s="3446">
        <v>2.2000000000000002</v>
      </c>
      <c r="AG115" s="3404">
        <f t="shared" si="29"/>
        <v>50685.36</v>
      </c>
      <c r="AH115" s="3447">
        <f t="shared" si="36"/>
        <v>2.2549999999999999</v>
      </c>
      <c r="AI115" s="3399">
        <f t="shared" si="30"/>
        <v>51952.49</v>
      </c>
      <c r="AJ115" s="3404">
        <f t="shared" si="34"/>
        <v>2.3113749999999995</v>
      </c>
      <c r="AK115" s="3404">
        <f t="shared" si="31"/>
        <v>53251.31</v>
      </c>
      <c r="AL115" s="3404">
        <f t="shared" si="33"/>
        <v>2.3691593749999993</v>
      </c>
      <c r="AM115" s="3404">
        <f t="shared" si="32"/>
        <v>54582.59</v>
      </c>
      <c r="AN115" s="3404"/>
      <c r="AO115" s="3404"/>
      <c r="AP115" s="3404"/>
      <c r="AQ115" s="3404"/>
      <c r="AR115" s="3404"/>
      <c r="AS115" s="3404"/>
      <c r="AT115" s="3404"/>
      <c r="AU115" s="3404"/>
      <c r="AV115" s="3404"/>
      <c r="AW115" s="3404"/>
      <c r="AX115" s="3404"/>
      <c r="AY115" s="3404"/>
      <c r="AZ115" s="3404"/>
      <c r="BA115" s="3404"/>
      <c r="BB115" s="3404"/>
      <c r="BC115" s="3404"/>
      <c r="BD115" s="3404"/>
      <c r="BE115" s="3404"/>
      <c r="BF115" s="3404"/>
    </row>
    <row r="116" spans="1:58" s="3399" customFormat="1" ht="42.75">
      <c r="A116" s="3414" t="s">
        <v>3498</v>
      </c>
      <c r="B116" s="3414" t="s">
        <v>3499</v>
      </c>
      <c r="C116" s="3414" t="s">
        <v>3500</v>
      </c>
      <c r="D116" s="3414" t="s">
        <v>3501</v>
      </c>
      <c r="E116" s="3414" t="s">
        <v>3200</v>
      </c>
      <c r="F116" s="3414" t="s">
        <v>3216</v>
      </c>
      <c r="G116" s="3413" t="s">
        <v>3152</v>
      </c>
      <c r="H116" s="3414" t="s">
        <v>3396</v>
      </c>
      <c r="I116" s="3449">
        <v>0.06</v>
      </c>
      <c r="J116" s="3450">
        <v>42511</v>
      </c>
      <c r="K116" s="3485">
        <v>42536</v>
      </c>
      <c r="L116" s="3429">
        <v>43630</v>
      </c>
      <c r="M116" s="3430">
        <v>12</v>
      </c>
      <c r="N116" s="3414" t="s">
        <v>3154</v>
      </c>
      <c r="O116" s="3413" t="s">
        <v>3155</v>
      </c>
      <c r="P116" s="3414" t="s">
        <v>3232</v>
      </c>
      <c r="Q116" s="3414" t="s">
        <v>3502</v>
      </c>
      <c r="R116" s="3420">
        <v>1</v>
      </c>
      <c r="S116" s="3419">
        <v>63.12</v>
      </c>
      <c r="T116" s="3420">
        <v>63.12</v>
      </c>
      <c r="U116" s="3419">
        <v>50</v>
      </c>
      <c r="V116" s="3414" t="s">
        <v>3158</v>
      </c>
      <c r="W116" s="3432" t="s">
        <v>3159</v>
      </c>
      <c r="X116" s="3422">
        <f t="shared" si="24"/>
        <v>3156</v>
      </c>
      <c r="Y116" s="3422">
        <f t="shared" si="25"/>
        <v>1.6666666666666667</v>
      </c>
      <c r="Z116" s="3433">
        <f t="shared" si="35"/>
        <v>1.6666666666666667</v>
      </c>
      <c r="AA116" s="3423">
        <f t="shared" si="26"/>
        <v>13781.2</v>
      </c>
      <c r="AB116" s="3407">
        <f t="shared" si="22"/>
        <v>1.7666666666666668</v>
      </c>
      <c r="AC116" s="3404">
        <f t="shared" si="27"/>
        <v>40701.879999999997</v>
      </c>
      <c r="AD116" s="3446">
        <f t="shared" si="23"/>
        <v>1.8726666666666669</v>
      </c>
      <c r="AE116" s="3404">
        <f t="shared" si="28"/>
        <v>43143.99</v>
      </c>
      <c r="AF116" s="3446">
        <v>2.2000000000000002</v>
      </c>
      <c r="AG116" s="3404">
        <f t="shared" si="29"/>
        <v>50685.36</v>
      </c>
      <c r="AH116" s="3447">
        <f t="shared" si="36"/>
        <v>2.2549999999999999</v>
      </c>
      <c r="AI116" s="3399">
        <f t="shared" si="30"/>
        <v>51952.49</v>
      </c>
      <c r="AJ116" s="3404">
        <f t="shared" si="34"/>
        <v>2.3113749999999995</v>
      </c>
      <c r="AK116" s="3404">
        <f t="shared" si="31"/>
        <v>53251.31</v>
      </c>
      <c r="AL116" s="3404">
        <f t="shared" si="33"/>
        <v>2.3691593749999993</v>
      </c>
      <c r="AM116" s="3404">
        <f t="shared" si="32"/>
        <v>54582.59</v>
      </c>
      <c r="AN116" s="3404"/>
      <c r="AO116" s="3404"/>
      <c r="AP116" s="3404"/>
      <c r="AQ116" s="3404"/>
      <c r="AR116" s="3404"/>
      <c r="AS116" s="3404"/>
      <c r="AT116" s="3404"/>
      <c r="AU116" s="3404"/>
      <c r="AV116" s="3404"/>
      <c r="AW116" s="3404"/>
      <c r="AX116" s="3404"/>
      <c r="AY116" s="3404"/>
      <c r="AZ116" s="3404"/>
      <c r="BA116" s="3404"/>
      <c r="BB116" s="3404"/>
      <c r="BC116" s="3404"/>
      <c r="BD116" s="3404"/>
      <c r="BE116" s="3404"/>
      <c r="BF116" s="3404"/>
    </row>
    <row r="117" spans="1:58" s="3399" customFormat="1" ht="71.25">
      <c r="A117" s="3414" t="s">
        <v>3503</v>
      </c>
      <c r="B117" s="3414" t="s">
        <v>3504</v>
      </c>
      <c r="C117" s="3414" t="s">
        <v>3505</v>
      </c>
      <c r="D117" s="3414" t="s">
        <v>3504</v>
      </c>
      <c r="E117" s="3414" t="s">
        <v>3402</v>
      </c>
      <c r="F117" s="3414" t="s">
        <v>3216</v>
      </c>
      <c r="G117" s="3413" t="s">
        <v>3152</v>
      </c>
      <c r="H117" s="3414" t="s">
        <v>3443</v>
      </c>
      <c r="I117" s="3449">
        <v>0.06</v>
      </c>
      <c r="J117" s="3450">
        <v>42551</v>
      </c>
      <c r="K117" s="3485">
        <v>42552</v>
      </c>
      <c r="L117" s="3429">
        <v>43646</v>
      </c>
      <c r="M117" s="3430">
        <v>0</v>
      </c>
      <c r="N117" s="3414" t="s">
        <v>3154</v>
      </c>
      <c r="O117" s="3414" t="s">
        <v>3155</v>
      </c>
      <c r="P117" s="3414" t="s">
        <v>3247</v>
      </c>
      <c r="Q117" s="3414" t="s">
        <v>3506</v>
      </c>
      <c r="R117" s="3420">
        <v>1</v>
      </c>
      <c r="S117" s="3419">
        <v>79.63</v>
      </c>
      <c r="T117" s="3420">
        <v>79.63</v>
      </c>
      <c r="U117" s="3419">
        <v>20</v>
      </c>
      <c r="V117" s="3414" t="s">
        <v>3158</v>
      </c>
      <c r="W117" s="3432" t="s">
        <v>3218</v>
      </c>
      <c r="X117" s="3422">
        <f t="shared" si="24"/>
        <v>1593</v>
      </c>
      <c r="Y117" s="3422">
        <f t="shared" si="25"/>
        <v>0.66683410774833607</v>
      </c>
      <c r="Z117" s="3433">
        <f t="shared" si="35"/>
        <v>0.66683410774833607</v>
      </c>
      <c r="AA117" s="3423">
        <f t="shared" si="26"/>
        <v>6956.1</v>
      </c>
      <c r="AB117" s="3407">
        <f t="shared" si="22"/>
        <v>0.70684415421323632</v>
      </c>
      <c r="AC117" s="3404">
        <f t="shared" si="27"/>
        <v>20544.39</v>
      </c>
      <c r="AD117" s="3446">
        <f t="shared" si="23"/>
        <v>0.74925480346603057</v>
      </c>
      <c r="AE117" s="3404">
        <f t="shared" si="28"/>
        <v>21777.05</v>
      </c>
      <c r="AF117" s="3446">
        <v>2.2000000000000002</v>
      </c>
      <c r="AG117" s="3404">
        <f t="shared" si="29"/>
        <v>63942.89</v>
      </c>
      <c r="AH117" s="3447">
        <f t="shared" si="36"/>
        <v>2.2549999999999999</v>
      </c>
      <c r="AI117" s="3399">
        <f t="shared" si="30"/>
        <v>65541.460000000006</v>
      </c>
      <c r="AJ117" s="3404">
        <f t="shared" si="34"/>
        <v>2.3113749999999995</v>
      </c>
      <c r="AK117" s="3404">
        <f t="shared" si="31"/>
        <v>67180</v>
      </c>
      <c r="AL117" s="3404">
        <f t="shared" si="33"/>
        <v>2.3691593749999993</v>
      </c>
      <c r="AM117" s="3404">
        <f t="shared" si="32"/>
        <v>68859.5</v>
      </c>
      <c r="AN117" s="3404"/>
      <c r="AO117" s="3404"/>
      <c r="AP117" s="3404"/>
      <c r="AQ117" s="3404"/>
      <c r="AR117" s="3404"/>
      <c r="AS117" s="3404"/>
      <c r="AT117" s="3404"/>
      <c r="AU117" s="3404"/>
      <c r="AV117" s="3404"/>
      <c r="AW117" s="3404"/>
      <c r="AX117" s="3404"/>
      <c r="AY117" s="3404"/>
      <c r="AZ117" s="3404"/>
      <c r="BA117" s="3404"/>
      <c r="BB117" s="3404"/>
      <c r="BC117" s="3404"/>
      <c r="BD117" s="3404"/>
      <c r="BE117" s="3404"/>
      <c r="BF117" s="3404"/>
    </row>
    <row r="118" spans="1:58" s="3399" customFormat="1" ht="71.25">
      <c r="A118" s="3414" t="s">
        <v>3503</v>
      </c>
      <c r="B118" s="3414" t="s">
        <v>3504</v>
      </c>
      <c r="C118" s="3414" t="s">
        <v>3505</v>
      </c>
      <c r="D118" s="3414" t="s">
        <v>3504</v>
      </c>
      <c r="E118" s="3414" t="s">
        <v>3402</v>
      </c>
      <c r="F118" s="3414" t="s">
        <v>3216</v>
      </c>
      <c r="G118" s="3413" t="s">
        <v>3152</v>
      </c>
      <c r="H118" s="3414" t="s">
        <v>3443</v>
      </c>
      <c r="I118" s="3449">
        <v>0.06</v>
      </c>
      <c r="J118" s="3450">
        <v>42551</v>
      </c>
      <c r="K118" s="3485">
        <v>42552</v>
      </c>
      <c r="L118" s="3429">
        <v>43646</v>
      </c>
      <c r="M118" s="3430">
        <v>6</v>
      </c>
      <c r="N118" s="3414" t="s">
        <v>3154</v>
      </c>
      <c r="O118" s="3414" t="s">
        <v>3155</v>
      </c>
      <c r="P118" s="3414" t="s">
        <v>3247</v>
      </c>
      <c r="Q118" s="3414" t="s">
        <v>3506</v>
      </c>
      <c r="R118" s="3420">
        <v>1</v>
      </c>
      <c r="S118" s="3419">
        <v>79.63</v>
      </c>
      <c r="T118" s="3420">
        <v>79.63</v>
      </c>
      <c r="U118" s="3419">
        <v>20</v>
      </c>
      <c r="V118" s="3414" t="s">
        <v>3158</v>
      </c>
      <c r="W118" s="3432" t="s">
        <v>3159</v>
      </c>
      <c r="X118" s="3422">
        <f t="shared" si="24"/>
        <v>1593</v>
      </c>
      <c r="Y118" s="3422">
        <f t="shared" si="25"/>
        <v>0.66683410774833607</v>
      </c>
      <c r="Z118" s="3433">
        <f t="shared" si="35"/>
        <v>0.66683410774833607</v>
      </c>
      <c r="AA118" s="3423">
        <f t="shared" si="26"/>
        <v>6956.1</v>
      </c>
      <c r="AB118" s="3407">
        <f t="shared" si="22"/>
        <v>0.70684415421323632</v>
      </c>
      <c r="AC118" s="3404">
        <f t="shared" si="27"/>
        <v>20544.39</v>
      </c>
      <c r="AD118" s="3446">
        <f t="shared" si="23"/>
        <v>0.74925480346603057</v>
      </c>
      <c r="AE118" s="3404">
        <f t="shared" si="28"/>
        <v>21777.05</v>
      </c>
      <c r="AF118" s="3446">
        <v>2.2000000000000002</v>
      </c>
      <c r="AG118" s="3404">
        <f t="shared" si="29"/>
        <v>63942.89</v>
      </c>
      <c r="AH118" s="3447">
        <f t="shared" si="36"/>
        <v>2.2549999999999999</v>
      </c>
      <c r="AI118" s="3399">
        <f t="shared" si="30"/>
        <v>65541.460000000006</v>
      </c>
      <c r="AJ118" s="3404">
        <f t="shared" si="34"/>
        <v>2.3113749999999995</v>
      </c>
      <c r="AK118" s="3404">
        <f t="shared" si="31"/>
        <v>67180</v>
      </c>
      <c r="AL118" s="3404">
        <f t="shared" si="33"/>
        <v>2.3691593749999993</v>
      </c>
      <c r="AM118" s="3404">
        <f t="shared" si="32"/>
        <v>68859.5</v>
      </c>
      <c r="AN118" s="3404"/>
      <c r="AO118" s="3404"/>
      <c r="AP118" s="3404"/>
      <c r="AQ118" s="3404"/>
      <c r="AR118" s="3404"/>
      <c r="AS118" s="3404"/>
      <c r="AT118" s="3404"/>
      <c r="AU118" s="3404"/>
      <c r="AV118" s="3404"/>
      <c r="AW118" s="3404"/>
      <c r="AX118" s="3404"/>
      <c r="AY118" s="3404"/>
      <c r="AZ118" s="3404"/>
      <c r="BA118" s="3404"/>
      <c r="BB118" s="3404"/>
      <c r="BC118" s="3404"/>
      <c r="BD118" s="3404"/>
      <c r="BE118" s="3404"/>
      <c r="BF118" s="3404"/>
    </row>
    <row r="119" spans="1:58" s="3399" customFormat="1" ht="42.75">
      <c r="A119" s="3414" t="s">
        <v>3507</v>
      </c>
      <c r="B119" s="3414" t="s">
        <v>3508</v>
      </c>
      <c r="C119" s="3414" t="s">
        <v>3509</v>
      </c>
      <c r="D119" s="3414" t="s">
        <v>3510</v>
      </c>
      <c r="E119" s="3414" t="s">
        <v>3238</v>
      </c>
      <c r="F119" s="3414" t="s">
        <v>3216</v>
      </c>
      <c r="G119" s="3413" t="s">
        <v>3152</v>
      </c>
      <c r="H119" s="3414" t="s">
        <v>3511</v>
      </c>
      <c r="I119" s="3449">
        <v>0.06</v>
      </c>
      <c r="J119" s="3450">
        <v>42559</v>
      </c>
      <c r="K119" s="3485">
        <v>42566</v>
      </c>
      <c r="L119" s="3429">
        <v>43660</v>
      </c>
      <c r="M119" s="3430">
        <v>12</v>
      </c>
      <c r="N119" s="3414" t="s">
        <v>3154</v>
      </c>
      <c r="O119" s="3414" t="s">
        <v>3155</v>
      </c>
      <c r="P119" s="3414" t="s">
        <v>3232</v>
      </c>
      <c r="Q119" s="3414" t="s">
        <v>3512</v>
      </c>
      <c r="R119" s="3420">
        <v>1</v>
      </c>
      <c r="S119" s="3419">
        <v>47.44</v>
      </c>
      <c r="T119" s="3420">
        <v>47.44</v>
      </c>
      <c r="U119" s="3419">
        <v>50</v>
      </c>
      <c r="V119" s="3414" t="s">
        <v>3158</v>
      </c>
      <c r="W119" s="3432" t="s">
        <v>3218</v>
      </c>
      <c r="X119" s="3422">
        <f t="shared" si="24"/>
        <v>2372</v>
      </c>
      <c r="Y119" s="3422">
        <f t="shared" si="25"/>
        <v>1.6666666666666667</v>
      </c>
      <c r="Z119" s="3433">
        <f t="shared" si="35"/>
        <v>1.6666666666666667</v>
      </c>
      <c r="AA119" s="3423">
        <f t="shared" si="26"/>
        <v>10357.73</v>
      </c>
      <c r="AB119" s="3407">
        <f t="shared" si="22"/>
        <v>1.7666666666666668</v>
      </c>
      <c r="AC119" s="3404">
        <f t="shared" si="27"/>
        <v>30590.89</v>
      </c>
      <c r="AD119" s="3446">
        <f t="shared" si="23"/>
        <v>1.8726666666666669</v>
      </c>
      <c r="AE119" s="3404">
        <f t="shared" si="28"/>
        <v>32426.35</v>
      </c>
      <c r="AF119" s="3446">
        <v>2.2000000000000002</v>
      </c>
      <c r="AG119" s="3404">
        <f t="shared" si="29"/>
        <v>38094.32</v>
      </c>
      <c r="AH119" s="3447">
        <f t="shared" si="36"/>
        <v>2.2549999999999999</v>
      </c>
      <c r="AI119" s="3399">
        <f t="shared" si="30"/>
        <v>39046.68</v>
      </c>
      <c r="AJ119" s="3404">
        <f t="shared" si="34"/>
        <v>2.3113749999999995</v>
      </c>
      <c r="AK119" s="3404">
        <f t="shared" si="31"/>
        <v>40022.839999999997</v>
      </c>
      <c r="AL119" s="3404">
        <f t="shared" si="33"/>
        <v>2.3691593749999993</v>
      </c>
      <c r="AM119" s="3404">
        <f t="shared" si="32"/>
        <v>41023.42</v>
      </c>
      <c r="AN119" s="3404"/>
      <c r="AO119" s="3404"/>
      <c r="AP119" s="3404"/>
      <c r="AQ119" s="3404"/>
      <c r="AR119" s="3404"/>
      <c r="AS119" s="3404"/>
      <c r="AT119" s="3404"/>
      <c r="AU119" s="3404"/>
      <c r="AV119" s="3404"/>
      <c r="AW119" s="3404"/>
      <c r="AX119" s="3404"/>
      <c r="AY119" s="3404"/>
      <c r="AZ119" s="3404"/>
      <c r="BA119" s="3404"/>
      <c r="BB119" s="3404"/>
      <c r="BC119" s="3404"/>
      <c r="BD119" s="3404"/>
      <c r="BE119" s="3404"/>
      <c r="BF119" s="3404"/>
    </row>
    <row r="120" spans="1:58" s="3399" customFormat="1" ht="42.75">
      <c r="A120" s="3414" t="s">
        <v>3507</v>
      </c>
      <c r="B120" s="3414" t="s">
        <v>3508</v>
      </c>
      <c r="C120" s="3414" t="s">
        <v>3509</v>
      </c>
      <c r="D120" s="3414" t="s">
        <v>3510</v>
      </c>
      <c r="E120" s="3414" t="s">
        <v>3238</v>
      </c>
      <c r="F120" s="3414" t="s">
        <v>3216</v>
      </c>
      <c r="G120" s="3413" t="s">
        <v>3152</v>
      </c>
      <c r="H120" s="3414" t="s">
        <v>3511</v>
      </c>
      <c r="I120" s="3449">
        <v>0.06</v>
      </c>
      <c r="J120" s="3450">
        <v>42559</v>
      </c>
      <c r="K120" s="3485">
        <v>42566</v>
      </c>
      <c r="L120" s="3429">
        <v>43660</v>
      </c>
      <c r="M120" s="3430">
        <v>12</v>
      </c>
      <c r="N120" s="3414" t="s">
        <v>3154</v>
      </c>
      <c r="O120" s="3414" t="s">
        <v>3155</v>
      </c>
      <c r="P120" s="3414" t="s">
        <v>3232</v>
      </c>
      <c r="Q120" s="3414" t="s">
        <v>3512</v>
      </c>
      <c r="R120" s="3420">
        <v>1</v>
      </c>
      <c r="S120" s="3419">
        <v>47.44</v>
      </c>
      <c r="T120" s="3420">
        <v>47.44</v>
      </c>
      <c r="U120" s="3419">
        <v>50</v>
      </c>
      <c r="V120" s="3414" t="s">
        <v>3158</v>
      </c>
      <c r="W120" s="3432" t="s">
        <v>3159</v>
      </c>
      <c r="X120" s="3422">
        <f t="shared" si="24"/>
        <v>2372</v>
      </c>
      <c r="Y120" s="3422">
        <f t="shared" si="25"/>
        <v>1.6666666666666667</v>
      </c>
      <c r="Z120" s="3433">
        <f t="shared" si="35"/>
        <v>1.6666666666666667</v>
      </c>
      <c r="AA120" s="3423">
        <f t="shared" si="26"/>
        <v>10357.73</v>
      </c>
      <c r="AB120" s="3407">
        <f t="shared" si="22"/>
        <v>1.7666666666666668</v>
      </c>
      <c r="AC120" s="3404">
        <f t="shared" si="27"/>
        <v>30590.89</v>
      </c>
      <c r="AD120" s="3446">
        <f t="shared" si="23"/>
        <v>1.8726666666666669</v>
      </c>
      <c r="AE120" s="3404">
        <f t="shared" si="28"/>
        <v>32426.35</v>
      </c>
      <c r="AF120" s="3446">
        <v>2.2000000000000002</v>
      </c>
      <c r="AG120" s="3404">
        <f t="shared" si="29"/>
        <v>38094.32</v>
      </c>
      <c r="AH120" s="3447">
        <f t="shared" si="36"/>
        <v>2.2549999999999999</v>
      </c>
      <c r="AI120" s="3399">
        <f t="shared" si="30"/>
        <v>39046.68</v>
      </c>
      <c r="AJ120" s="3404">
        <f t="shared" si="34"/>
        <v>2.3113749999999995</v>
      </c>
      <c r="AK120" s="3404">
        <f t="shared" si="31"/>
        <v>40022.839999999997</v>
      </c>
      <c r="AL120" s="3404">
        <f t="shared" si="33"/>
        <v>2.3691593749999993</v>
      </c>
      <c r="AM120" s="3404">
        <f t="shared" si="32"/>
        <v>41023.42</v>
      </c>
      <c r="AN120" s="3404"/>
      <c r="AO120" s="3404"/>
      <c r="AP120" s="3404"/>
      <c r="AQ120" s="3404"/>
      <c r="AR120" s="3404"/>
      <c r="AS120" s="3404"/>
      <c r="AT120" s="3404"/>
      <c r="AU120" s="3404"/>
      <c r="AV120" s="3404"/>
      <c r="AW120" s="3404"/>
      <c r="AX120" s="3404"/>
      <c r="AY120" s="3404"/>
      <c r="AZ120" s="3404"/>
      <c r="BA120" s="3404"/>
      <c r="BB120" s="3404"/>
      <c r="BC120" s="3404"/>
      <c r="BD120" s="3404"/>
      <c r="BE120" s="3404"/>
      <c r="BF120" s="3404"/>
    </row>
    <row r="121" spans="1:58" s="3399" customFormat="1" ht="42.75">
      <c r="A121" s="3414" t="s">
        <v>3513</v>
      </c>
      <c r="B121" s="3414" t="s">
        <v>3412</v>
      </c>
      <c r="C121" s="3414" t="s">
        <v>3413</v>
      </c>
      <c r="D121" s="3414" t="s">
        <v>3414</v>
      </c>
      <c r="E121" s="3414" t="s">
        <v>3238</v>
      </c>
      <c r="F121" s="3414" t="s">
        <v>3216</v>
      </c>
      <c r="G121" s="3413" t="s">
        <v>3152</v>
      </c>
      <c r="H121" s="3414" t="s">
        <v>3356</v>
      </c>
      <c r="I121" s="3449">
        <v>0.06</v>
      </c>
      <c r="J121" s="3450">
        <v>42475</v>
      </c>
      <c r="K121" s="3485">
        <v>42461</v>
      </c>
      <c r="L121" s="3429">
        <v>43554</v>
      </c>
      <c r="M121" s="3430">
        <v>0</v>
      </c>
      <c r="N121" s="3414" t="s">
        <v>3154</v>
      </c>
      <c r="O121" s="3413" t="s">
        <v>3363</v>
      </c>
      <c r="P121" s="3413" t="s">
        <v>3385</v>
      </c>
      <c r="Q121" s="3414" t="s">
        <v>3514</v>
      </c>
      <c r="R121" s="3420">
        <v>1</v>
      </c>
      <c r="S121" s="3419">
        <v>210.54</v>
      </c>
      <c r="T121" s="3420">
        <v>210.54</v>
      </c>
      <c r="U121" s="3419">
        <v>15</v>
      </c>
      <c r="V121" s="3414" t="s">
        <v>3158</v>
      </c>
      <c r="W121" s="3432" t="s">
        <v>3218</v>
      </c>
      <c r="X121" s="3422">
        <f t="shared" si="24"/>
        <v>3158</v>
      </c>
      <c r="Y121" s="3422">
        <f t="shared" si="25"/>
        <v>0.49998416769576642</v>
      </c>
      <c r="Z121" s="3433">
        <f t="shared" si="35"/>
        <v>0.49998416769576642</v>
      </c>
      <c r="AA121" s="3423">
        <f t="shared" si="26"/>
        <v>13789.93</v>
      </c>
      <c r="AB121" s="3407">
        <f t="shared" si="22"/>
        <v>0.52998321775751245</v>
      </c>
      <c r="AC121" s="3404">
        <f t="shared" si="27"/>
        <v>40727.67</v>
      </c>
      <c r="AD121" s="3446">
        <f t="shared" si="23"/>
        <v>0.5617822108229632</v>
      </c>
      <c r="AE121" s="3404">
        <f t="shared" si="28"/>
        <v>43171.33</v>
      </c>
      <c r="AF121" s="3446">
        <v>2.2000000000000002</v>
      </c>
      <c r="AG121" s="3404">
        <f t="shared" si="29"/>
        <v>169063.62</v>
      </c>
      <c r="AH121" s="3447">
        <f t="shared" si="36"/>
        <v>2.2549999999999999</v>
      </c>
      <c r="AI121" s="3399">
        <f t="shared" si="30"/>
        <v>173290.21</v>
      </c>
      <c r="AJ121" s="3404">
        <f t="shared" si="34"/>
        <v>2.3113749999999995</v>
      </c>
      <c r="AK121" s="3404">
        <f t="shared" si="31"/>
        <v>177622.47</v>
      </c>
      <c r="AL121" s="3404">
        <f t="shared" si="33"/>
        <v>2.3691593749999993</v>
      </c>
      <c r="AM121" s="3404">
        <f t="shared" si="32"/>
        <v>182063.03</v>
      </c>
      <c r="AN121" s="3404"/>
      <c r="AO121" s="3404"/>
      <c r="AP121" s="3404"/>
      <c r="AQ121" s="3404"/>
      <c r="AR121" s="3404"/>
      <c r="AS121" s="3404"/>
      <c r="AT121" s="3404"/>
      <c r="AU121" s="3404"/>
      <c r="AV121" s="3404"/>
      <c r="AW121" s="3404"/>
      <c r="AX121" s="3404"/>
      <c r="AY121" s="3404"/>
      <c r="AZ121" s="3404"/>
      <c r="BA121" s="3404"/>
      <c r="BB121" s="3404"/>
      <c r="BC121" s="3404"/>
      <c r="BD121" s="3404"/>
      <c r="BE121" s="3404"/>
      <c r="BF121" s="3404"/>
    </row>
    <row r="122" spans="1:58" s="3399" customFormat="1" ht="42.75">
      <c r="A122" s="3414" t="s">
        <v>3513</v>
      </c>
      <c r="B122" s="3414" t="s">
        <v>3412</v>
      </c>
      <c r="C122" s="3414" t="s">
        <v>3413</v>
      </c>
      <c r="D122" s="3414" t="s">
        <v>3414</v>
      </c>
      <c r="E122" s="3414" t="s">
        <v>3238</v>
      </c>
      <c r="F122" s="3414" t="s">
        <v>3216</v>
      </c>
      <c r="G122" s="3413" t="s">
        <v>3152</v>
      </c>
      <c r="H122" s="3414" t="s">
        <v>3356</v>
      </c>
      <c r="I122" s="3449">
        <v>0.06</v>
      </c>
      <c r="J122" s="3450">
        <v>42475</v>
      </c>
      <c r="K122" s="3485">
        <v>42461</v>
      </c>
      <c r="L122" s="3429">
        <v>43554</v>
      </c>
      <c r="M122" s="3430">
        <v>12</v>
      </c>
      <c r="N122" s="3414" t="s">
        <v>3154</v>
      </c>
      <c r="O122" s="3413" t="s">
        <v>3363</v>
      </c>
      <c r="P122" s="3413" t="s">
        <v>3385</v>
      </c>
      <c r="Q122" s="3414" t="s">
        <v>3514</v>
      </c>
      <c r="R122" s="3420">
        <v>1</v>
      </c>
      <c r="S122" s="3419">
        <v>210.54</v>
      </c>
      <c r="T122" s="3420">
        <v>210.54</v>
      </c>
      <c r="U122" s="3419">
        <v>20</v>
      </c>
      <c r="V122" s="3414" t="s">
        <v>3158</v>
      </c>
      <c r="W122" s="3432" t="s">
        <v>3159</v>
      </c>
      <c r="X122" s="3422">
        <f t="shared" si="24"/>
        <v>4211</v>
      </c>
      <c r="Y122" s="3422">
        <f t="shared" si="25"/>
        <v>0.66669833127513378</v>
      </c>
      <c r="Z122" s="3433">
        <f t="shared" si="35"/>
        <v>0.66669833127513378</v>
      </c>
      <c r="AA122" s="3423">
        <f t="shared" si="26"/>
        <v>18388.03</v>
      </c>
      <c r="AB122" s="3407">
        <f t="shared" si="22"/>
        <v>0.70670023115164182</v>
      </c>
      <c r="AC122" s="3404">
        <f t="shared" si="27"/>
        <v>54307.86</v>
      </c>
      <c r="AD122" s="3446">
        <f t="shared" si="23"/>
        <v>0.74910224502074041</v>
      </c>
      <c r="AE122" s="3404">
        <f t="shared" si="28"/>
        <v>57566.34</v>
      </c>
      <c r="AF122" s="3446">
        <v>2.2000000000000002</v>
      </c>
      <c r="AG122" s="3404">
        <f t="shared" si="29"/>
        <v>169063.62</v>
      </c>
      <c r="AH122" s="3447">
        <f t="shared" si="36"/>
        <v>2.2549999999999999</v>
      </c>
      <c r="AI122" s="3399">
        <f t="shared" si="30"/>
        <v>173290.21</v>
      </c>
      <c r="AJ122" s="3404">
        <f t="shared" si="34"/>
        <v>2.3113749999999995</v>
      </c>
      <c r="AK122" s="3404">
        <f t="shared" si="31"/>
        <v>177622.47</v>
      </c>
      <c r="AL122" s="3404">
        <f t="shared" si="33"/>
        <v>2.3691593749999993</v>
      </c>
      <c r="AM122" s="3404">
        <f t="shared" si="32"/>
        <v>182063.03</v>
      </c>
      <c r="AN122" s="3404"/>
      <c r="AO122" s="3404"/>
      <c r="AP122" s="3404"/>
      <c r="AQ122" s="3404"/>
      <c r="AR122" s="3404"/>
      <c r="AS122" s="3404"/>
      <c r="AT122" s="3404"/>
      <c r="AU122" s="3404"/>
      <c r="AV122" s="3404"/>
      <c r="AW122" s="3404"/>
      <c r="AX122" s="3404"/>
      <c r="AY122" s="3404"/>
      <c r="AZ122" s="3404"/>
      <c r="BA122" s="3404"/>
      <c r="BB122" s="3404"/>
      <c r="BC122" s="3404"/>
      <c r="BD122" s="3404"/>
      <c r="BE122" s="3404"/>
      <c r="BF122" s="3404"/>
    </row>
    <row r="123" spans="1:58" s="3399" customFormat="1" ht="42.75">
      <c r="A123" s="3414" t="s">
        <v>3515</v>
      </c>
      <c r="B123" s="3414" t="s">
        <v>3516</v>
      </c>
      <c r="C123" s="3414" t="s">
        <v>3517</v>
      </c>
      <c r="D123" s="3414" t="s">
        <v>3518</v>
      </c>
      <c r="E123" s="3414" t="s">
        <v>3283</v>
      </c>
      <c r="F123" s="3414" t="s">
        <v>3216</v>
      </c>
      <c r="G123" s="3413" t="s">
        <v>3152</v>
      </c>
      <c r="H123" s="3414" t="s">
        <v>3519</v>
      </c>
      <c r="I123" s="3449">
        <v>0.06</v>
      </c>
      <c r="J123" s="3450">
        <v>42620</v>
      </c>
      <c r="K123" s="3485">
        <v>42644</v>
      </c>
      <c r="L123" s="3429">
        <v>43738</v>
      </c>
      <c r="M123" s="3430">
        <v>12</v>
      </c>
      <c r="N123" s="3414" t="s">
        <v>3154</v>
      </c>
      <c r="O123" s="3413" t="s">
        <v>3363</v>
      </c>
      <c r="P123" s="3414" t="s">
        <v>3437</v>
      </c>
      <c r="Q123" s="3489" t="s">
        <v>3520</v>
      </c>
      <c r="R123" s="3420">
        <v>1</v>
      </c>
      <c r="S123" s="3420">
        <v>113.69</v>
      </c>
      <c r="T123" s="3490">
        <v>113.69</v>
      </c>
      <c r="U123" s="3420">
        <v>35</v>
      </c>
      <c r="V123" s="3414" t="s">
        <v>3158</v>
      </c>
      <c r="W123" s="3432" t="s">
        <v>3218</v>
      </c>
      <c r="X123" s="3422">
        <f t="shared" si="24"/>
        <v>3979</v>
      </c>
      <c r="Y123" s="3422">
        <f t="shared" si="25"/>
        <v>1.1666226874248689</v>
      </c>
      <c r="Z123" s="3433">
        <f t="shared" si="35"/>
        <v>1.1666226874248689</v>
      </c>
      <c r="AA123" s="3423">
        <f t="shared" si="26"/>
        <v>17374.97</v>
      </c>
      <c r="AB123" s="3407">
        <f t="shared" ref="AB123:AB181" si="37">Z123*(1+$Z$1)</f>
        <v>1.2366200486703611</v>
      </c>
      <c r="AC123" s="3404">
        <f t="shared" si="27"/>
        <v>51315.839999999997</v>
      </c>
      <c r="AD123" s="3446">
        <f t="shared" si="23"/>
        <v>1.3108172515905829</v>
      </c>
      <c r="AE123" s="3404">
        <f t="shared" si="28"/>
        <v>54394.79</v>
      </c>
      <c r="AF123" s="3446">
        <v>2.2000000000000002</v>
      </c>
      <c r="AG123" s="3404">
        <f t="shared" si="29"/>
        <v>91293.07</v>
      </c>
      <c r="AH123" s="3447">
        <f t="shared" si="36"/>
        <v>2.2549999999999999</v>
      </c>
      <c r="AI123" s="3399">
        <f t="shared" si="30"/>
        <v>93575.4</v>
      </c>
      <c r="AJ123" s="3404">
        <f t="shared" si="34"/>
        <v>2.3113749999999995</v>
      </c>
      <c r="AK123" s="3404">
        <f t="shared" si="31"/>
        <v>95914.78</v>
      </c>
      <c r="AL123" s="3404">
        <f t="shared" si="33"/>
        <v>2.3691593749999993</v>
      </c>
      <c r="AM123" s="3404">
        <f t="shared" si="32"/>
        <v>98312.65</v>
      </c>
      <c r="AN123" s="3404"/>
      <c r="AO123" s="3404"/>
      <c r="AP123" s="3404"/>
      <c r="AQ123" s="3404"/>
      <c r="AR123" s="3404"/>
      <c r="AS123" s="3404"/>
      <c r="AT123" s="3404"/>
      <c r="AU123" s="3404"/>
      <c r="AV123" s="3404"/>
      <c r="AW123" s="3404"/>
      <c r="AX123" s="3404"/>
      <c r="AY123" s="3404"/>
      <c r="AZ123" s="3404"/>
      <c r="BA123" s="3404"/>
      <c r="BB123" s="3404"/>
      <c r="BC123" s="3404"/>
      <c r="BD123" s="3404"/>
      <c r="BE123" s="3404"/>
      <c r="BF123" s="3404"/>
    </row>
    <row r="124" spans="1:58" s="3399" customFormat="1" ht="42.75">
      <c r="A124" s="3414" t="s">
        <v>3515</v>
      </c>
      <c r="B124" s="3414" t="s">
        <v>3516</v>
      </c>
      <c r="C124" s="3414" t="s">
        <v>3517</v>
      </c>
      <c r="D124" s="3414" t="s">
        <v>3518</v>
      </c>
      <c r="E124" s="3414" t="s">
        <v>3283</v>
      </c>
      <c r="F124" s="3414" t="s">
        <v>3216</v>
      </c>
      <c r="G124" s="3413" t="s">
        <v>3152</v>
      </c>
      <c r="H124" s="3414" t="s">
        <v>3519</v>
      </c>
      <c r="I124" s="3449">
        <v>0.06</v>
      </c>
      <c r="J124" s="3450">
        <v>42620</v>
      </c>
      <c r="K124" s="3485">
        <v>42644</v>
      </c>
      <c r="L124" s="3429">
        <v>43738</v>
      </c>
      <c r="M124" s="3430">
        <v>12</v>
      </c>
      <c r="N124" s="3414" t="s">
        <v>3154</v>
      </c>
      <c r="O124" s="3413" t="s">
        <v>3363</v>
      </c>
      <c r="P124" s="3414" t="s">
        <v>3437</v>
      </c>
      <c r="Q124" s="3489" t="s">
        <v>3520</v>
      </c>
      <c r="R124" s="3420">
        <v>1</v>
      </c>
      <c r="S124" s="3420">
        <v>113.69</v>
      </c>
      <c r="T124" s="3490">
        <v>113.69</v>
      </c>
      <c r="U124" s="3420">
        <v>35</v>
      </c>
      <c r="V124" s="3414" t="s">
        <v>3158</v>
      </c>
      <c r="W124" s="3432" t="s">
        <v>3159</v>
      </c>
      <c r="X124" s="3422">
        <f t="shared" si="24"/>
        <v>3979</v>
      </c>
      <c r="Y124" s="3422">
        <f t="shared" si="25"/>
        <v>1.1666226874248689</v>
      </c>
      <c r="Z124" s="3433">
        <f t="shared" si="35"/>
        <v>1.1666226874248689</v>
      </c>
      <c r="AA124" s="3423">
        <f t="shared" si="26"/>
        <v>17374.97</v>
      </c>
      <c r="AB124" s="3407">
        <f t="shared" si="37"/>
        <v>1.2366200486703611</v>
      </c>
      <c r="AC124" s="3404">
        <f t="shared" si="27"/>
        <v>51315.839999999997</v>
      </c>
      <c r="AD124" s="3446">
        <f t="shared" si="23"/>
        <v>1.3108172515905829</v>
      </c>
      <c r="AE124" s="3404">
        <f t="shared" si="28"/>
        <v>54394.79</v>
      </c>
      <c r="AF124" s="3446">
        <v>2.2000000000000002</v>
      </c>
      <c r="AG124" s="3404">
        <f t="shared" si="29"/>
        <v>91293.07</v>
      </c>
      <c r="AH124" s="3447">
        <f t="shared" si="36"/>
        <v>2.2549999999999999</v>
      </c>
      <c r="AI124" s="3399">
        <f t="shared" si="30"/>
        <v>93575.4</v>
      </c>
      <c r="AJ124" s="3404">
        <f t="shared" si="34"/>
        <v>2.3113749999999995</v>
      </c>
      <c r="AK124" s="3404">
        <f t="shared" si="31"/>
        <v>95914.78</v>
      </c>
      <c r="AL124" s="3404">
        <f t="shared" si="33"/>
        <v>2.3691593749999993</v>
      </c>
      <c r="AM124" s="3404">
        <f t="shared" si="32"/>
        <v>98312.65</v>
      </c>
      <c r="AN124" s="3404"/>
      <c r="AO124" s="3404"/>
      <c r="AP124" s="3404"/>
      <c r="AQ124" s="3404"/>
      <c r="AR124" s="3404"/>
      <c r="AS124" s="3404"/>
      <c r="AT124" s="3404"/>
      <c r="AU124" s="3404"/>
      <c r="AV124" s="3404"/>
      <c r="AW124" s="3404"/>
      <c r="AX124" s="3404"/>
      <c r="AY124" s="3404"/>
      <c r="AZ124" s="3404"/>
      <c r="BA124" s="3404"/>
      <c r="BB124" s="3404"/>
      <c r="BC124" s="3404"/>
      <c r="BD124" s="3404"/>
      <c r="BE124" s="3404"/>
      <c r="BF124" s="3404"/>
    </row>
    <row r="125" spans="1:58" s="3399" customFormat="1" ht="42.75">
      <c r="A125" s="3414" t="s">
        <v>3521</v>
      </c>
      <c r="B125" s="3414" t="s">
        <v>3522</v>
      </c>
      <c r="C125" s="3414" t="s">
        <v>3523</v>
      </c>
      <c r="D125" s="3414" t="s">
        <v>3524</v>
      </c>
      <c r="E125" s="3414" t="s">
        <v>3200</v>
      </c>
      <c r="F125" s="3414" t="s">
        <v>3216</v>
      </c>
      <c r="G125" s="3413" t="s">
        <v>3152</v>
      </c>
      <c r="H125" s="3414" t="s">
        <v>3519</v>
      </c>
      <c r="I125" s="3449">
        <v>0.06</v>
      </c>
      <c r="J125" s="3450">
        <v>42625</v>
      </c>
      <c r="K125" s="3485">
        <v>42644</v>
      </c>
      <c r="L125" s="3429">
        <v>43738</v>
      </c>
      <c r="M125" s="3430">
        <v>12</v>
      </c>
      <c r="N125" s="3414" t="s">
        <v>3154</v>
      </c>
      <c r="O125" s="3413" t="s">
        <v>3363</v>
      </c>
      <c r="P125" s="3414" t="s">
        <v>3385</v>
      </c>
      <c r="Q125" s="3489" t="s">
        <v>3525</v>
      </c>
      <c r="R125" s="3420">
        <v>1</v>
      </c>
      <c r="S125" s="3420">
        <v>285.62</v>
      </c>
      <c r="T125" s="3420">
        <v>285.62</v>
      </c>
      <c r="U125" s="3420">
        <v>35</v>
      </c>
      <c r="V125" s="3414" t="s">
        <v>3158</v>
      </c>
      <c r="W125" s="3432" t="s">
        <v>3218</v>
      </c>
      <c r="X125" s="3422">
        <f t="shared" si="24"/>
        <v>9997</v>
      </c>
      <c r="Y125" s="3422">
        <f t="shared" si="25"/>
        <v>1.1667016782204795</v>
      </c>
      <c r="Z125" s="3433">
        <f t="shared" si="35"/>
        <v>1.1667016782204795</v>
      </c>
      <c r="AA125" s="3423">
        <f t="shared" si="26"/>
        <v>43653.57</v>
      </c>
      <c r="AB125" s="3407">
        <f t="shared" si="37"/>
        <v>1.2367037789137083</v>
      </c>
      <c r="AC125" s="3404">
        <f t="shared" si="27"/>
        <v>128927.98</v>
      </c>
      <c r="AD125" s="3446">
        <f t="shared" ref="AD125:AD181" si="38">AB125*(1+$Z$1)</f>
        <v>1.3109060056485309</v>
      </c>
      <c r="AE125" s="3404">
        <f t="shared" si="28"/>
        <v>136663.66</v>
      </c>
      <c r="AF125" s="3446">
        <v>2.2000000000000002</v>
      </c>
      <c r="AG125" s="3404">
        <f t="shared" si="29"/>
        <v>229352.86</v>
      </c>
      <c r="AH125" s="3447">
        <f t="shared" si="36"/>
        <v>2.2549999999999999</v>
      </c>
      <c r="AI125" s="3399">
        <f t="shared" si="30"/>
        <v>235086.68</v>
      </c>
      <c r="AJ125" s="3404">
        <f t="shared" si="34"/>
        <v>2.3113749999999995</v>
      </c>
      <c r="AK125" s="3404">
        <f t="shared" si="31"/>
        <v>240963.85</v>
      </c>
      <c r="AL125" s="3404">
        <f t="shared" si="33"/>
        <v>2.3691593749999993</v>
      </c>
      <c r="AM125" s="3404">
        <f t="shared" si="32"/>
        <v>246987.94</v>
      </c>
      <c r="AN125" s="3404"/>
      <c r="AO125" s="3404"/>
      <c r="AP125" s="3404"/>
      <c r="AQ125" s="3404"/>
      <c r="AR125" s="3404"/>
      <c r="AS125" s="3404"/>
      <c r="AT125" s="3404"/>
      <c r="AU125" s="3404"/>
      <c r="AV125" s="3404"/>
      <c r="AW125" s="3404"/>
      <c r="AX125" s="3404"/>
      <c r="AY125" s="3404"/>
      <c r="AZ125" s="3404"/>
      <c r="BA125" s="3404"/>
      <c r="BB125" s="3404"/>
      <c r="BC125" s="3404"/>
      <c r="BD125" s="3404"/>
      <c r="BE125" s="3404"/>
      <c r="BF125" s="3404"/>
    </row>
    <row r="126" spans="1:58" s="3399" customFormat="1" ht="42.75">
      <c r="A126" s="3414" t="s">
        <v>3521</v>
      </c>
      <c r="B126" s="3414" t="s">
        <v>3522</v>
      </c>
      <c r="C126" s="3414" t="s">
        <v>3523</v>
      </c>
      <c r="D126" s="3414" t="s">
        <v>3524</v>
      </c>
      <c r="E126" s="3414" t="s">
        <v>3200</v>
      </c>
      <c r="F126" s="3414" t="s">
        <v>3216</v>
      </c>
      <c r="G126" s="3413" t="s">
        <v>3152</v>
      </c>
      <c r="H126" s="3414" t="s">
        <v>3519</v>
      </c>
      <c r="I126" s="3449">
        <v>0.06</v>
      </c>
      <c r="J126" s="3450">
        <v>42625</v>
      </c>
      <c r="K126" s="3485">
        <v>42644</v>
      </c>
      <c r="L126" s="3429">
        <v>43738</v>
      </c>
      <c r="M126" s="3430">
        <v>12</v>
      </c>
      <c r="N126" s="3414" t="s">
        <v>3154</v>
      </c>
      <c r="O126" s="3413" t="s">
        <v>3363</v>
      </c>
      <c r="P126" s="3414" t="s">
        <v>3385</v>
      </c>
      <c r="Q126" s="3489" t="s">
        <v>3525</v>
      </c>
      <c r="R126" s="3420">
        <v>1</v>
      </c>
      <c r="S126" s="3420">
        <v>285.62</v>
      </c>
      <c r="T126" s="3420">
        <v>285.62</v>
      </c>
      <c r="U126" s="3420">
        <v>35</v>
      </c>
      <c r="V126" s="3414" t="s">
        <v>3158</v>
      </c>
      <c r="W126" s="3432" t="s">
        <v>3159</v>
      </c>
      <c r="X126" s="3422">
        <f t="shared" si="24"/>
        <v>9997</v>
      </c>
      <c r="Y126" s="3422">
        <f t="shared" si="25"/>
        <v>1.1667016782204795</v>
      </c>
      <c r="Z126" s="3433">
        <f t="shared" si="35"/>
        <v>1.1667016782204795</v>
      </c>
      <c r="AA126" s="3423">
        <f t="shared" si="26"/>
        <v>43653.57</v>
      </c>
      <c r="AB126" s="3407">
        <f t="shared" si="37"/>
        <v>1.2367037789137083</v>
      </c>
      <c r="AC126" s="3404">
        <f t="shared" si="27"/>
        <v>128927.98</v>
      </c>
      <c r="AD126" s="3446">
        <f t="shared" si="38"/>
        <v>1.3109060056485309</v>
      </c>
      <c r="AE126" s="3404">
        <f t="shared" si="28"/>
        <v>136663.66</v>
      </c>
      <c r="AF126" s="3446">
        <v>2.2000000000000002</v>
      </c>
      <c r="AG126" s="3404">
        <f t="shared" si="29"/>
        <v>229352.86</v>
      </c>
      <c r="AH126" s="3447">
        <f t="shared" si="36"/>
        <v>2.2549999999999999</v>
      </c>
      <c r="AI126" s="3399">
        <f t="shared" si="30"/>
        <v>235086.68</v>
      </c>
      <c r="AJ126" s="3404">
        <f t="shared" si="34"/>
        <v>2.3113749999999995</v>
      </c>
      <c r="AK126" s="3404">
        <f t="shared" si="31"/>
        <v>240963.85</v>
      </c>
      <c r="AL126" s="3404">
        <f t="shared" si="33"/>
        <v>2.3691593749999993</v>
      </c>
      <c r="AM126" s="3404">
        <f t="shared" si="32"/>
        <v>246987.94</v>
      </c>
      <c r="AN126" s="3404"/>
      <c r="AO126" s="3404"/>
      <c r="AP126" s="3404"/>
      <c r="AQ126" s="3404"/>
      <c r="AR126" s="3404"/>
      <c r="AS126" s="3404"/>
      <c r="AT126" s="3404"/>
      <c r="AU126" s="3404"/>
      <c r="AV126" s="3404"/>
      <c r="AW126" s="3404"/>
      <c r="AX126" s="3404"/>
      <c r="AY126" s="3404"/>
      <c r="AZ126" s="3404"/>
      <c r="BA126" s="3404"/>
      <c r="BB126" s="3404"/>
      <c r="BC126" s="3404"/>
      <c r="BD126" s="3404"/>
      <c r="BE126" s="3404"/>
      <c r="BF126" s="3404"/>
    </row>
    <row r="127" spans="1:58" s="3399" customFormat="1" ht="42.75">
      <c r="A127" s="3414" t="s">
        <v>3526</v>
      </c>
      <c r="B127" s="3414" t="s">
        <v>3527</v>
      </c>
      <c r="C127" s="3414" t="s">
        <v>3528</v>
      </c>
      <c r="D127" s="3491"/>
      <c r="E127" s="3414" t="s">
        <v>3215</v>
      </c>
      <c r="F127" s="3414" t="s">
        <v>3216</v>
      </c>
      <c r="G127" s="3413" t="s">
        <v>3152</v>
      </c>
      <c r="H127" s="3414" t="s">
        <v>3529</v>
      </c>
      <c r="I127" s="3449">
        <v>0.06</v>
      </c>
      <c r="J127" s="3450">
        <v>42619</v>
      </c>
      <c r="K127" s="3485">
        <v>42629</v>
      </c>
      <c r="L127" s="3429">
        <v>43723</v>
      </c>
      <c r="M127" s="3430">
        <v>12</v>
      </c>
      <c r="N127" s="3414" t="s">
        <v>3154</v>
      </c>
      <c r="O127" s="3413" t="s">
        <v>3363</v>
      </c>
      <c r="P127" s="3413" t="s">
        <v>3437</v>
      </c>
      <c r="Q127" s="3489" t="s">
        <v>3530</v>
      </c>
      <c r="R127" s="3420">
        <v>1</v>
      </c>
      <c r="S127" s="3420">
        <v>85.31</v>
      </c>
      <c r="T127" s="3490">
        <v>85.31</v>
      </c>
      <c r="U127" s="3420">
        <v>35</v>
      </c>
      <c r="V127" s="3414" t="s">
        <v>3158</v>
      </c>
      <c r="W127" s="3432" t="s">
        <v>3218</v>
      </c>
      <c r="X127" s="3422">
        <f t="shared" si="24"/>
        <v>2986</v>
      </c>
      <c r="Y127" s="3422">
        <f t="shared" si="25"/>
        <v>1.1667252764427771</v>
      </c>
      <c r="Z127" s="3433">
        <f t="shared" si="35"/>
        <v>1.1667252764427771</v>
      </c>
      <c r="AA127" s="3423">
        <f t="shared" si="26"/>
        <v>13038.87</v>
      </c>
      <c r="AB127" s="3407">
        <f t="shared" si="37"/>
        <v>1.2367287930293438</v>
      </c>
      <c r="AC127" s="3404">
        <f t="shared" si="27"/>
        <v>38509.449999999997</v>
      </c>
      <c r="AD127" s="3446">
        <f t="shared" si="38"/>
        <v>1.3109325206111044</v>
      </c>
      <c r="AE127" s="3404">
        <f t="shared" si="28"/>
        <v>40820.01</v>
      </c>
      <c r="AF127" s="3446">
        <v>2.2000000000000002</v>
      </c>
      <c r="AG127" s="3404">
        <f t="shared" si="29"/>
        <v>68503.929999999993</v>
      </c>
      <c r="AH127" s="3447">
        <f t="shared" si="36"/>
        <v>2.2549999999999999</v>
      </c>
      <c r="AI127" s="3399">
        <f t="shared" si="30"/>
        <v>70216.53</v>
      </c>
      <c r="AJ127" s="3404">
        <f t="shared" si="34"/>
        <v>2.3113749999999995</v>
      </c>
      <c r="AK127" s="3404">
        <f t="shared" si="31"/>
        <v>71971.94</v>
      </c>
      <c r="AL127" s="3404">
        <f t="shared" si="33"/>
        <v>2.3691593749999993</v>
      </c>
      <c r="AM127" s="3404">
        <f t="shared" si="32"/>
        <v>73771.240000000005</v>
      </c>
      <c r="AN127" s="3404"/>
      <c r="AO127" s="3404"/>
      <c r="AP127" s="3404"/>
      <c r="AQ127" s="3404"/>
      <c r="AR127" s="3404"/>
      <c r="AS127" s="3404"/>
      <c r="AT127" s="3404"/>
      <c r="AU127" s="3404"/>
      <c r="AV127" s="3404"/>
      <c r="AW127" s="3404"/>
      <c r="AX127" s="3404"/>
      <c r="AY127" s="3404"/>
      <c r="AZ127" s="3404"/>
      <c r="BA127" s="3404"/>
      <c r="BB127" s="3404"/>
      <c r="BC127" s="3404"/>
      <c r="BD127" s="3404"/>
      <c r="BE127" s="3404"/>
      <c r="BF127" s="3404"/>
    </row>
    <row r="128" spans="1:58" s="3399" customFormat="1" ht="42.75">
      <c r="A128" s="3414" t="s">
        <v>3526</v>
      </c>
      <c r="B128" s="3414" t="s">
        <v>3527</v>
      </c>
      <c r="C128" s="3414" t="s">
        <v>3528</v>
      </c>
      <c r="D128" s="3491"/>
      <c r="E128" s="3414" t="s">
        <v>3215</v>
      </c>
      <c r="F128" s="3414" t="s">
        <v>3216</v>
      </c>
      <c r="G128" s="3413" t="s">
        <v>3152</v>
      </c>
      <c r="H128" s="3414" t="s">
        <v>3529</v>
      </c>
      <c r="I128" s="3449">
        <v>0.06</v>
      </c>
      <c r="J128" s="3450">
        <v>42619</v>
      </c>
      <c r="K128" s="3485">
        <v>42629</v>
      </c>
      <c r="L128" s="3429">
        <v>43723</v>
      </c>
      <c r="M128" s="3430">
        <v>12</v>
      </c>
      <c r="N128" s="3414" t="s">
        <v>3154</v>
      </c>
      <c r="O128" s="3413" t="s">
        <v>3363</v>
      </c>
      <c r="P128" s="3413" t="s">
        <v>3437</v>
      </c>
      <c r="Q128" s="3489" t="s">
        <v>3530</v>
      </c>
      <c r="R128" s="3420">
        <v>1</v>
      </c>
      <c r="S128" s="3420">
        <v>85.31</v>
      </c>
      <c r="T128" s="3490">
        <v>85.31</v>
      </c>
      <c r="U128" s="3420">
        <v>35</v>
      </c>
      <c r="V128" s="3414" t="s">
        <v>3158</v>
      </c>
      <c r="W128" s="3432" t="s">
        <v>3159</v>
      </c>
      <c r="X128" s="3422">
        <f t="shared" si="24"/>
        <v>2986</v>
      </c>
      <c r="Y128" s="3422">
        <f t="shared" si="25"/>
        <v>1.1667252764427771</v>
      </c>
      <c r="Z128" s="3433">
        <f t="shared" si="35"/>
        <v>1.1667252764427771</v>
      </c>
      <c r="AA128" s="3423">
        <f t="shared" si="26"/>
        <v>13038.87</v>
      </c>
      <c r="AB128" s="3407">
        <f t="shared" si="37"/>
        <v>1.2367287930293438</v>
      </c>
      <c r="AC128" s="3404">
        <f t="shared" si="27"/>
        <v>38509.449999999997</v>
      </c>
      <c r="AD128" s="3446">
        <f t="shared" si="38"/>
        <v>1.3109325206111044</v>
      </c>
      <c r="AE128" s="3404">
        <f t="shared" si="28"/>
        <v>40820.01</v>
      </c>
      <c r="AF128" s="3446">
        <v>2.2000000000000002</v>
      </c>
      <c r="AG128" s="3404">
        <f t="shared" si="29"/>
        <v>68503.929999999993</v>
      </c>
      <c r="AH128" s="3447">
        <f t="shared" si="36"/>
        <v>2.2549999999999999</v>
      </c>
      <c r="AI128" s="3399">
        <f t="shared" si="30"/>
        <v>70216.53</v>
      </c>
      <c r="AJ128" s="3404">
        <f t="shared" si="34"/>
        <v>2.3113749999999995</v>
      </c>
      <c r="AK128" s="3404">
        <f t="shared" si="31"/>
        <v>71971.94</v>
      </c>
      <c r="AL128" s="3404">
        <f t="shared" si="33"/>
        <v>2.3691593749999993</v>
      </c>
      <c r="AM128" s="3404">
        <f t="shared" si="32"/>
        <v>73771.240000000005</v>
      </c>
      <c r="AN128" s="3404"/>
      <c r="AO128" s="3404"/>
      <c r="AP128" s="3404"/>
      <c r="AQ128" s="3404"/>
      <c r="AR128" s="3404"/>
      <c r="AS128" s="3404"/>
      <c r="AT128" s="3404"/>
      <c r="AU128" s="3404"/>
      <c r="AV128" s="3404"/>
      <c r="AW128" s="3404"/>
      <c r="AX128" s="3404"/>
      <c r="AY128" s="3404"/>
      <c r="AZ128" s="3404"/>
      <c r="BA128" s="3404"/>
      <c r="BB128" s="3404"/>
      <c r="BC128" s="3404"/>
      <c r="BD128" s="3404"/>
      <c r="BE128" s="3404"/>
      <c r="BF128" s="3404"/>
    </row>
    <row r="129" spans="1:58" s="3399" customFormat="1" ht="42.75">
      <c r="A129" s="3414" t="s">
        <v>3531</v>
      </c>
      <c r="B129" s="3414" t="s">
        <v>3532</v>
      </c>
      <c r="C129" s="3414" t="s">
        <v>3533</v>
      </c>
      <c r="D129" s="3414" t="s">
        <v>3534</v>
      </c>
      <c r="E129" s="3414" t="s">
        <v>3215</v>
      </c>
      <c r="F129" s="3414" t="s">
        <v>3216</v>
      </c>
      <c r="G129" s="3413" t="s">
        <v>3152</v>
      </c>
      <c r="H129" s="3414" t="s">
        <v>3519</v>
      </c>
      <c r="I129" s="3449">
        <v>0.06</v>
      </c>
      <c r="J129" s="3450">
        <v>42620</v>
      </c>
      <c r="K129" s="3485">
        <v>42644</v>
      </c>
      <c r="L129" s="3429">
        <v>43738</v>
      </c>
      <c r="M129" s="3430">
        <v>12</v>
      </c>
      <c r="N129" s="3414" t="s">
        <v>3154</v>
      </c>
      <c r="O129" s="3413" t="s">
        <v>3363</v>
      </c>
      <c r="P129" s="3414" t="s">
        <v>3460</v>
      </c>
      <c r="Q129" s="3489" t="s">
        <v>3535</v>
      </c>
      <c r="R129" s="3420">
        <v>1</v>
      </c>
      <c r="S129" s="3420">
        <v>85.04</v>
      </c>
      <c r="T129" s="3490">
        <v>85.04</v>
      </c>
      <c r="U129" s="3420">
        <v>35</v>
      </c>
      <c r="V129" s="3414" t="s">
        <v>3158</v>
      </c>
      <c r="W129" s="3432" t="s">
        <v>3218</v>
      </c>
      <c r="X129" s="3422">
        <f t="shared" si="24"/>
        <v>2976</v>
      </c>
      <c r="Y129" s="3422">
        <f t="shared" si="25"/>
        <v>1.1665098777046095</v>
      </c>
      <c r="Z129" s="3433">
        <f t="shared" si="35"/>
        <v>1.1665098777046095</v>
      </c>
      <c r="AA129" s="3423">
        <f t="shared" si="26"/>
        <v>12995.2</v>
      </c>
      <c r="AB129" s="3407">
        <f t="shared" si="37"/>
        <v>1.236500470366886</v>
      </c>
      <c r="AC129" s="3404">
        <f t="shared" si="27"/>
        <v>38380.480000000003</v>
      </c>
      <c r="AD129" s="3446">
        <f t="shared" si="38"/>
        <v>1.3106904985888992</v>
      </c>
      <c r="AE129" s="3404">
        <f t="shared" si="28"/>
        <v>40683.31</v>
      </c>
      <c r="AF129" s="3446">
        <v>2.2000000000000002</v>
      </c>
      <c r="AG129" s="3404">
        <f t="shared" si="29"/>
        <v>68287.12</v>
      </c>
      <c r="AH129" s="3447">
        <f t="shared" si="36"/>
        <v>2.2549999999999999</v>
      </c>
      <c r="AI129" s="3399">
        <f t="shared" si="30"/>
        <v>69994.3</v>
      </c>
      <c r="AJ129" s="3404">
        <f t="shared" si="34"/>
        <v>2.3113749999999995</v>
      </c>
      <c r="AK129" s="3404">
        <f t="shared" si="31"/>
        <v>71744.160000000003</v>
      </c>
      <c r="AL129" s="3404">
        <f t="shared" si="33"/>
        <v>2.3691593749999993</v>
      </c>
      <c r="AM129" s="3404">
        <f t="shared" si="32"/>
        <v>73537.759999999995</v>
      </c>
      <c r="AN129" s="3404"/>
      <c r="AO129" s="3404"/>
      <c r="AP129" s="3404"/>
      <c r="AQ129" s="3404"/>
      <c r="AR129" s="3404"/>
      <c r="AS129" s="3404"/>
      <c r="AT129" s="3404"/>
      <c r="AU129" s="3404"/>
      <c r="AV129" s="3404"/>
      <c r="AW129" s="3404"/>
      <c r="AX129" s="3404"/>
      <c r="AY129" s="3404"/>
      <c r="AZ129" s="3404"/>
      <c r="BA129" s="3404"/>
      <c r="BB129" s="3404"/>
      <c r="BC129" s="3404"/>
      <c r="BD129" s="3404"/>
      <c r="BE129" s="3404"/>
      <c r="BF129" s="3404"/>
    </row>
    <row r="130" spans="1:58" s="3399" customFormat="1" ht="42.75">
      <c r="A130" s="3414" t="s">
        <v>3531</v>
      </c>
      <c r="B130" s="3414" t="s">
        <v>3532</v>
      </c>
      <c r="C130" s="3414" t="s">
        <v>3533</v>
      </c>
      <c r="D130" s="3414" t="s">
        <v>3534</v>
      </c>
      <c r="E130" s="3414" t="s">
        <v>3215</v>
      </c>
      <c r="F130" s="3414" t="s">
        <v>3216</v>
      </c>
      <c r="G130" s="3413" t="s">
        <v>3152</v>
      </c>
      <c r="H130" s="3414" t="s">
        <v>3519</v>
      </c>
      <c r="I130" s="3449">
        <v>0.06</v>
      </c>
      <c r="J130" s="3450">
        <v>42620</v>
      </c>
      <c r="K130" s="3485">
        <v>42644</v>
      </c>
      <c r="L130" s="3429">
        <v>43738</v>
      </c>
      <c r="M130" s="3430">
        <v>12</v>
      </c>
      <c r="N130" s="3414" t="s">
        <v>3154</v>
      </c>
      <c r="O130" s="3413" t="s">
        <v>3363</v>
      </c>
      <c r="P130" s="3414" t="s">
        <v>3460</v>
      </c>
      <c r="Q130" s="3489" t="s">
        <v>3535</v>
      </c>
      <c r="R130" s="3420">
        <v>1</v>
      </c>
      <c r="S130" s="3420">
        <v>85.04</v>
      </c>
      <c r="T130" s="3490">
        <v>85.04</v>
      </c>
      <c r="U130" s="3420">
        <v>36.5</v>
      </c>
      <c r="V130" s="3414" t="s">
        <v>3158</v>
      </c>
      <c r="W130" s="3432" t="s">
        <v>3159</v>
      </c>
      <c r="X130" s="3422">
        <f t="shared" si="24"/>
        <v>3104</v>
      </c>
      <c r="Y130" s="3422">
        <f t="shared" si="25"/>
        <v>1.2166823455628724</v>
      </c>
      <c r="Z130" s="3433">
        <f t="shared" si="35"/>
        <v>1.2166823455628724</v>
      </c>
      <c r="AA130" s="3423">
        <f t="shared" si="26"/>
        <v>13554.13</v>
      </c>
      <c r="AB130" s="3407">
        <f t="shared" si="37"/>
        <v>1.2896832862966447</v>
      </c>
      <c r="AC130" s="3404">
        <f t="shared" si="27"/>
        <v>40031.25</v>
      </c>
      <c r="AD130" s="3446">
        <f t="shared" si="38"/>
        <v>1.3670642834744435</v>
      </c>
      <c r="AE130" s="3404">
        <f t="shared" si="28"/>
        <v>42433.13</v>
      </c>
      <c r="AF130" s="3446">
        <v>2.2000000000000002</v>
      </c>
      <c r="AG130" s="3404">
        <f t="shared" si="29"/>
        <v>68287.12</v>
      </c>
      <c r="AH130" s="3447">
        <f t="shared" si="36"/>
        <v>2.2549999999999999</v>
      </c>
      <c r="AI130" s="3399">
        <f t="shared" si="30"/>
        <v>69994.3</v>
      </c>
      <c r="AJ130" s="3404">
        <f t="shared" si="34"/>
        <v>2.3113749999999995</v>
      </c>
      <c r="AK130" s="3404">
        <f t="shared" si="31"/>
        <v>71744.160000000003</v>
      </c>
      <c r="AL130" s="3404">
        <f t="shared" si="33"/>
        <v>2.3691593749999993</v>
      </c>
      <c r="AM130" s="3404">
        <f t="shared" si="32"/>
        <v>73537.759999999995</v>
      </c>
      <c r="AN130" s="3404"/>
      <c r="AO130" s="3404"/>
      <c r="AP130" s="3404"/>
      <c r="AQ130" s="3404"/>
      <c r="AR130" s="3404"/>
      <c r="AS130" s="3404"/>
      <c r="AT130" s="3404"/>
      <c r="AU130" s="3404"/>
      <c r="AV130" s="3404"/>
      <c r="AW130" s="3404"/>
      <c r="AX130" s="3404"/>
      <c r="AY130" s="3404"/>
      <c r="AZ130" s="3404"/>
      <c r="BA130" s="3404"/>
      <c r="BB130" s="3404"/>
      <c r="BC130" s="3404"/>
      <c r="BD130" s="3404"/>
      <c r="BE130" s="3404"/>
      <c r="BF130" s="3404"/>
    </row>
    <row r="131" spans="1:58" s="3399" customFormat="1" ht="42.75">
      <c r="A131" s="3414" t="s">
        <v>3536</v>
      </c>
      <c r="B131" s="3469" t="s">
        <v>3537</v>
      </c>
      <c r="C131" s="3414" t="s">
        <v>3538</v>
      </c>
      <c r="D131" s="3414"/>
      <c r="E131" s="3413" t="s">
        <v>3215</v>
      </c>
      <c r="F131" s="3414" t="s">
        <v>3216</v>
      </c>
      <c r="G131" s="3413" t="s">
        <v>3152</v>
      </c>
      <c r="H131" s="3414" t="s">
        <v>3519</v>
      </c>
      <c r="I131" s="3449">
        <v>0.06</v>
      </c>
      <c r="J131" s="3450">
        <v>42624</v>
      </c>
      <c r="K131" s="3416">
        <v>42644</v>
      </c>
      <c r="L131" s="3417">
        <v>43738</v>
      </c>
      <c r="M131" s="3418">
        <v>6</v>
      </c>
      <c r="N131" s="3414" t="s">
        <v>3154</v>
      </c>
      <c r="O131" s="3413" t="s">
        <v>3155</v>
      </c>
      <c r="P131" s="3414" t="s">
        <v>3247</v>
      </c>
      <c r="Q131" s="3414" t="s">
        <v>3539</v>
      </c>
      <c r="R131" s="3420">
        <v>1</v>
      </c>
      <c r="S131" s="3419">
        <v>30.49</v>
      </c>
      <c r="T131" s="3420">
        <v>30.49</v>
      </c>
      <c r="U131" s="3419">
        <v>50</v>
      </c>
      <c r="V131" s="3414" t="s">
        <v>3158</v>
      </c>
      <c r="W131" s="3432" t="s">
        <v>3218</v>
      </c>
      <c r="X131" s="3422">
        <f t="shared" si="24"/>
        <v>1525</v>
      </c>
      <c r="Y131" s="3422">
        <f t="shared" si="25"/>
        <v>1.6672132939761672</v>
      </c>
      <c r="Z131" s="3433">
        <f t="shared" si="35"/>
        <v>1.6672132939761672</v>
      </c>
      <c r="AA131" s="3423">
        <f t="shared" si="26"/>
        <v>6659.17</v>
      </c>
      <c r="AB131" s="3407">
        <f t="shared" si="37"/>
        <v>1.7672460916147374</v>
      </c>
      <c r="AC131" s="3404">
        <f t="shared" si="27"/>
        <v>19667.419999999998</v>
      </c>
      <c r="AD131" s="3446">
        <f t="shared" si="38"/>
        <v>1.8732808571116217</v>
      </c>
      <c r="AE131" s="3404">
        <f t="shared" si="28"/>
        <v>20847.46</v>
      </c>
      <c r="AF131" s="3446">
        <v>2.2000000000000002</v>
      </c>
      <c r="AG131" s="3404">
        <f t="shared" si="29"/>
        <v>24483.47</v>
      </c>
      <c r="AH131" s="3447">
        <f t="shared" si="36"/>
        <v>2.2549999999999999</v>
      </c>
      <c r="AI131" s="3399">
        <f t="shared" si="30"/>
        <v>25095.56</v>
      </c>
      <c r="AJ131" s="3404">
        <f t="shared" si="34"/>
        <v>2.3113749999999995</v>
      </c>
      <c r="AK131" s="3404">
        <f t="shared" si="31"/>
        <v>25722.95</v>
      </c>
      <c r="AL131" s="3404">
        <f t="shared" si="33"/>
        <v>2.3691593749999993</v>
      </c>
      <c r="AM131" s="3404">
        <f t="shared" si="32"/>
        <v>26366.02</v>
      </c>
      <c r="AN131" s="3404"/>
      <c r="AO131" s="3404"/>
      <c r="AP131" s="3404"/>
      <c r="AQ131" s="3404"/>
      <c r="AR131" s="3404"/>
      <c r="AS131" s="3404"/>
      <c r="AT131" s="3404"/>
      <c r="AU131" s="3404"/>
      <c r="AV131" s="3404"/>
      <c r="AW131" s="3404"/>
      <c r="AX131" s="3404"/>
      <c r="AY131" s="3404"/>
      <c r="AZ131" s="3404"/>
      <c r="BA131" s="3404"/>
      <c r="BB131" s="3404"/>
      <c r="BC131" s="3404"/>
      <c r="BD131" s="3404"/>
      <c r="BE131" s="3404"/>
      <c r="BF131" s="3404"/>
    </row>
    <row r="132" spans="1:58" s="3399" customFormat="1" ht="42.75">
      <c r="A132" s="3414" t="s">
        <v>3536</v>
      </c>
      <c r="B132" s="3469" t="s">
        <v>3537</v>
      </c>
      <c r="C132" s="3414" t="s">
        <v>3538</v>
      </c>
      <c r="D132" s="3414"/>
      <c r="E132" s="3413" t="s">
        <v>3215</v>
      </c>
      <c r="F132" s="3414" t="s">
        <v>3216</v>
      </c>
      <c r="G132" s="3413" t="s">
        <v>3152</v>
      </c>
      <c r="H132" s="3414" t="s">
        <v>3519</v>
      </c>
      <c r="I132" s="3449">
        <v>0.06</v>
      </c>
      <c r="J132" s="3450">
        <v>42624</v>
      </c>
      <c r="K132" s="3416">
        <v>42644</v>
      </c>
      <c r="L132" s="3417">
        <v>43738</v>
      </c>
      <c r="M132" s="3418">
        <v>6</v>
      </c>
      <c r="N132" s="3414" t="s">
        <v>3154</v>
      </c>
      <c r="O132" s="3413" t="s">
        <v>3155</v>
      </c>
      <c r="P132" s="3414" t="s">
        <v>3247</v>
      </c>
      <c r="Q132" s="3414" t="s">
        <v>3539</v>
      </c>
      <c r="R132" s="3420">
        <v>1</v>
      </c>
      <c r="S132" s="3419">
        <v>30.49</v>
      </c>
      <c r="T132" s="3420">
        <v>30.49</v>
      </c>
      <c r="U132" s="3419">
        <v>50</v>
      </c>
      <c r="V132" s="3414" t="s">
        <v>3158</v>
      </c>
      <c r="W132" s="3432" t="s">
        <v>3159</v>
      </c>
      <c r="X132" s="3422">
        <f t="shared" si="24"/>
        <v>1525</v>
      </c>
      <c r="Y132" s="3422">
        <f t="shared" si="25"/>
        <v>1.6672132939761672</v>
      </c>
      <c r="Z132" s="3433">
        <f t="shared" si="35"/>
        <v>1.6672132939761672</v>
      </c>
      <c r="AA132" s="3423">
        <f t="shared" si="26"/>
        <v>6659.17</v>
      </c>
      <c r="AB132" s="3407">
        <f t="shared" si="37"/>
        <v>1.7672460916147374</v>
      </c>
      <c r="AC132" s="3404">
        <f t="shared" si="27"/>
        <v>19667.419999999998</v>
      </c>
      <c r="AD132" s="3446">
        <f t="shared" si="38"/>
        <v>1.8732808571116217</v>
      </c>
      <c r="AE132" s="3404">
        <f t="shared" si="28"/>
        <v>20847.46</v>
      </c>
      <c r="AF132" s="3446">
        <v>2.2000000000000002</v>
      </c>
      <c r="AG132" s="3404">
        <f t="shared" si="29"/>
        <v>24483.47</v>
      </c>
      <c r="AH132" s="3447">
        <f t="shared" si="36"/>
        <v>2.2549999999999999</v>
      </c>
      <c r="AI132" s="3399">
        <f t="shared" si="30"/>
        <v>25095.56</v>
      </c>
      <c r="AJ132" s="3404">
        <f t="shared" si="34"/>
        <v>2.3113749999999995</v>
      </c>
      <c r="AK132" s="3404">
        <f t="shared" si="31"/>
        <v>25722.95</v>
      </c>
      <c r="AL132" s="3404">
        <f t="shared" si="33"/>
        <v>2.3691593749999993</v>
      </c>
      <c r="AM132" s="3404">
        <f t="shared" si="32"/>
        <v>26366.02</v>
      </c>
      <c r="AN132" s="3404"/>
      <c r="AO132" s="3404"/>
      <c r="AP132" s="3404"/>
      <c r="AQ132" s="3404"/>
      <c r="AR132" s="3404"/>
      <c r="AS132" s="3404"/>
      <c r="AT132" s="3404"/>
      <c r="AU132" s="3404"/>
      <c r="AV132" s="3404"/>
      <c r="AW132" s="3404"/>
      <c r="AX132" s="3404"/>
      <c r="AY132" s="3404"/>
      <c r="AZ132" s="3404"/>
      <c r="BA132" s="3404"/>
      <c r="BB132" s="3404"/>
      <c r="BC132" s="3404"/>
      <c r="BD132" s="3404"/>
      <c r="BE132" s="3404"/>
      <c r="BF132" s="3404"/>
    </row>
    <row r="133" spans="1:58" s="3399" customFormat="1" ht="42.75">
      <c r="A133" s="3414" t="s">
        <v>3540</v>
      </c>
      <c r="B133" s="3414" t="s">
        <v>3541</v>
      </c>
      <c r="C133" s="3414" t="s">
        <v>3542</v>
      </c>
      <c r="D133" s="3414"/>
      <c r="E133" s="3414" t="s">
        <v>3215</v>
      </c>
      <c r="F133" s="3414" t="s">
        <v>3216</v>
      </c>
      <c r="G133" s="3413" t="s">
        <v>3152</v>
      </c>
      <c r="H133" s="3492" t="s">
        <v>3543</v>
      </c>
      <c r="I133" s="3449">
        <v>0.06</v>
      </c>
      <c r="J133" s="3450">
        <v>42653</v>
      </c>
      <c r="K133" s="3485">
        <v>42675</v>
      </c>
      <c r="L133" s="3429">
        <v>43769</v>
      </c>
      <c r="M133" s="3430">
        <v>12</v>
      </c>
      <c r="N133" s="3414" t="s">
        <v>3154</v>
      </c>
      <c r="O133" s="3413" t="s">
        <v>3363</v>
      </c>
      <c r="P133" s="3414" t="s">
        <v>3364</v>
      </c>
      <c r="Q133" s="3489" t="s">
        <v>3544</v>
      </c>
      <c r="R133" s="3420">
        <v>1</v>
      </c>
      <c r="S133" s="3420">
        <v>88.24</v>
      </c>
      <c r="T133" s="3420">
        <v>88.24</v>
      </c>
      <c r="U133" s="3420">
        <v>35</v>
      </c>
      <c r="V133" s="3414" t="s">
        <v>3158</v>
      </c>
      <c r="W133" s="3432" t="s">
        <v>3218</v>
      </c>
      <c r="X133" s="3422">
        <f t="shared" si="24"/>
        <v>3088</v>
      </c>
      <c r="Y133" s="3422">
        <f t="shared" si="25"/>
        <v>1.1665155636143851</v>
      </c>
      <c r="Z133" s="3433">
        <f t="shared" si="35"/>
        <v>1.1665155636143851</v>
      </c>
      <c r="AA133" s="3423">
        <f t="shared" si="26"/>
        <v>13484.27</v>
      </c>
      <c r="AB133" s="3407">
        <f t="shared" si="37"/>
        <v>1.2365064974312483</v>
      </c>
      <c r="AC133" s="3404">
        <f t="shared" si="27"/>
        <v>39824.910000000003</v>
      </c>
      <c r="AD133" s="3446">
        <f t="shared" si="38"/>
        <v>1.3106968872771232</v>
      </c>
      <c r="AE133" s="3404">
        <f t="shared" si="28"/>
        <v>42214.400000000001</v>
      </c>
      <c r="AF133" s="3446">
        <v>2.2000000000000002</v>
      </c>
      <c r="AG133" s="3404">
        <f t="shared" si="29"/>
        <v>70856.72</v>
      </c>
      <c r="AH133" s="3447">
        <f t="shared" si="36"/>
        <v>2.2549999999999999</v>
      </c>
      <c r="AI133" s="3399">
        <f t="shared" si="30"/>
        <v>72628.14</v>
      </c>
      <c r="AJ133" s="3404">
        <f t="shared" si="34"/>
        <v>2.3113749999999995</v>
      </c>
      <c r="AK133" s="3404">
        <f t="shared" si="31"/>
        <v>74443.839999999997</v>
      </c>
      <c r="AL133" s="3404">
        <f t="shared" si="33"/>
        <v>2.3691593749999993</v>
      </c>
      <c r="AM133" s="3404">
        <f t="shared" si="32"/>
        <v>76304.94</v>
      </c>
      <c r="AN133" s="3404"/>
      <c r="AO133" s="3404"/>
      <c r="AP133" s="3404"/>
      <c r="AQ133" s="3404"/>
      <c r="AR133" s="3404"/>
      <c r="AS133" s="3404"/>
      <c r="AT133" s="3404"/>
      <c r="AU133" s="3404"/>
      <c r="AV133" s="3404"/>
      <c r="AW133" s="3404"/>
      <c r="AX133" s="3404"/>
      <c r="AY133" s="3404"/>
      <c r="AZ133" s="3404"/>
      <c r="BA133" s="3404"/>
      <c r="BB133" s="3404"/>
      <c r="BC133" s="3404"/>
      <c r="BD133" s="3404"/>
      <c r="BE133" s="3404"/>
      <c r="BF133" s="3404"/>
    </row>
    <row r="134" spans="1:58" s="3399" customFormat="1" ht="42.75">
      <c r="A134" s="3414" t="s">
        <v>3540</v>
      </c>
      <c r="B134" s="3414" t="s">
        <v>3541</v>
      </c>
      <c r="C134" s="3414" t="s">
        <v>3542</v>
      </c>
      <c r="D134" s="3414"/>
      <c r="E134" s="3414" t="s">
        <v>3215</v>
      </c>
      <c r="F134" s="3414" t="s">
        <v>3216</v>
      </c>
      <c r="G134" s="3413" t="s">
        <v>3152</v>
      </c>
      <c r="H134" s="3492" t="s">
        <v>3543</v>
      </c>
      <c r="I134" s="3449">
        <v>0.06</v>
      </c>
      <c r="J134" s="3450">
        <v>42653</v>
      </c>
      <c r="K134" s="3485">
        <v>42675</v>
      </c>
      <c r="L134" s="3429">
        <v>43769</v>
      </c>
      <c r="M134" s="3430">
        <v>12</v>
      </c>
      <c r="N134" s="3414" t="s">
        <v>3154</v>
      </c>
      <c r="O134" s="3413" t="s">
        <v>3363</v>
      </c>
      <c r="P134" s="3414" t="s">
        <v>3364</v>
      </c>
      <c r="Q134" s="3489" t="s">
        <v>3544</v>
      </c>
      <c r="R134" s="3420">
        <v>1</v>
      </c>
      <c r="S134" s="3420">
        <v>88.24</v>
      </c>
      <c r="T134" s="3420">
        <v>88.24</v>
      </c>
      <c r="U134" s="3420">
        <v>35</v>
      </c>
      <c r="V134" s="3414" t="s">
        <v>3158</v>
      </c>
      <c r="W134" s="3432" t="s">
        <v>3159</v>
      </c>
      <c r="X134" s="3422">
        <f t="shared" ref="X134:X197" si="39">ROUND(T134*U134,0)</f>
        <v>3088</v>
      </c>
      <c r="Y134" s="3422">
        <f t="shared" ref="Y134:Y197" si="40">X134/T134/30</f>
        <v>1.1665155636143851</v>
      </c>
      <c r="Z134" s="3433">
        <f t="shared" si="35"/>
        <v>1.1665155636143851</v>
      </c>
      <c r="AA134" s="3423">
        <f t="shared" ref="AA134:AA197" si="41">ROUND(Z134*T134*$AA$1,2)</f>
        <v>13484.27</v>
      </c>
      <c r="AB134" s="3407">
        <f t="shared" si="37"/>
        <v>1.2365064974312483</v>
      </c>
      <c r="AC134" s="3404">
        <f t="shared" ref="AC134:AC197" si="42">ROUND(AB134*T134*$AC$1,2)</f>
        <v>39824.910000000003</v>
      </c>
      <c r="AD134" s="3446">
        <f t="shared" si="38"/>
        <v>1.3106968872771232</v>
      </c>
      <c r="AE134" s="3404">
        <f t="shared" ref="AE134:AE197" si="43">ROUND(AD134*T134*$AE$1,2)</f>
        <v>42214.400000000001</v>
      </c>
      <c r="AF134" s="3446">
        <v>2.2000000000000002</v>
      </c>
      <c r="AG134" s="3404">
        <f t="shared" ref="AG134:AG197" si="44">ROUND(AF134*T134*$AG$1,2)</f>
        <v>70856.72</v>
      </c>
      <c r="AH134" s="3447">
        <f t="shared" si="36"/>
        <v>2.2549999999999999</v>
      </c>
      <c r="AI134" s="3399">
        <f t="shared" si="30"/>
        <v>72628.14</v>
      </c>
      <c r="AJ134" s="3404">
        <f t="shared" si="34"/>
        <v>2.3113749999999995</v>
      </c>
      <c r="AK134" s="3404">
        <f t="shared" si="31"/>
        <v>74443.839999999997</v>
      </c>
      <c r="AL134" s="3404">
        <f t="shared" si="33"/>
        <v>2.3691593749999993</v>
      </c>
      <c r="AM134" s="3404">
        <f t="shared" si="32"/>
        <v>76304.94</v>
      </c>
      <c r="AN134" s="3404"/>
      <c r="AO134" s="3404"/>
      <c r="AP134" s="3404"/>
      <c r="AQ134" s="3404"/>
      <c r="AR134" s="3404"/>
      <c r="AS134" s="3404"/>
      <c r="AT134" s="3404"/>
      <c r="AU134" s="3404"/>
      <c r="AV134" s="3404"/>
      <c r="AW134" s="3404"/>
      <c r="AX134" s="3404"/>
      <c r="AY134" s="3404"/>
      <c r="AZ134" s="3404"/>
      <c r="BA134" s="3404"/>
      <c r="BB134" s="3404"/>
      <c r="BC134" s="3404"/>
      <c r="BD134" s="3404"/>
      <c r="BE134" s="3404"/>
      <c r="BF134" s="3404"/>
    </row>
    <row r="135" spans="1:58" s="3399" customFormat="1" ht="42.75">
      <c r="A135" s="3414" t="s">
        <v>3545</v>
      </c>
      <c r="B135" s="3492" t="s">
        <v>3546</v>
      </c>
      <c r="C135" s="3492">
        <v>13590785317</v>
      </c>
      <c r="D135" s="3492" t="s">
        <v>3547</v>
      </c>
      <c r="E135" s="3492" t="s">
        <v>3215</v>
      </c>
      <c r="F135" s="3414" t="s">
        <v>3216</v>
      </c>
      <c r="G135" s="3413" t="s">
        <v>3152</v>
      </c>
      <c r="H135" s="3492" t="s">
        <v>3543</v>
      </c>
      <c r="I135" s="3449">
        <v>0.06</v>
      </c>
      <c r="J135" s="3493">
        <v>42652</v>
      </c>
      <c r="K135" s="3493">
        <v>42675</v>
      </c>
      <c r="L135" s="3494">
        <v>43768</v>
      </c>
      <c r="M135" s="3492">
        <v>6</v>
      </c>
      <c r="N135" s="3414" t="s">
        <v>3154</v>
      </c>
      <c r="O135" s="3413" t="s">
        <v>3155</v>
      </c>
      <c r="P135" s="3414" t="s">
        <v>3232</v>
      </c>
      <c r="Q135" s="3379" t="s">
        <v>3548</v>
      </c>
      <c r="R135" s="3420">
        <v>1</v>
      </c>
      <c r="S135" s="3492">
        <v>63.12</v>
      </c>
      <c r="T135" s="3492">
        <v>63.12</v>
      </c>
      <c r="U135" s="3492">
        <v>50</v>
      </c>
      <c r="V135" s="3414" t="s">
        <v>3158</v>
      </c>
      <c r="W135" s="3432" t="s">
        <v>3218</v>
      </c>
      <c r="X135" s="3422">
        <f t="shared" si="39"/>
        <v>3156</v>
      </c>
      <c r="Y135" s="3422">
        <f t="shared" si="40"/>
        <v>1.6666666666666667</v>
      </c>
      <c r="Z135" s="3433">
        <f t="shared" si="35"/>
        <v>1.6666666666666667</v>
      </c>
      <c r="AA135" s="3423">
        <f t="shared" si="41"/>
        <v>13781.2</v>
      </c>
      <c r="AB135" s="3407">
        <f t="shared" si="37"/>
        <v>1.7666666666666668</v>
      </c>
      <c r="AC135" s="3404">
        <f t="shared" si="42"/>
        <v>40701.879999999997</v>
      </c>
      <c r="AD135" s="3446">
        <f t="shared" si="38"/>
        <v>1.8726666666666669</v>
      </c>
      <c r="AE135" s="3404">
        <f t="shared" si="43"/>
        <v>43143.99</v>
      </c>
      <c r="AF135" s="3446">
        <v>2.2000000000000002</v>
      </c>
      <c r="AG135" s="3404">
        <f t="shared" si="44"/>
        <v>50685.36</v>
      </c>
      <c r="AH135" s="3447">
        <f t="shared" si="36"/>
        <v>2.2549999999999999</v>
      </c>
      <c r="AI135" s="3399">
        <f t="shared" ref="AI135:AI198" si="45">ROUND(AH135*T135*$AI$1,2)</f>
        <v>51952.49</v>
      </c>
      <c r="AJ135" s="3404">
        <f t="shared" si="34"/>
        <v>2.3113749999999995</v>
      </c>
      <c r="AK135" s="3404">
        <f t="shared" ref="AK135:AK198" si="46">ROUND(AJ135*T135*$AK$1,2)</f>
        <v>53251.31</v>
      </c>
      <c r="AL135" s="3404">
        <f t="shared" si="33"/>
        <v>2.3691593749999993</v>
      </c>
      <c r="AM135" s="3404">
        <f t="shared" ref="AM135:AM198" si="47">ROUND(AL135*T135*$AK$1,2)</f>
        <v>54582.59</v>
      </c>
      <c r="AN135" s="3404"/>
      <c r="AO135" s="3404"/>
      <c r="AP135" s="3404"/>
      <c r="AQ135" s="3404"/>
      <c r="AR135" s="3404"/>
      <c r="AS135" s="3404"/>
      <c r="AT135" s="3404"/>
      <c r="AU135" s="3404"/>
      <c r="AV135" s="3404"/>
      <c r="AW135" s="3404"/>
      <c r="AX135" s="3404"/>
      <c r="AY135" s="3404"/>
      <c r="AZ135" s="3404"/>
      <c r="BA135" s="3404"/>
      <c r="BB135" s="3404"/>
      <c r="BC135" s="3404"/>
      <c r="BD135" s="3404"/>
      <c r="BE135" s="3404"/>
      <c r="BF135" s="3404"/>
    </row>
    <row r="136" spans="1:58" s="3399" customFormat="1" ht="42.75">
      <c r="A136" s="3414" t="s">
        <v>3545</v>
      </c>
      <c r="B136" s="3492" t="s">
        <v>3546</v>
      </c>
      <c r="C136" s="3492">
        <v>13590785317</v>
      </c>
      <c r="D136" s="3492" t="s">
        <v>3547</v>
      </c>
      <c r="E136" s="3492" t="s">
        <v>3215</v>
      </c>
      <c r="F136" s="3414" t="s">
        <v>3216</v>
      </c>
      <c r="G136" s="3413" t="s">
        <v>3152</v>
      </c>
      <c r="H136" s="3492" t="s">
        <v>3543</v>
      </c>
      <c r="I136" s="3449">
        <v>0.06</v>
      </c>
      <c r="J136" s="3493">
        <v>42652</v>
      </c>
      <c r="K136" s="3493">
        <v>42675</v>
      </c>
      <c r="L136" s="3494">
        <v>43768</v>
      </c>
      <c r="M136" s="3492">
        <v>6</v>
      </c>
      <c r="N136" s="3414" t="s">
        <v>3154</v>
      </c>
      <c r="O136" s="3413" t="s">
        <v>3155</v>
      </c>
      <c r="P136" s="3414" t="s">
        <v>3232</v>
      </c>
      <c r="Q136" s="3379" t="s">
        <v>3548</v>
      </c>
      <c r="R136" s="3420">
        <v>1</v>
      </c>
      <c r="S136" s="3492">
        <v>63.12</v>
      </c>
      <c r="T136" s="3492">
        <v>63.12</v>
      </c>
      <c r="U136" s="3492">
        <v>50</v>
      </c>
      <c r="V136" s="3414" t="s">
        <v>3158</v>
      </c>
      <c r="W136" s="3432" t="s">
        <v>3159</v>
      </c>
      <c r="X136" s="3422">
        <f t="shared" si="39"/>
        <v>3156</v>
      </c>
      <c r="Y136" s="3422">
        <f t="shared" si="40"/>
        <v>1.6666666666666667</v>
      </c>
      <c r="Z136" s="3433">
        <f t="shared" si="35"/>
        <v>1.6666666666666667</v>
      </c>
      <c r="AA136" s="3423">
        <f t="shared" si="41"/>
        <v>13781.2</v>
      </c>
      <c r="AB136" s="3407">
        <f t="shared" si="37"/>
        <v>1.7666666666666668</v>
      </c>
      <c r="AC136" s="3404">
        <f t="shared" si="42"/>
        <v>40701.879999999997</v>
      </c>
      <c r="AD136" s="3446">
        <f t="shared" si="38"/>
        <v>1.8726666666666669</v>
      </c>
      <c r="AE136" s="3404">
        <f t="shared" si="43"/>
        <v>43143.99</v>
      </c>
      <c r="AF136" s="3446">
        <v>2.2000000000000002</v>
      </c>
      <c r="AG136" s="3404">
        <f t="shared" si="44"/>
        <v>50685.36</v>
      </c>
      <c r="AH136" s="3447">
        <f t="shared" si="36"/>
        <v>2.2549999999999999</v>
      </c>
      <c r="AI136" s="3399">
        <f t="shared" si="45"/>
        <v>51952.49</v>
      </c>
      <c r="AJ136" s="3404">
        <f t="shared" si="34"/>
        <v>2.3113749999999995</v>
      </c>
      <c r="AK136" s="3404">
        <f t="shared" si="46"/>
        <v>53251.31</v>
      </c>
      <c r="AL136" s="3404">
        <f t="shared" si="33"/>
        <v>2.3691593749999993</v>
      </c>
      <c r="AM136" s="3404">
        <f t="shared" si="47"/>
        <v>54582.59</v>
      </c>
      <c r="AN136" s="3404"/>
      <c r="AO136" s="3404"/>
      <c r="AP136" s="3404"/>
      <c r="AQ136" s="3404"/>
      <c r="AR136" s="3404"/>
      <c r="AS136" s="3404"/>
      <c r="AT136" s="3404"/>
      <c r="AU136" s="3404"/>
      <c r="AV136" s="3404"/>
      <c r="AW136" s="3404"/>
      <c r="AX136" s="3404"/>
      <c r="AY136" s="3404"/>
      <c r="AZ136" s="3404"/>
      <c r="BA136" s="3404"/>
      <c r="BB136" s="3404"/>
      <c r="BC136" s="3404"/>
      <c r="BD136" s="3404"/>
      <c r="BE136" s="3404"/>
      <c r="BF136" s="3404"/>
    </row>
    <row r="137" spans="1:58" s="3399" customFormat="1" ht="57">
      <c r="A137" s="3414" t="s">
        <v>3549</v>
      </c>
      <c r="B137" s="3414" t="s">
        <v>3550</v>
      </c>
      <c r="C137" s="3414" t="s">
        <v>3551</v>
      </c>
      <c r="D137" s="3414"/>
      <c r="E137" s="3414" t="s">
        <v>3215</v>
      </c>
      <c r="F137" s="3414" t="s">
        <v>3216</v>
      </c>
      <c r="G137" s="3413" t="s">
        <v>3152</v>
      </c>
      <c r="H137" s="3414" t="s">
        <v>3552</v>
      </c>
      <c r="I137" s="3449">
        <v>0.06</v>
      </c>
      <c r="J137" s="3450">
        <v>42685</v>
      </c>
      <c r="K137" s="3485">
        <v>42705</v>
      </c>
      <c r="L137" s="3429">
        <v>43799</v>
      </c>
      <c r="M137" s="3430">
        <v>12</v>
      </c>
      <c r="N137" s="3414" t="s">
        <v>3154</v>
      </c>
      <c r="O137" s="3413" t="s">
        <v>3363</v>
      </c>
      <c r="P137" s="3414" t="s">
        <v>3460</v>
      </c>
      <c r="Q137" s="3489" t="s">
        <v>3553</v>
      </c>
      <c r="R137" s="3420">
        <v>1</v>
      </c>
      <c r="S137" s="3420">
        <v>77.16</v>
      </c>
      <c r="T137" s="3490">
        <v>77.16</v>
      </c>
      <c r="U137" s="3420">
        <v>40</v>
      </c>
      <c r="V137" s="3414" t="s">
        <v>3158</v>
      </c>
      <c r="W137" s="3432" t="s">
        <v>3218</v>
      </c>
      <c r="X137" s="3422">
        <f t="shared" si="39"/>
        <v>3086</v>
      </c>
      <c r="Y137" s="3422">
        <f t="shared" si="40"/>
        <v>1.3331605322274063</v>
      </c>
      <c r="Z137" s="3433">
        <f t="shared" si="35"/>
        <v>1.3331605322274063</v>
      </c>
      <c r="AA137" s="3423">
        <f t="shared" si="41"/>
        <v>13475.53</v>
      </c>
      <c r="AB137" s="3407">
        <f t="shared" si="37"/>
        <v>1.4131501641610507</v>
      </c>
      <c r="AC137" s="3404">
        <f t="shared" si="42"/>
        <v>39799.11</v>
      </c>
      <c r="AD137" s="3446">
        <f t="shared" si="38"/>
        <v>1.4979391740107137</v>
      </c>
      <c r="AE137" s="3404">
        <f t="shared" si="43"/>
        <v>42187.06</v>
      </c>
      <c r="AF137" s="3446">
        <v>2.2000000000000002</v>
      </c>
      <c r="AG137" s="3404">
        <f t="shared" si="44"/>
        <v>61959.48</v>
      </c>
      <c r="AH137" s="3447">
        <f t="shared" si="36"/>
        <v>2.2549999999999999</v>
      </c>
      <c r="AI137" s="3399">
        <f t="shared" si="45"/>
        <v>63508.47</v>
      </c>
      <c r="AJ137" s="3404">
        <f t="shared" si="34"/>
        <v>2.3113749999999995</v>
      </c>
      <c r="AK137" s="3404">
        <f t="shared" si="46"/>
        <v>65096.18</v>
      </c>
      <c r="AL137" s="3404">
        <f t="shared" ref="AL137:AL189" si="48">AJ137*(1+$AH$1)</f>
        <v>2.3691593749999993</v>
      </c>
      <c r="AM137" s="3404">
        <f t="shared" si="47"/>
        <v>66723.58</v>
      </c>
      <c r="AN137" s="3404"/>
      <c r="AO137" s="3404"/>
      <c r="AP137" s="3404"/>
      <c r="AQ137" s="3404"/>
      <c r="AR137" s="3404"/>
      <c r="AS137" s="3404"/>
      <c r="AT137" s="3404"/>
      <c r="AU137" s="3404"/>
      <c r="AV137" s="3404"/>
      <c r="AW137" s="3404"/>
      <c r="AX137" s="3404"/>
      <c r="AY137" s="3404"/>
      <c r="AZ137" s="3404"/>
      <c r="BA137" s="3404"/>
      <c r="BB137" s="3404"/>
      <c r="BC137" s="3404"/>
      <c r="BD137" s="3404"/>
      <c r="BE137" s="3404"/>
      <c r="BF137" s="3404"/>
    </row>
    <row r="138" spans="1:58" s="3399" customFormat="1" ht="57">
      <c r="A138" s="3414" t="s">
        <v>3549</v>
      </c>
      <c r="B138" s="3414" t="s">
        <v>3550</v>
      </c>
      <c r="C138" s="3414" t="s">
        <v>3551</v>
      </c>
      <c r="D138" s="3414"/>
      <c r="E138" s="3414" t="s">
        <v>3215</v>
      </c>
      <c r="F138" s="3414" t="s">
        <v>3216</v>
      </c>
      <c r="G138" s="3413" t="s">
        <v>3152</v>
      </c>
      <c r="H138" s="3414" t="s">
        <v>3552</v>
      </c>
      <c r="I138" s="3449">
        <v>0.06</v>
      </c>
      <c r="J138" s="3450">
        <v>42685</v>
      </c>
      <c r="K138" s="3485">
        <v>42705</v>
      </c>
      <c r="L138" s="3429">
        <v>43799</v>
      </c>
      <c r="M138" s="3430">
        <v>12</v>
      </c>
      <c r="N138" s="3414" t="s">
        <v>3154</v>
      </c>
      <c r="O138" s="3413" t="s">
        <v>3363</v>
      </c>
      <c r="P138" s="3414" t="s">
        <v>3460</v>
      </c>
      <c r="Q138" s="3489" t="s">
        <v>3553</v>
      </c>
      <c r="R138" s="3420">
        <v>1</v>
      </c>
      <c r="S138" s="3420">
        <v>77.16</v>
      </c>
      <c r="T138" s="3490">
        <v>77.16</v>
      </c>
      <c r="U138" s="3420">
        <v>40</v>
      </c>
      <c r="V138" s="3414" t="s">
        <v>3158</v>
      </c>
      <c r="W138" s="3432" t="s">
        <v>3159</v>
      </c>
      <c r="X138" s="3422">
        <f t="shared" si="39"/>
        <v>3086</v>
      </c>
      <c r="Y138" s="3422">
        <f t="shared" si="40"/>
        <v>1.3331605322274063</v>
      </c>
      <c r="Z138" s="3433">
        <f t="shared" si="35"/>
        <v>1.3331605322274063</v>
      </c>
      <c r="AA138" s="3423">
        <f t="shared" si="41"/>
        <v>13475.53</v>
      </c>
      <c r="AB138" s="3407">
        <f t="shared" si="37"/>
        <v>1.4131501641610507</v>
      </c>
      <c r="AC138" s="3404">
        <f t="shared" si="42"/>
        <v>39799.11</v>
      </c>
      <c r="AD138" s="3446">
        <f t="shared" si="38"/>
        <v>1.4979391740107137</v>
      </c>
      <c r="AE138" s="3404">
        <f t="shared" si="43"/>
        <v>42187.06</v>
      </c>
      <c r="AF138" s="3446">
        <v>2.2000000000000002</v>
      </c>
      <c r="AG138" s="3404">
        <f t="shared" si="44"/>
        <v>61959.48</v>
      </c>
      <c r="AH138" s="3447">
        <f t="shared" si="36"/>
        <v>2.2549999999999999</v>
      </c>
      <c r="AI138" s="3399">
        <f t="shared" si="45"/>
        <v>63508.47</v>
      </c>
      <c r="AJ138" s="3404">
        <f t="shared" si="34"/>
        <v>2.3113749999999995</v>
      </c>
      <c r="AK138" s="3404">
        <f t="shared" si="46"/>
        <v>65096.18</v>
      </c>
      <c r="AL138" s="3404">
        <f t="shared" si="48"/>
        <v>2.3691593749999993</v>
      </c>
      <c r="AM138" s="3404">
        <f t="shared" si="47"/>
        <v>66723.58</v>
      </c>
      <c r="AN138" s="3404"/>
      <c r="AO138" s="3404"/>
      <c r="AP138" s="3404"/>
      <c r="AQ138" s="3404"/>
      <c r="AR138" s="3404"/>
      <c r="AS138" s="3404"/>
      <c r="AT138" s="3404"/>
      <c r="AU138" s="3404"/>
      <c r="AV138" s="3404"/>
      <c r="AW138" s="3404"/>
      <c r="AX138" s="3404"/>
      <c r="AY138" s="3404"/>
      <c r="AZ138" s="3404"/>
      <c r="BA138" s="3404"/>
      <c r="BB138" s="3404"/>
      <c r="BC138" s="3404"/>
      <c r="BD138" s="3404"/>
      <c r="BE138" s="3404"/>
      <c r="BF138" s="3404"/>
    </row>
    <row r="139" spans="1:58" s="3399" customFormat="1" ht="42.75">
      <c r="A139" s="3414" t="s">
        <v>3554</v>
      </c>
      <c r="B139" s="3414" t="s">
        <v>3555</v>
      </c>
      <c r="C139" s="3414" t="s">
        <v>3556</v>
      </c>
      <c r="D139" s="3414" t="s">
        <v>3557</v>
      </c>
      <c r="E139" s="3414" t="s">
        <v>3215</v>
      </c>
      <c r="F139" s="3414" t="s">
        <v>3216</v>
      </c>
      <c r="G139" s="3413" t="s">
        <v>3152</v>
      </c>
      <c r="H139" s="3414" t="s">
        <v>3558</v>
      </c>
      <c r="I139" s="3449">
        <v>0.06</v>
      </c>
      <c r="J139" s="3450">
        <v>42669</v>
      </c>
      <c r="K139" s="3485">
        <v>42690</v>
      </c>
      <c r="L139" s="3429">
        <v>43784</v>
      </c>
      <c r="M139" s="3430">
        <v>12</v>
      </c>
      <c r="N139" s="3414" t="s">
        <v>3170</v>
      </c>
      <c r="O139" s="3413" t="s">
        <v>3363</v>
      </c>
      <c r="P139" s="3414" t="s">
        <v>3460</v>
      </c>
      <c r="Q139" s="3489" t="s">
        <v>3559</v>
      </c>
      <c r="R139" s="3420">
        <v>1</v>
      </c>
      <c r="S139" s="3420">
        <v>125.44</v>
      </c>
      <c r="T139" s="3490">
        <v>125.44</v>
      </c>
      <c r="U139" s="3420">
        <v>33.25</v>
      </c>
      <c r="V139" s="3414" t="s">
        <v>3158</v>
      </c>
      <c r="W139" s="3432" t="s">
        <v>3218</v>
      </c>
      <c r="X139" s="3422">
        <f t="shared" si="39"/>
        <v>4171</v>
      </c>
      <c r="Y139" s="3422">
        <f t="shared" si="40"/>
        <v>1.1083652210884354</v>
      </c>
      <c r="Z139" s="3433">
        <f t="shared" si="35"/>
        <v>1.1083652210884354</v>
      </c>
      <c r="AA139" s="3423">
        <f t="shared" si="41"/>
        <v>18213.37</v>
      </c>
      <c r="AB139" s="3407">
        <f t="shared" si="37"/>
        <v>1.1748671343537416</v>
      </c>
      <c r="AC139" s="3404">
        <f t="shared" si="42"/>
        <v>53792</v>
      </c>
      <c r="AD139" s="3446">
        <f t="shared" si="38"/>
        <v>1.245359162414966</v>
      </c>
      <c r="AE139" s="3404">
        <f t="shared" si="43"/>
        <v>57019.519999999997</v>
      </c>
      <c r="AF139" s="3446">
        <v>2.2000000000000002</v>
      </c>
      <c r="AG139" s="3404">
        <f t="shared" si="44"/>
        <v>100728.32000000001</v>
      </c>
      <c r="AH139" s="3447">
        <f t="shared" si="36"/>
        <v>2.2549999999999999</v>
      </c>
      <c r="AI139" s="3399">
        <f t="shared" si="45"/>
        <v>103246.53</v>
      </c>
      <c r="AJ139" s="3404">
        <f t="shared" si="34"/>
        <v>2.3113749999999995</v>
      </c>
      <c r="AK139" s="3404">
        <f t="shared" si="46"/>
        <v>105827.69</v>
      </c>
      <c r="AL139" s="3404">
        <f t="shared" si="48"/>
        <v>2.3691593749999993</v>
      </c>
      <c r="AM139" s="3404">
        <f t="shared" si="47"/>
        <v>108473.38</v>
      </c>
      <c r="AN139" s="3404"/>
      <c r="AO139" s="3404"/>
      <c r="AP139" s="3404"/>
      <c r="AQ139" s="3404"/>
      <c r="AR139" s="3404"/>
      <c r="AS139" s="3404"/>
      <c r="AT139" s="3404"/>
      <c r="AU139" s="3404"/>
      <c r="AV139" s="3404"/>
      <c r="AW139" s="3404"/>
      <c r="AX139" s="3404"/>
      <c r="AY139" s="3404"/>
      <c r="AZ139" s="3404"/>
      <c r="BA139" s="3404"/>
      <c r="BB139" s="3404"/>
      <c r="BC139" s="3404"/>
      <c r="BD139" s="3404"/>
      <c r="BE139" s="3404"/>
      <c r="BF139" s="3404"/>
    </row>
    <row r="140" spans="1:58" s="3399" customFormat="1" ht="42.75">
      <c r="A140" s="3414" t="s">
        <v>3554</v>
      </c>
      <c r="B140" s="3414" t="s">
        <v>3555</v>
      </c>
      <c r="C140" s="3414" t="s">
        <v>3556</v>
      </c>
      <c r="D140" s="3414" t="s">
        <v>3557</v>
      </c>
      <c r="E140" s="3414" t="s">
        <v>3215</v>
      </c>
      <c r="F140" s="3414" t="s">
        <v>3216</v>
      </c>
      <c r="G140" s="3413" t="s">
        <v>3152</v>
      </c>
      <c r="H140" s="3414" t="s">
        <v>3558</v>
      </c>
      <c r="I140" s="3449">
        <v>0.06</v>
      </c>
      <c r="J140" s="3450">
        <v>42669</v>
      </c>
      <c r="K140" s="3485">
        <v>42690</v>
      </c>
      <c r="L140" s="3429">
        <v>43784</v>
      </c>
      <c r="M140" s="3430">
        <v>12</v>
      </c>
      <c r="N140" s="3414" t="s">
        <v>3170</v>
      </c>
      <c r="O140" s="3413" t="s">
        <v>3363</v>
      </c>
      <c r="P140" s="3414" t="s">
        <v>3460</v>
      </c>
      <c r="Q140" s="3489" t="s">
        <v>3559</v>
      </c>
      <c r="R140" s="3420">
        <v>1</v>
      </c>
      <c r="S140" s="3420">
        <v>125.44</v>
      </c>
      <c r="T140" s="3490">
        <v>125.44</v>
      </c>
      <c r="U140" s="3420">
        <v>33.25</v>
      </c>
      <c r="V140" s="3414" t="s">
        <v>3158</v>
      </c>
      <c r="W140" s="3432" t="s">
        <v>3218</v>
      </c>
      <c r="X140" s="3422">
        <f t="shared" si="39"/>
        <v>4171</v>
      </c>
      <c r="Y140" s="3422">
        <f t="shared" si="40"/>
        <v>1.1083652210884354</v>
      </c>
      <c r="Z140" s="3433">
        <f t="shared" si="35"/>
        <v>1.1083652210884354</v>
      </c>
      <c r="AA140" s="3423">
        <f t="shared" si="41"/>
        <v>18213.37</v>
      </c>
      <c r="AB140" s="3407">
        <f t="shared" si="37"/>
        <v>1.1748671343537416</v>
      </c>
      <c r="AC140" s="3404">
        <f t="shared" si="42"/>
        <v>53792</v>
      </c>
      <c r="AD140" s="3446">
        <f t="shared" si="38"/>
        <v>1.245359162414966</v>
      </c>
      <c r="AE140" s="3404">
        <f t="shared" si="43"/>
        <v>57019.519999999997</v>
      </c>
      <c r="AF140" s="3446">
        <v>2.2000000000000002</v>
      </c>
      <c r="AG140" s="3404">
        <f t="shared" si="44"/>
        <v>100728.32000000001</v>
      </c>
      <c r="AH140" s="3447">
        <f t="shared" si="36"/>
        <v>2.2549999999999999</v>
      </c>
      <c r="AI140" s="3399">
        <f t="shared" si="45"/>
        <v>103246.53</v>
      </c>
      <c r="AJ140" s="3404">
        <f t="shared" si="34"/>
        <v>2.3113749999999995</v>
      </c>
      <c r="AK140" s="3404">
        <f t="shared" si="46"/>
        <v>105827.69</v>
      </c>
      <c r="AL140" s="3404">
        <f t="shared" si="48"/>
        <v>2.3691593749999993</v>
      </c>
      <c r="AM140" s="3404">
        <f t="shared" si="47"/>
        <v>108473.38</v>
      </c>
      <c r="AN140" s="3404"/>
      <c r="AO140" s="3404"/>
      <c r="AP140" s="3404"/>
      <c r="AQ140" s="3404"/>
      <c r="AR140" s="3404"/>
      <c r="AS140" s="3404"/>
      <c r="AT140" s="3404"/>
      <c r="AU140" s="3404"/>
      <c r="AV140" s="3404"/>
      <c r="AW140" s="3404"/>
      <c r="AX140" s="3404"/>
      <c r="AY140" s="3404"/>
      <c r="AZ140" s="3404"/>
      <c r="BA140" s="3404"/>
      <c r="BB140" s="3404"/>
      <c r="BC140" s="3404"/>
      <c r="BD140" s="3404"/>
      <c r="BE140" s="3404"/>
      <c r="BF140" s="3404"/>
    </row>
    <row r="141" spans="1:58" s="3399" customFormat="1" ht="42.75">
      <c r="A141" s="3414" t="s">
        <v>3554</v>
      </c>
      <c r="B141" s="3414" t="s">
        <v>3555</v>
      </c>
      <c r="C141" s="3414" t="s">
        <v>3556</v>
      </c>
      <c r="D141" s="3414" t="s">
        <v>3557</v>
      </c>
      <c r="E141" s="3414" t="s">
        <v>3215</v>
      </c>
      <c r="F141" s="3414" t="s">
        <v>3216</v>
      </c>
      <c r="G141" s="3413" t="s">
        <v>3152</v>
      </c>
      <c r="H141" s="3414" t="s">
        <v>3558</v>
      </c>
      <c r="I141" s="3449">
        <v>0.06</v>
      </c>
      <c r="J141" s="3450">
        <v>42669</v>
      </c>
      <c r="K141" s="3485">
        <v>42690</v>
      </c>
      <c r="L141" s="3429">
        <v>43784</v>
      </c>
      <c r="M141" s="3430">
        <v>12</v>
      </c>
      <c r="N141" s="3414" t="s">
        <v>3154</v>
      </c>
      <c r="O141" s="3413" t="s">
        <v>3363</v>
      </c>
      <c r="P141" s="3414" t="s">
        <v>3460</v>
      </c>
      <c r="Q141" s="3489" t="s">
        <v>3559</v>
      </c>
      <c r="R141" s="3420">
        <v>1</v>
      </c>
      <c r="S141" s="3420">
        <v>125.44</v>
      </c>
      <c r="T141" s="3490">
        <v>125.44</v>
      </c>
      <c r="U141" s="3420">
        <v>33.25</v>
      </c>
      <c r="V141" s="3414" t="s">
        <v>3158</v>
      </c>
      <c r="W141" s="3432" t="s">
        <v>3218</v>
      </c>
      <c r="X141" s="3422">
        <f t="shared" si="39"/>
        <v>4171</v>
      </c>
      <c r="Y141" s="3422">
        <f t="shared" si="40"/>
        <v>1.1083652210884354</v>
      </c>
      <c r="Z141" s="3433">
        <f t="shared" si="35"/>
        <v>1.1083652210884354</v>
      </c>
      <c r="AA141" s="3423">
        <f t="shared" si="41"/>
        <v>18213.37</v>
      </c>
      <c r="AB141" s="3407">
        <f t="shared" si="37"/>
        <v>1.1748671343537416</v>
      </c>
      <c r="AC141" s="3404">
        <f t="shared" si="42"/>
        <v>53792</v>
      </c>
      <c r="AD141" s="3446">
        <f t="shared" si="38"/>
        <v>1.245359162414966</v>
      </c>
      <c r="AE141" s="3404">
        <f t="shared" si="43"/>
        <v>57019.519999999997</v>
      </c>
      <c r="AF141" s="3446">
        <v>2.2000000000000002</v>
      </c>
      <c r="AG141" s="3404">
        <f t="shared" si="44"/>
        <v>100728.32000000001</v>
      </c>
      <c r="AH141" s="3447">
        <f t="shared" si="36"/>
        <v>2.2549999999999999</v>
      </c>
      <c r="AI141" s="3399">
        <f t="shared" si="45"/>
        <v>103246.53</v>
      </c>
      <c r="AJ141" s="3404">
        <f t="shared" si="34"/>
        <v>2.3113749999999995</v>
      </c>
      <c r="AK141" s="3404">
        <f t="shared" si="46"/>
        <v>105827.69</v>
      </c>
      <c r="AL141" s="3404">
        <f t="shared" si="48"/>
        <v>2.3691593749999993</v>
      </c>
      <c r="AM141" s="3404">
        <f t="shared" si="47"/>
        <v>108473.38</v>
      </c>
      <c r="AN141" s="3404"/>
      <c r="AO141" s="3404"/>
      <c r="AP141" s="3404"/>
      <c r="AQ141" s="3404"/>
      <c r="AR141" s="3404"/>
      <c r="AS141" s="3404"/>
      <c r="AT141" s="3404"/>
      <c r="AU141" s="3404"/>
      <c r="AV141" s="3404"/>
      <c r="AW141" s="3404"/>
      <c r="AX141" s="3404"/>
      <c r="AY141" s="3404"/>
      <c r="AZ141" s="3404"/>
      <c r="BA141" s="3404"/>
      <c r="BB141" s="3404"/>
      <c r="BC141" s="3404"/>
      <c r="BD141" s="3404"/>
      <c r="BE141" s="3404"/>
      <c r="BF141" s="3404"/>
    </row>
    <row r="142" spans="1:58" s="3399" customFormat="1" ht="42.75">
      <c r="A142" s="3414" t="s">
        <v>3554</v>
      </c>
      <c r="B142" s="3414" t="s">
        <v>3555</v>
      </c>
      <c r="C142" s="3414" t="s">
        <v>3556</v>
      </c>
      <c r="D142" s="3414" t="s">
        <v>3557</v>
      </c>
      <c r="E142" s="3414" t="s">
        <v>3215</v>
      </c>
      <c r="F142" s="3414" t="s">
        <v>3216</v>
      </c>
      <c r="G142" s="3413" t="s">
        <v>3152</v>
      </c>
      <c r="H142" s="3414" t="s">
        <v>3558</v>
      </c>
      <c r="I142" s="3449">
        <v>0.06</v>
      </c>
      <c r="J142" s="3450">
        <v>42669</v>
      </c>
      <c r="K142" s="3485">
        <v>42690</v>
      </c>
      <c r="L142" s="3429">
        <v>43784</v>
      </c>
      <c r="M142" s="3430">
        <v>12</v>
      </c>
      <c r="N142" s="3414" t="s">
        <v>3170</v>
      </c>
      <c r="O142" s="3413" t="s">
        <v>3363</v>
      </c>
      <c r="P142" s="3414" t="s">
        <v>3460</v>
      </c>
      <c r="Q142" s="3489" t="s">
        <v>3559</v>
      </c>
      <c r="R142" s="3420">
        <v>1</v>
      </c>
      <c r="S142" s="3420">
        <v>125.44</v>
      </c>
      <c r="T142" s="3490">
        <v>125.44</v>
      </c>
      <c r="U142" s="3420">
        <v>33.25</v>
      </c>
      <c r="V142" s="3414" t="s">
        <v>3158</v>
      </c>
      <c r="W142" s="3432" t="s">
        <v>3159</v>
      </c>
      <c r="X142" s="3422">
        <f t="shared" si="39"/>
        <v>4171</v>
      </c>
      <c r="Y142" s="3422">
        <f t="shared" si="40"/>
        <v>1.1083652210884354</v>
      </c>
      <c r="Z142" s="3433">
        <f t="shared" si="35"/>
        <v>1.1083652210884354</v>
      </c>
      <c r="AA142" s="3423">
        <f t="shared" si="41"/>
        <v>18213.37</v>
      </c>
      <c r="AB142" s="3407">
        <f t="shared" si="37"/>
        <v>1.1748671343537416</v>
      </c>
      <c r="AC142" s="3404">
        <f t="shared" si="42"/>
        <v>53792</v>
      </c>
      <c r="AD142" s="3446">
        <f t="shared" si="38"/>
        <v>1.245359162414966</v>
      </c>
      <c r="AE142" s="3404">
        <f t="shared" si="43"/>
        <v>57019.519999999997</v>
      </c>
      <c r="AF142" s="3446">
        <v>2.2000000000000002</v>
      </c>
      <c r="AG142" s="3404">
        <f t="shared" si="44"/>
        <v>100728.32000000001</v>
      </c>
      <c r="AH142" s="3447">
        <f t="shared" si="36"/>
        <v>2.2549999999999999</v>
      </c>
      <c r="AI142" s="3399">
        <f t="shared" si="45"/>
        <v>103246.53</v>
      </c>
      <c r="AJ142" s="3404">
        <f t="shared" ref="AJ142:AJ189" si="49">AH142*(1+$AH$1)</f>
        <v>2.3113749999999995</v>
      </c>
      <c r="AK142" s="3404">
        <f t="shared" si="46"/>
        <v>105827.69</v>
      </c>
      <c r="AL142" s="3404">
        <f t="shared" si="48"/>
        <v>2.3691593749999993</v>
      </c>
      <c r="AM142" s="3404">
        <f t="shared" si="47"/>
        <v>108473.38</v>
      </c>
      <c r="AN142" s="3404"/>
      <c r="AO142" s="3404"/>
      <c r="AP142" s="3404"/>
      <c r="AQ142" s="3404"/>
      <c r="AR142" s="3404"/>
      <c r="AS142" s="3404"/>
      <c r="AT142" s="3404"/>
      <c r="AU142" s="3404"/>
      <c r="AV142" s="3404"/>
      <c r="AW142" s="3404"/>
      <c r="AX142" s="3404"/>
      <c r="AY142" s="3404"/>
      <c r="AZ142" s="3404"/>
      <c r="BA142" s="3404"/>
      <c r="BB142" s="3404"/>
      <c r="BC142" s="3404"/>
      <c r="BD142" s="3404"/>
      <c r="BE142" s="3404"/>
      <c r="BF142" s="3404"/>
    </row>
    <row r="143" spans="1:58" s="3399" customFormat="1" ht="42.75">
      <c r="A143" s="3414" t="s">
        <v>3554</v>
      </c>
      <c r="B143" s="3414" t="s">
        <v>3555</v>
      </c>
      <c r="C143" s="3414" t="s">
        <v>3556</v>
      </c>
      <c r="D143" s="3414" t="s">
        <v>3557</v>
      </c>
      <c r="E143" s="3414" t="s">
        <v>3215</v>
      </c>
      <c r="F143" s="3414" t="s">
        <v>3216</v>
      </c>
      <c r="G143" s="3413" t="s">
        <v>3152</v>
      </c>
      <c r="H143" s="3414" t="s">
        <v>3558</v>
      </c>
      <c r="I143" s="3449">
        <v>0.06</v>
      </c>
      <c r="J143" s="3450">
        <v>42669</v>
      </c>
      <c r="K143" s="3485">
        <v>42690</v>
      </c>
      <c r="L143" s="3429">
        <v>43784</v>
      </c>
      <c r="M143" s="3430">
        <v>12</v>
      </c>
      <c r="N143" s="3414" t="s">
        <v>3154</v>
      </c>
      <c r="O143" s="3413" t="s">
        <v>3363</v>
      </c>
      <c r="P143" s="3414" t="s">
        <v>3460</v>
      </c>
      <c r="Q143" s="3489" t="s">
        <v>3559</v>
      </c>
      <c r="R143" s="3420">
        <v>1</v>
      </c>
      <c r="S143" s="3420">
        <v>125.44</v>
      </c>
      <c r="T143" s="3490">
        <v>125.44</v>
      </c>
      <c r="U143" s="3420">
        <v>33.25</v>
      </c>
      <c r="V143" s="3414" t="s">
        <v>3158</v>
      </c>
      <c r="W143" s="3432" t="s">
        <v>3159</v>
      </c>
      <c r="X143" s="3422">
        <f t="shared" si="39"/>
        <v>4171</v>
      </c>
      <c r="Y143" s="3422">
        <f t="shared" si="40"/>
        <v>1.1083652210884354</v>
      </c>
      <c r="Z143" s="3433">
        <f t="shared" si="35"/>
        <v>1.1083652210884354</v>
      </c>
      <c r="AA143" s="3423">
        <f t="shared" si="41"/>
        <v>18213.37</v>
      </c>
      <c r="AB143" s="3407">
        <f t="shared" si="37"/>
        <v>1.1748671343537416</v>
      </c>
      <c r="AC143" s="3404">
        <f t="shared" si="42"/>
        <v>53792</v>
      </c>
      <c r="AD143" s="3446">
        <f t="shared" si="38"/>
        <v>1.245359162414966</v>
      </c>
      <c r="AE143" s="3404">
        <f t="shared" si="43"/>
        <v>57019.519999999997</v>
      </c>
      <c r="AF143" s="3446">
        <v>2.2000000000000002</v>
      </c>
      <c r="AG143" s="3404">
        <f t="shared" si="44"/>
        <v>100728.32000000001</v>
      </c>
      <c r="AH143" s="3447">
        <f t="shared" si="36"/>
        <v>2.2549999999999999</v>
      </c>
      <c r="AI143" s="3399">
        <f t="shared" si="45"/>
        <v>103246.53</v>
      </c>
      <c r="AJ143" s="3404">
        <f t="shared" si="49"/>
        <v>2.3113749999999995</v>
      </c>
      <c r="AK143" s="3404">
        <f t="shared" si="46"/>
        <v>105827.69</v>
      </c>
      <c r="AL143" s="3404">
        <f t="shared" si="48"/>
        <v>2.3691593749999993</v>
      </c>
      <c r="AM143" s="3404">
        <f t="shared" si="47"/>
        <v>108473.38</v>
      </c>
      <c r="AN143" s="3404"/>
      <c r="AO143" s="3404"/>
      <c r="AP143" s="3404"/>
      <c r="AQ143" s="3404"/>
      <c r="AR143" s="3404"/>
      <c r="AS143" s="3404"/>
      <c r="AT143" s="3404"/>
      <c r="AU143" s="3404"/>
      <c r="AV143" s="3404"/>
      <c r="AW143" s="3404"/>
      <c r="AX143" s="3404"/>
      <c r="AY143" s="3404"/>
      <c r="AZ143" s="3404"/>
      <c r="BA143" s="3404"/>
      <c r="BB143" s="3404"/>
      <c r="BC143" s="3404"/>
      <c r="BD143" s="3404"/>
      <c r="BE143" s="3404"/>
      <c r="BF143" s="3404"/>
    </row>
    <row r="144" spans="1:58" s="3399" customFormat="1" ht="42.75">
      <c r="A144" s="3414" t="s">
        <v>3560</v>
      </c>
      <c r="B144" s="3414" t="s">
        <v>3561</v>
      </c>
      <c r="C144" s="3414" t="s">
        <v>3562</v>
      </c>
      <c r="D144" s="3414" t="s">
        <v>3563</v>
      </c>
      <c r="E144" s="3414" t="s">
        <v>3215</v>
      </c>
      <c r="F144" s="3414" t="s">
        <v>3216</v>
      </c>
      <c r="G144" s="3413" t="s">
        <v>3152</v>
      </c>
      <c r="H144" s="3414" t="s">
        <v>3552</v>
      </c>
      <c r="I144" s="3449">
        <v>0.06</v>
      </c>
      <c r="J144" s="3450">
        <v>42677</v>
      </c>
      <c r="K144" s="3485">
        <v>42705</v>
      </c>
      <c r="L144" s="3429">
        <v>43799</v>
      </c>
      <c r="M144" s="3430">
        <v>12</v>
      </c>
      <c r="N144" s="3414" t="s">
        <v>3564</v>
      </c>
      <c r="O144" s="3413" t="s">
        <v>3363</v>
      </c>
      <c r="P144" s="3414" t="s">
        <v>3460</v>
      </c>
      <c r="Q144" s="3489" t="s">
        <v>3565</v>
      </c>
      <c r="R144" s="3420">
        <v>1</v>
      </c>
      <c r="S144" s="3420">
        <v>88.33</v>
      </c>
      <c r="T144" s="3490">
        <v>88.33</v>
      </c>
      <c r="U144" s="3420">
        <v>45</v>
      </c>
      <c r="V144" s="3414" t="s">
        <v>3158</v>
      </c>
      <c r="W144" s="3432" t="s">
        <v>3218</v>
      </c>
      <c r="X144" s="3422">
        <f t="shared" si="39"/>
        <v>3975</v>
      </c>
      <c r="Y144" s="3422">
        <f t="shared" si="40"/>
        <v>1.5000566059096569</v>
      </c>
      <c r="Z144" s="3433">
        <f t="shared" ref="Z144:Z207" si="50">Y144</f>
        <v>1.5000566059096569</v>
      </c>
      <c r="AA144" s="3423">
        <f t="shared" si="41"/>
        <v>17357.5</v>
      </c>
      <c r="AB144" s="3407">
        <f t="shared" si="37"/>
        <v>1.5900600022642364</v>
      </c>
      <c r="AC144" s="3404">
        <f t="shared" si="42"/>
        <v>51264.25</v>
      </c>
      <c r="AD144" s="3446">
        <f t="shared" si="38"/>
        <v>1.6854636024000906</v>
      </c>
      <c r="AE144" s="3404">
        <f t="shared" si="43"/>
        <v>54340.11</v>
      </c>
      <c r="AF144" s="3446">
        <v>2.2000000000000002</v>
      </c>
      <c r="AG144" s="3404">
        <f t="shared" si="44"/>
        <v>70928.990000000005</v>
      </c>
      <c r="AH144" s="3447">
        <f t="shared" si="36"/>
        <v>2.2549999999999999</v>
      </c>
      <c r="AI144" s="3399">
        <f t="shared" si="45"/>
        <v>72702.210000000006</v>
      </c>
      <c r="AJ144" s="3404">
        <f t="shared" si="49"/>
        <v>2.3113749999999995</v>
      </c>
      <c r="AK144" s="3404">
        <f t="shared" si="46"/>
        <v>74519.77</v>
      </c>
      <c r="AL144" s="3404">
        <f t="shared" si="48"/>
        <v>2.3691593749999993</v>
      </c>
      <c r="AM144" s="3404">
        <f t="shared" si="47"/>
        <v>76382.759999999995</v>
      </c>
      <c r="AN144" s="3404"/>
      <c r="AO144" s="3404"/>
      <c r="AP144" s="3404"/>
      <c r="AQ144" s="3404"/>
      <c r="AR144" s="3404"/>
      <c r="AS144" s="3404"/>
      <c r="AT144" s="3404"/>
      <c r="AU144" s="3404"/>
      <c r="AV144" s="3404"/>
      <c r="AW144" s="3404"/>
      <c r="AX144" s="3404"/>
      <c r="AY144" s="3404"/>
      <c r="AZ144" s="3404"/>
      <c r="BA144" s="3404"/>
      <c r="BB144" s="3404"/>
      <c r="BC144" s="3404"/>
      <c r="BD144" s="3404"/>
      <c r="BE144" s="3404"/>
      <c r="BF144" s="3404"/>
    </row>
    <row r="145" spans="1:58" s="3399" customFormat="1" ht="42.75">
      <c r="A145" s="3414" t="s">
        <v>3560</v>
      </c>
      <c r="B145" s="3414" t="s">
        <v>3561</v>
      </c>
      <c r="C145" s="3414" t="s">
        <v>3562</v>
      </c>
      <c r="D145" s="3414" t="s">
        <v>3563</v>
      </c>
      <c r="E145" s="3414" t="s">
        <v>3215</v>
      </c>
      <c r="F145" s="3414" t="s">
        <v>3216</v>
      </c>
      <c r="G145" s="3413" t="s">
        <v>3152</v>
      </c>
      <c r="H145" s="3414" t="s">
        <v>3552</v>
      </c>
      <c r="I145" s="3449">
        <v>0.06</v>
      </c>
      <c r="J145" s="3450">
        <v>42677</v>
      </c>
      <c r="K145" s="3485">
        <v>42705</v>
      </c>
      <c r="L145" s="3429">
        <v>43799</v>
      </c>
      <c r="M145" s="3430">
        <v>12</v>
      </c>
      <c r="N145" s="3414" t="s">
        <v>3564</v>
      </c>
      <c r="O145" s="3413" t="s">
        <v>3363</v>
      </c>
      <c r="P145" s="3414" t="s">
        <v>3460</v>
      </c>
      <c r="Q145" s="3489" t="s">
        <v>3565</v>
      </c>
      <c r="R145" s="3420">
        <v>1</v>
      </c>
      <c r="S145" s="3420">
        <v>88.33</v>
      </c>
      <c r="T145" s="3490">
        <v>88.33</v>
      </c>
      <c r="U145" s="3420">
        <v>45</v>
      </c>
      <c r="V145" s="3414" t="s">
        <v>3158</v>
      </c>
      <c r="W145" s="3432" t="s">
        <v>3159</v>
      </c>
      <c r="X145" s="3422">
        <f t="shared" si="39"/>
        <v>3975</v>
      </c>
      <c r="Y145" s="3422">
        <f t="shared" si="40"/>
        <v>1.5000566059096569</v>
      </c>
      <c r="Z145" s="3433">
        <f t="shared" si="50"/>
        <v>1.5000566059096569</v>
      </c>
      <c r="AA145" s="3423">
        <f t="shared" si="41"/>
        <v>17357.5</v>
      </c>
      <c r="AB145" s="3407">
        <f t="shared" si="37"/>
        <v>1.5900600022642364</v>
      </c>
      <c r="AC145" s="3404">
        <f t="shared" si="42"/>
        <v>51264.25</v>
      </c>
      <c r="AD145" s="3446">
        <f t="shared" si="38"/>
        <v>1.6854636024000906</v>
      </c>
      <c r="AE145" s="3404">
        <f t="shared" si="43"/>
        <v>54340.11</v>
      </c>
      <c r="AF145" s="3446">
        <v>2.2000000000000002</v>
      </c>
      <c r="AG145" s="3404">
        <f t="shared" si="44"/>
        <v>70928.990000000005</v>
      </c>
      <c r="AH145" s="3447">
        <f t="shared" si="36"/>
        <v>2.2549999999999999</v>
      </c>
      <c r="AI145" s="3399">
        <f t="shared" si="45"/>
        <v>72702.210000000006</v>
      </c>
      <c r="AJ145" s="3404">
        <f t="shared" si="49"/>
        <v>2.3113749999999995</v>
      </c>
      <c r="AK145" s="3404">
        <f t="shared" si="46"/>
        <v>74519.77</v>
      </c>
      <c r="AL145" s="3404">
        <f t="shared" si="48"/>
        <v>2.3691593749999993</v>
      </c>
      <c r="AM145" s="3404">
        <f t="shared" si="47"/>
        <v>76382.759999999995</v>
      </c>
      <c r="AN145" s="3404"/>
      <c r="AO145" s="3404"/>
      <c r="AP145" s="3404"/>
      <c r="AQ145" s="3404"/>
      <c r="AR145" s="3404"/>
      <c r="AS145" s="3404"/>
      <c r="AT145" s="3404"/>
      <c r="AU145" s="3404"/>
      <c r="AV145" s="3404"/>
      <c r="AW145" s="3404"/>
      <c r="AX145" s="3404"/>
      <c r="AY145" s="3404"/>
      <c r="AZ145" s="3404"/>
      <c r="BA145" s="3404"/>
      <c r="BB145" s="3404"/>
      <c r="BC145" s="3404"/>
      <c r="BD145" s="3404"/>
      <c r="BE145" s="3404"/>
      <c r="BF145" s="3404"/>
    </row>
    <row r="146" spans="1:58" s="3399" customFormat="1" ht="42.75">
      <c r="A146" s="3414" t="s">
        <v>3566</v>
      </c>
      <c r="B146" s="3492" t="s">
        <v>3567</v>
      </c>
      <c r="C146" s="3492">
        <v>13928112467</v>
      </c>
      <c r="D146" s="3492" t="s">
        <v>3568</v>
      </c>
      <c r="E146" s="3492" t="s">
        <v>3283</v>
      </c>
      <c r="F146" s="3414" t="s">
        <v>3216</v>
      </c>
      <c r="G146" s="3413" t="s">
        <v>3152</v>
      </c>
      <c r="H146" s="3492" t="s">
        <v>3225</v>
      </c>
      <c r="I146" s="3449">
        <v>0.06</v>
      </c>
      <c r="J146" s="3493">
        <v>42714</v>
      </c>
      <c r="K146" s="3493">
        <v>42736</v>
      </c>
      <c r="L146" s="3494">
        <v>43830</v>
      </c>
      <c r="M146" s="3492">
        <v>12</v>
      </c>
      <c r="N146" s="3414" t="s">
        <v>3154</v>
      </c>
      <c r="O146" s="3413" t="s">
        <v>3155</v>
      </c>
      <c r="P146" s="3414" t="s">
        <v>3247</v>
      </c>
      <c r="Q146" s="3379" t="s">
        <v>3569</v>
      </c>
      <c r="R146" s="3420">
        <v>1</v>
      </c>
      <c r="S146" s="3492">
        <v>109.8</v>
      </c>
      <c r="T146" s="3495">
        <v>109.8</v>
      </c>
      <c r="U146" s="3492">
        <v>40</v>
      </c>
      <c r="V146" s="3414" t="s">
        <v>3158</v>
      </c>
      <c r="W146" s="3496" t="s">
        <v>3159</v>
      </c>
      <c r="X146" s="3422">
        <f t="shared" si="39"/>
        <v>4392</v>
      </c>
      <c r="Y146" s="3422">
        <f t="shared" si="40"/>
        <v>1.3333333333333333</v>
      </c>
      <c r="Z146" s="3433">
        <f t="shared" si="50"/>
        <v>1.3333333333333333</v>
      </c>
      <c r="AA146" s="3423">
        <f t="shared" si="41"/>
        <v>19178.400000000001</v>
      </c>
      <c r="AB146" s="3407">
        <f t="shared" si="37"/>
        <v>1.4133333333333333</v>
      </c>
      <c r="AC146" s="3404">
        <f t="shared" si="42"/>
        <v>56642.16</v>
      </c>
      <c r="AD146" s="3446">
        <f t="shared" si="38"/>
        <v>1.4981333333333333</v>
      </c>
      <c r="AE146" s="3404">
        <f t="shared" si="43"/>
        <v>60040.69</v>
      </c>
      <c r="AF146" s="3446">
        <v>4.5</v>
      </c>
      <c r="AG146" s="3404">
        <f t="shared" si="44"/>
        <v>180346.5</v>
      </c>
      <c r="AH146" s="3447">
        <f t="shared" si="36"/>
        <v>4.6124999999999998</v>
      </c>
      <c r="AI146" s="3399">
        <f t="shared" si="45"/>
        <v>184855.16</v>
      </c>
      <c r="AJ146" s="3404">
        <f t="shared" si="49"/>
        <v>4.7278124999999998</v>
      </c>
      <c r="AK146" s="3404">
        <f t="shared" si="46"/>
        <v>189476.54</v>
      </c>
      <c r="AL146" s="3404">
        <f t="shared" si="48"/>
        <v>4.846007812499999</v>
      </c>
      <c r="AM146" s="3404">
        <f t="shared" si="47"/>
        <v>194213.46</v>
      </c>
      <c r="AN146" s="3404"/>
      <c r="AO146" s="3404"/>
      <c r="AP146" s="3404"/>
      <c r="AQ146" s="3404"/>
      <c r="AR146" s="3404"/>
      <c r="AS146" s="3404"/>
      <c r="AT146" s="3404"/>
      <c r="AU146" s="3404"/>
      <c r="AV146" s="3404"/>
      <c r="AW146" s="3404"/>
      <c r="AX146" s="3404"/>
      <c r="AY146" s="3404"/>
      <c r="AZ146" s="3404"/>
      <c r="BA146" s="3404"/>
      <c r="BB146" s="3404"/>
      <c r="BC146" s="3404"/>
      <c r="BD146" s="3404"/>
      <c r="BE146" s="3404"/>
      <c r="BF146" s="3404"/>
    </row>
    <row r="147" spans="1:58" s="3399" customFormat="1" ht="42.75">
      <c r="A147" s="3414" t="s">
        <v>3570</v>
      </c>
      <c r="B147" s="3414" t="s">
        <v>3571</v>
      </c>
      <c r="C147" s="3414" t="s">
        <v>3572</v>
      </c>
      <c r="D147" s="3414"/>
      <c r="E147" s="3414" t="s">
        <v>3215</v>
      </c>
      <c r="F147" s="3414" t="s">
        <v>3216</v>
      </c>
      <c r="G147" s="3413" t="s">
        <v>3152</v>
      </c>
      <c r="H147" s="3414" t="s">
        <v>3225</v>
      </c>
      <c r="I147" s="3449">
        <v>0.06</v>
      </c>
      <c r="J147" s="3450">
        <v>42711</v>
      </c>
      <c r="K147" s="3485">
        <v>42736</v>
      </c>
      <c r="L147" s="3429">
        <v>43830</v>
      </c>
      <c r="M147" s="3430">
        <v>12</v>
      </c>
      <c r="N147" s="3414" t="s">
        <v>3154</v>
      </c>
      <c r="O147" s="3413" t="s">
        <v>3363</v>
      </c>
      <c r="P147" s="3414" t="s">
        <v>3364</v>
      </c>
      <c r="Q147" s="3489" t="s">
        <v>3573</v>
      </c>
      <c r="R147" s="3420">
        <v>1</v>
      </c>
      <c r="S147" s="3420">
        <v>113.31</v>
      </c>
      <c r="T147" s="3490">
        <v>113.31</v>
      </c>
      <c r="U147" s="3420">
        <v>19</v>
      </c>
      <c r="V147" s="3414" t="s">
        <v>3158</v>
      </c>
      <c r="W147" s="3496" t="s">
        <v>3218</v>
      </c>
      <c r="X147" s="3422">
        <f t="shared" si="39"/>
        <v>2153</v>
      </c>
      <c r="Y147" s="3422">
        <f t="shared" si="40"/>
        <v>0.63336569293678113</v>
      </c>
      <c r="Z147" s="3433">
        <f t="shared" si="50"/>
        <v>0.63336569293678113</v>
      </c>
      <c r="AA147" s="3423">
        <f t="shared" si="41"/>
        <v>9401.43</v>
      </c>
      <c r="AB147" s="3407">
        <f t="shared" si="37"/>
        <v>0.67136763451298809</v>
      </c>
      <c r="AC147" s="3404">
        <f t="shared" si="42"/>
        <v>27766.52</v>
      </c>
      <c r="AD147" s="3446">
        <f t="shared" si="38"/>
        <v>0.71164969258376742</v>
      </c>
      <c r="AE147" s="3404">
        <f t="shared" si="43"/>
        <v>29432.51</v>
      </c>
      <c r="AF147" s="3446">
        <v>2.2000000000000002</v>
      </c>
      <c r="AG147" s="3404">
        <f t="shared" si="44"/>
        <v>90987.93</v>
      </c>
      <c r="AH147" s="3447">
        <f t="shared" si="36"/>
        <v>2.2549999999999999</v>
      </c>
      <c r="AI147" s="3399">
        <f t="shared" si="45"/>
        <v>93262.63</v>
      </c>
      <c r="AJ147" s="3404">
        <f t="shared" si="49"/>
        <v>2.3113749999999995</v>
      </c>
      <c r="AK147" s="3404">
        <f t="shared" si="46"/>
        <v>95594.19</v>
      </c>
      <c r="AL147" s="3404">
        <f t="shared" si="48"/>
        <v>2.3691593749999993</v>
      </c>
      <c r="AM147" s="3404">
        <f t="shared" si="47"/>
        <v>97984.05</v>
      </c>
      <c r="AN147" s="3404"/>
      <c r="AO147" s="3404"/>
      <c r="AP147" s="3404"/>
      <c r="AQ147" s="3404"/>
      <c r="AR147" s="3404"/>
      <c r="AS147" s="3404"/>
      <c r="AT147" s="3404"/>
      <c r="AU147" s="3404"/>
      <c r="AV147" s="3404"/>
      <c r="AW147" s="3404"/>
      <c r="AX147" s="3404"/>
      <c r="AY147" s="3404"/>
      <c r="AZ147" s="3404"/>
      <c r="BA147" s="3404"/>
      <c r="BB147" s="3404"/>
      <c r="BC147" s="3404"/>
      <c r="BD147" s="3404"/>
      <c r="BE147" s="3404"/>
      <c r="BF147" s="3404"/>
    </row>
    <row r="148" spans="1:58" s="3399" customFormat="1" ht="42.75">
      <c r="A148" s="3414" t="s">
        <v>3570</v>
      </c>
      <c r="B148" s="3414" t="s">
        <v>3571</v>
      </c>
      <c r="C148" s="3414" t="s">
        <v>3572</v>
      </c>
      <c r="D148" s="3414"/>
      <c r="E148" s="3414" t="s">
        <v>3215</v>
      </c>
      <c r="F148" s="3414" t="s">
        <v>3216</v>
      </c>
      <c r="G148" s="3413" t="s">
        <v>3152</v>
      </c>
      <c r="H148" s="3414" t="s">
        <v>3225</v>
      </c>
      <c r="I148" s="3449">
        <v>0.06</v>
      </c>
      <c r="J148" s="3450">
        <v>42711</v>
      </c>
      <c r="K148" s="3485">
        <v>42736</v>
      </c>
      <c r="L148" s="3429">
        <v>43830</v>
      </c>
      <c r="M148" s="3430">
        <v>12</v>
      </c>
      <c r="N148" s="3414" t="s">
        <v>3154</v>
      </c>
      <c r="O148" s="3413" t="s">
        <v>3363</v>
      </c>
      <c r="P148" s="3414" t="s">
        <v>3364</v>
      </c>
      <c r="Q148" s="3489" t="s">
        <v>3573</v>
      </c>
      <c r="R148" s="3420">
        <v>1</v>
      </c>
      <c r="S148" s="3420">
        <v>113.31</v>
      </c>
      <c r="T148" s="3490">
        <v>113.31</v>
      </c>
      <c r="U148" s="3420">
        <v>19</v>
      </c>
      <c r="V148" s="3414" t="s">
        <v>3158</v>
      </c>
      <c r="W148" s="3496" t="s">
        <v>3159</v>
      </c>
      <c r="X148" s="3422">
        <f t="shared" si="39"/>
        <v>2153</v>
      </c>
      <c r="Y148" s="3422">
        <f t="shared" si="40"/>
        <v>0.63336569293678113</v>
      </c>
      <c r="Z148" s="3433">
        <f t="shared" si="50"/>
        <v>0.63336569293678113</v>
      </c>
      <c r="AA148" s="3423">
        <f t="shared" si="41"/>
        <v>9401.43</v>
      </c>
      <c r="AB148" s="3407">
        <f t="shared" si="37"/>
        <v>0.67136763451298809</v>
      </c>
      <c r="AC148" s="3404">
        <f t="shared" si="42"/>
        <v>27766.52</v>
      </c>
      <c r="AD148" s="3446">
        <f t="shared" si="38"/>
        <v>0.71164969258376742</v>
      </c>
      <c r="AE148" s="3404">
        <f t="shared" si="43"/>
        <v>29432.51</v>
      </c>
      <c r="AF148" s="3446">
        <v>2.2000000000000002</v>
      </c>
      <c r="AG148" s="3404">
        <f t="shared" si="44"/>
        <v>90987.93</v>
      </c>
      <c r="AH148" s="3447">
        <f t="shared" si="36"/>
        <v>2.2549999999999999</v>
      </c>
      <c r="AI148" s="3399">
        <f t="shared" si="45"/>
        <v>93262.63</v>
      </c>
      <c r="AJ148" s="3404">
        <f t="shared" si="49"/>
        <v>2.3113749999999995</v>
      </c>
      <c r="AK148" s="3404">
        <f t="shared" si="46"/>
        <v>95594.19</v>
      </c>
      <c r="AL148" s="3404">
        <f t="shared" si="48"/>
        <v>2.3691593749999993</v>
      </c>
      <c r="AM148" s="3404">
        <f t="shared" si="47"/>
        <v>97984.05</v>
      </c>
      <c r="AN148" s="3404"/>
      <c r="AO148" s="3404"/>
      <c r="AP148" s="3404"/>
      <c r="AQ148" s="3404"/>
      <c r="AR148" s="3404"/>
      <c r="AS148" s="3404"/>
      <c r="AT148" s="3404"/>
      <c r="AU148" s="3404"/>
      <c r="AV148" s="3404"/>
      <c r="AW148" s="3404"/>
      <c r="AX148" s="3404"/>
      <c r="AY148" s="3404"/>
      <c r="AZ148" s="3404"/>
      <c r="BA148" s="3404"/>
      <c r="BB148" s="3404"/>
      <c r="BC148" s="3404"/>
      <c r="BD148" s="3404"/>
      <c r="BE148" s="3404"/>
      <c r="BF148" s="3404"/>
    </row>
    <row r="149" spans="1:58" s="3399" customFormat="1" ht="42.75">
      <c r="A149" s="3414" t="s">
        <v>3574</v>
      </c>
      <c r="B149" s="3414" t="s">
        <v>3575</v>
      </c>
      <c r="C149" s="3414" t="s">
        <v>3576</v>
      </c>
      <c r="D149" s="3414" t="s">
        <v>3577</v>
      </c>
      <c r="E149" s="3414" t="s">
        <v>3200</v>
      </c>
      <c r="F149" s="3414" t="s">
        <v>3216</v>
      </c>
      <c r="G149" s="3413" t="s">
        <v>3152</v>
      </c>
      <c r="H149" s="3414" t="s">
        <v>3225</v>
      </c>
      <c r="I149" s="3449">
        <v>0.06</v>
      </c>
      <c r="J149" s="3450">
        <v>42703</v>
      </c>
      <c r="K149" s="3485">
        <v>42736</v>
      </c>
      <c r="L149" s="3429">
        <v>43830</v>
      </c>
      <c r="M149" s="3430">
        <v>12</v>
      </c>
      <c r="N149" s="3414" t="s">
        <v>3154</v>
      </c>
      <c r="O149" s="3413" t="s">
        <v>3363</v>
      </c>
      <c r="P149" s="3414" t="s">
        <v>3460</v>
      </c>
      <c r="Q149" s="3489" t="s">
        <v>3578</v>
      </c>
      <c r="R149" s="3420">
        <v>1</v>
      </c>
      <c r="S149" s="3420">
        <v>137.29</v>
      </c>
      <c r="T149" s="3490">
        <v>137.29</v>
      </c>
      <c r="U149" s="3420">
        <v>35</v>
      </c>
      <c r="V149" s="3414" t="s">
        <v>3158</v>
      </c>
      <c r="W149" s="3496" t="s">
        <v>3218</v>
      </c>
      <c r="X149" s="3422">
        <f t="shared" si="39"/>
        <v>4805</v>
      </c>
      <c r="Y149" s="3422">
        <f t="shared" si="40"/>
        <v>1.1666302474081627</v>
      </c>
      <c r="Z149" s="3433">
        <f t="shared" si="50"/>
        <v>1.1666302474081627</v>
      </c>
      <c r="AA149" s="3423">
        <f t="shared" si="41"/>
        <v>20981.83</v>
      </c>
      <c r="AB149" s="3407">
        <f t="shared" si="37"/>
        <v>1.2366280622526524</v>
      </c>
      <c r="AC149" s="3404">
        <f t="shared" si="42"/>
        <v>61968.480000000003</v>
      </c>
      <c r="AD149" s="3446">
        <f t="shared" si="38"/>
        <v>1.3108257459878117</v>
      </c>
      <c r="AE149" s="3404">
        <f t="shared" si="43"/>
        <v>65686.59</v>
      </c>
      <c r="AF149" s="3446">
        <v>2.2000000000000002</v>
      </c>
      <c r="AG149" s="3404">
        <f t="shared" si="44"/>
        <v>110243.87</v>
      </c>
      <c r="AH149" s="3447">
        <f t="shared" si="36"/>
        <v>2.2549999999999999</v>
      </c>
      <c r="AI149" s="3399">
        <f t="shared" si="45"/>
        <v>112999.97</v>
      </c>
      <c r="AJ149" s="3404">
        <f t="shared" si="49"/>
        <v>2.3113749999999995</v>
      </c>
      <c r="AK149" s="3404">
        <f t="shared" si="46"/>
        <v>115824.97</v>
      </c>
      <c r="AL149" s="3404">
        <f t="shared" si="48"/>
        <v>2.3691593749999993</v>
      </c>
      <c r="AM149" s="3404">
        <f t="shared" si="47"/>
        <v>118720.59</v>
      </c>
      <c r="AN149" s="3404"/>
      <c r="AO149" s="3404"/>
      <c r="AP149" s="3404"/>
      <c r="AQ149" s="3404"/>
      <c r="AR149" s="3404"/>
      <c r="AS149" s="3404"/>
      <c r="AT149" s="3404"/>
      <c r="AU149" s="3404"/>
      <c r="AV149" s="3404"/>
      <c r="AW149" s="3404"/>
      <c r="AX149" s="3404"/>
      <c r="AY149" s="3404"/>
      <c r="AZ149" s="3404"/>
      <c r="BA149" s="3404"/>
      <c r="BB149" s="3404"/>
      <c r="BC149" s="3404"/>
      <c r="BD149" s="3404"/>
      <c r="BE149" s="3404"/>
      <c r="BF149" s="3404"/>
    </row>
    <row r="150" spans="1:58" s="3399" customFormat="1" ht="42.75">
      <c r="A150" s="3414" t="s">
        <v>3574</v>
      </c>
      <c r="B150" s="3414" t="s">
        <v>3575</v>
      </c>
      <c r="C150" s="3414" t="s">
        <v>3576</v>
      </c>
      <c r="D150" s="3414" t="s">
        <v>3577</v>
      </c>
      <c r="E150" s="3414" t="s">
        <v>3200</v>
      </c>
      <c r="F150" s="3414" t="s">
        <v>3216</v>
      </c>
      <c r="G150" s="3413" t="s">
        <v>3152</v>
      </c>
      <c r="H150" s="3414" t="s">
        <v>3225</v>
      </c>
      <c r="I150" s="3449">
        <v>0.06</v>
      </c>
      <c r="J150" s="3450">
        <v>42703</v>
      </c>
      <c r="K150" s="3485">
        <v>42736</v>
      </c>
      <c r="L150" s="3429">
        <v>43830</v>
      </c>
      <c r="M150" s="3430">
        <v>12</v>
      </c>
      <c r="N150" s="3414" t="s">
        <v>3154</v>
      </c>
      <c r="O150" s="3413" t="s">
        <v>3363</v>
      </c>
      <c r="P150" s="3414" t="s">
        <v>3460</v>
      </c>
      <c r="Q150" s="3489" t="s">
        <v>3578</v>
      </c>
      <c r="R150" s="3420">
        <v>1</v>
      </c>
      <c r="S150" s="3420">
        <v>137.29</v>
      </c>
      <c r="T150" s="3490">
        <v>137.29</v>
      </c>
      <c r="U150" s="3420">
        <v>35</v>
      </c>
      <c r="V150" s="3414" t="s">
        <v>3158</v>
      </c>
      <c r="W150" s="3496" t="s">
        <v>3159</v>
      </c>
      <c r="X150" s="3422">
        <f t="shared" si="39"/>
        <v>4805</v>
      </c>
      <c r="Y150" s="3422">
        <f t="shared" si="40"/>
        <v>1.1666302474081627</v>
      </c>
      <c r="Z150" s="3433">
        <f t="shared" si="50"/>
        <v>1.1666302474081627</v>
      </c>
      <c r="AA150" s="3423">
        <f t="shared" si="41"/>
        <v>20981.83</v>
      </c>
      <c r="AB150" s="3407">
        <f t="shared" si="37"/>
        <v>1.2366280622526524</v>
      </c>
      <c r="AC150" s="3404">
        <f t="shared" si="42"/>
        <v>61968.480000000003</v>
      </c>
      <c r="AD150" s="3446">
        <f t="shared" si="38"/>
        <v>1.3108257459878117</v>
      </c>
      <c r="AE150" s="3404">
        <f t="shared" si="43"/>
        <v>65686.59</v>
      </c>
      <c r="AF150" s="3446">
        <v>2.2000000000000002</v>
      </c>
      <c r="AG150" s="3404">
        <f t="shared" si="44"/>
        <v>110243.87</v>
      </c>
      <c r="AH150" s="3447">
        <f t="shared" si="36"/>
        <v>2.2549999999999999</v>
      </c>
      <c r="AI150" s="3399">
        <f t="shared" si="45"/>
        <v>112999.97</v>
      </c>
      <c r="AJ150" s="3404">
        <f t="shared" si="49"/>
        <v>2.3113749999999995</v>
      </c>
      <c r="AK150" s="3404">
        <f t="shared" si="46"/>
        <v>115824.97</v>
      </c>
      <c r="AL150" s="3404">
        <f t="shared" si="48"/>
        <v>2.3691593749999993</v>
      </c>
      <c r="AM150" s="3404">
        <f t="shared" si="47"/>
        <v>118720.59</v>
      </c>
      <c r="AN150" s="3404"/>
      <c r="AO150" s="3404"/>
      <c r="AP150" s="3404"/>
      <c r="AQ150" s="3404"/>
      <c r="AR150" s="3404"/>
      <c r="AS150" s="3404"/>
      <c r="AT150" s="3404"/>
      <c r="AU150" s="3404"/>
      <c r="AV150" s="3404"/>
      <c r="AW150" s="3404"/>
      <c r="AX150" s="3404"/>
      <c r="AY150" s="3404"/>
      <c r="AZ150" s="3404"/>
      <c r="BA150" s="3404"/>
      <c r="BB150" s="3404"/>
      <c r="BC150" s="3404"/>
      <c r="BD150" s="3404"/>
      <c r="BE150" s="3404"/>
      <c r="BF150" s="3404"/>
    </row>
    <row r="151" spans="1:58" s="3399" customFormat="1" ht="42.75">
      <c r="A151" s="3414" t="s">
        <v>3579</v>
      </c>
      <c r="B151" s="3414" t="s">
        <v>3580</v>
      </c>
      <c r="C151" s="3414" t="s">
        <v>3581</v>
      </c>
      <c r="D151" s="3414" t="s">
        <v>3582</v>
      </c>
      <c r="E151" s="3414" t="s">
        <v>3200</v>
      </c>
      <c r="F151" s="3414" t="s">
        <v>3216</v>
      </c>
      <c r="G151" s="3413" t="s">
        <v>3152</v>
      </c>
      <c r="H151" s="3414" t="s">
        <v>3225</v>
      </c>
      <c r="I151" s="3449">
        <v>0.06</v>
      </c>
      <c r="J151" s="3450">
        <v>42710</v>
      </c>
      <c r="K151" s="3416">
        <v>42736</v>
      </c>
      <c r="L151" s="3429">
        <v>43830</v>
      </c>
      <c r="M151" s="3418">
        <v>10</v>
      </c>
      <c r="N151" s="3413" t="s">
        <v>3154</v>
      </c>
      <c r="O151" s="3413" t="s">
        <v>3155</v>
      </c>
      <c r="P151" s="3414" t="s">
        <v>3232</v>
      </c>
      <c r="Q151" s="3414" t="s">
        <v>3583</v>
      </c>
      <c r="R151" s="3419">
        <v>1</v>
      </c>
      <c r="S151" s="3419">
        <v>63.12</v>
      </c>
      <c r="T151" s="3420">
        <v>63.12</v>
      </c>
      <c r="U151" s="3419">
        <v>50</v>
      </c>
      <c r="V151" s="3414" t="s">
        <v>3158</v>
      </c>
      <c r="W151" s="3496" t="s">
        <v>3218</v>
      </c>
      <c r="X151" s="3422">
        <f t="shared" si="39"/>
        <v>3156</v>
      </c>
      <c r="Y151" s="3422">
        <f t="shared" si="40"/>
        <v>1.6666666666666667</v>
      </c>
      <c r="Z151" s="3433">
        <f t="shared" si="50"/>
        <v>1.6666666666666667</v>
      </c>
      <c r="AA151" s="3423">
        <f t="shared" si="41"/>
        <v>13781.2</v>
      </c>
      <c r="AB151" s="3407">
        <f t="shared" si="37"/>
        <v>1.7666666666666668</v>
      </c>
      <c r="AC151" s="3404">
        <f t="shared" si="42"/>
        <v>40701.879999999997</v>
      </c>
      <c r="AD151" s="3446">
        <f t="shared" si="38"/>
        <v>1.8726666666666669</v>
      </c>
      <c r="AE151" s="3404">
        <f t="shared" si="43"/>
        <v>43143.99</v>
      </c>
      <c r="AF151" s="3446">
        <v>2.2000000000000002</v>
      </c>
      <c r="AG151" s="3404">
        <f t="shared" si="44"/>
        <v>50685.36</v>
      </c>
      <c r="AH151" s="3447">
        <f t="shared" si="36"/>
        <v>2.2549999999999999</v>
      </c>
      <c r="AI151" s="3399">
        <f t="shared" si="45"/>
        <v>51952.49</v>
      </c>
      <c r="AJ151" s="3404">
        <f t="shared" si="49"/>
        <v>2.3113749999999995</v>
      </c>
      <c r="AK151" s="3404">
        <f t="shared" si="46"/>
        <v>53251.31</v>
      </c>
      <c r="AL151" s="3404">
        <f t="shared" si="48"/>
        <v>2.3691593749999993</v>
      </c>
      <c r="AM151" s="3404">
        <f t="shared" si="47"/>
        <v>54582.59</v>
      </c>
      <c r="AN151" s="3404"/>
      <c r="AO151" s="3404"/>
      <c r="AP151" s="3404"/>
      <c r="AQ151" s="3404"/>
      <c r="AR151" s="3404"/>
      <c r="AS151" s="3404"/>
      <c r="AT151" s="3404"/>
      <c r="AU151" s="3404"/>
      <c r="AV151" s="3404"/>
      <c r="AW151" s="3404"/>
      <c r="AX151" s="3404"/>
      <c r="AY151" s="3404"/>
      <c r="AZ151" s="3404"/>
      <c r="BA151" s="3404"/>
      <c r="BB151" s="3404"/>
      <c r="BC151" s="3404"/>
      <c r="BD151" s="3404"/>
      <c r="BE151" s="3404"/>
      <c r="BF151" s="3404"/>
    </row>
    <row r="152" spans="1:58" s="3399" customFormat="1" ht="42.75">
      <c r="A152" s="3414" t="s">
        <v>3579</v>
      </c>
      <c r="B152" s="3414" t="s">
        <v>3580</v>
      </c>
      <c r="C152" s="3414" t="s">
        <v>3581</v>
      </c>
      <c r="D152" s="3414" t="s">
        <v>3582</v>
      </c>
      <c r="E152" s="3414" t="s">
        <v>3200</v>
      </c>
      <c r="F152" s="3414" t="s">
        <v>3216</v>
      </c>
      <c r="G152" s="3413" t="s">
        <v>3152</v>
      </c>
      <c r="H152" s="3414" t="s">
        <v>3225</v>
      </c>
      <c r="I152" s="3449">
        <v>0.06</v>
      </c>
      <c r="J152" s="3450">
        <v>42710</v>
      </c>
      <c r="K152" s="3416">
        <v>42736</v>
      </c>
      <c r="L152" s="3429">
        <v>43830</v>
      </c>
      <c r="M152" s="3418">
        <v>0</v>
      </c>
      <c r="N152" s="3413" t="s">
        <v>3154</v>
      </c>
      <c r="O152" s="3413" t="s">
        <v>3155</v>
      </c>
      <c r="P152" s="3414" t="s">
        <v>3232</v>
      </c>
      <c r="Q152" s="3414" t="s">
        <v>3583</v>
      </c>
      <c r="R152" s="3419">
        <v>1</v>
      </c>
      <c r="S152" s="3419">
        <v>63.12</v>
      </c>
      <c r="T152" s="3420">
        <v>63.12</v>
      </c>
      <c r="U152" s="3419">
        <v>50</v>
      </c>
      <c r="V152" s="3414" t="s">
        <v>3158</v>
      </c>
      <c r="W152" s="3496" t="s">
        <v>3159</v>
      </c>
      <c r="X152" s="3422">
        <f t="shared" si="39"/>
        <v>3156</v>
      </c>
      <c r="Y152" s="3422">
        <f t="shared" si="40"/>
        <v>1.6666666666666667</v>
      </c>
      <c r="Z152" s="3433">
        <f t="shared" si="50"/>
        <v>1.6666666666666667</v>
      </c>
      <c r="AA152" s="3423">
        <f t="shared" si="41"/>
        <v>13781.2</v>
      </c>
      <c r="AB152" s="3407">
        <f t="shared" si="37"/>
        <v>1.7666666666666668</v>
      </c>
      <c r="AC152" s="3404">
        <f t="shared" si="42"/>
        <v>40701.879999999997</v>
      </c>
      <c r="AD152" s="3446">
        <f t="shared" si="38"/>
        <v>1.8726666666666669</v>
      </c>
      <c r="AE152" s="3404">
        <f t="shared" si="43"/>
        <v>43143.99</v>
      </c>
      <c r="AF152" s="3446">
        <v>2.2000000000000002</v>
      </c>
      <c r="AG152" s="3404">
        <f t="shared" si="44"/>
        <v>50685.36</v>
      </c>
      <c r="AH152" s="3447">
        <f t="shared" si="36"/>
        <v>2.2549999999999999</v>
      </c>
      <c r="AI152" s="3399">
        <f t="shared" si="45"/>
        <v>51952.49</v>
      </c>
      <c r="AJ152" s="3404">
        <f t="shared" si="49"/>
        <v>2.3113749999999995</v>
      </c>
      <c r="AK152" s="3404">
        <f t="shared" si="46"/>
        <v>53251.31</v>
      </c>
      <c r="AL152" s="3404">
        <f t="shared" si="48"/>
        <v>2.3691593749999993</v>
      </c>
      <c r="AM152" s="3404">
        <f t="shared" si="47"/>
        <v>54582.59</v>
      </c>
      <c r="AN152" s="3404"/>
      <c r="AO152" s="3404"/>
      <c r="AP152" s="3404"/>
      <c r="AQ152" s="3404"/>
      <c r="AR152" s="3404"/>
      <c r="AS152" s="3404"/>
      <c r="AT152" s="3404"/>
      <c r="AU152" s="3404"/>
      <c r="AV152" s="3404"/>
      <c r="AW152" s="3404"/>
      <c r="AX152" s="3404"/>
      <c r="AY152" s="3404"/>
      <c r="AZ152" s="3404"/>
      <c r="BA152" s="3404"/>
      <c r="BB152" s="3404"/>
      <c r="BC152" s="3404"/>
      <c r="BD152" s="3404"/>
      <c r="BE152" s="3404"/>
      <c r="BF152" s="3404"/>
    </row>
    <row r="153" spans="1:58" s="3399" customFormat="1" ht="42.75">
      <c r="A153" s="3414" t="s">
        <v>3584</v>
      </c>
      <c r="B153" s="3414" t="s">
        <v>3585</v>
      </c>
      <c r="C153" s="3414" t="s">
        <v>3586</v>
      </c>
      <c r="D153" s="3414" t="s">
        <v>3587</v>
      </c>
      <c r="E153" s="3414" t="s">
        <v>3200</v>
      </c>
      <c r="F153" s="3414" t="s">
        <v>3216</v>
      </c>
      <c r="G153" s="3413" t="s">
        <v>3152</v>
      </c>
      <c r="H153" s="3414" t="s">
        <v>3588</v>
      </c>
      <c r="I153" s="3449">
        <v>0.06</v>
      </c>
      <c r="J153" s="3450">
        <v>42733</v>
      </c>
      <c r="K153" s="3485">
        <v>42795</v>
      </c>
      <c r="L153" s="3429">
        <v>43890</v>
      </c>
      <c r="M153" s="3430">
        <v>12</v>
      </c>
      <c r="N153" s="3413" t="s">
        <v>3154</v>
      </c>
      <c r="O153" s="3413" t="s">
        <v>3363</v>
      </c>
      <c r="P153" s="3414" t="s">
        <v>3589</v>
      </c>
      <c r="Q153" s="3414" t="s">
        <v>3590</v>
      </c>
      <c r="R153" s="3419">
        <v>2</v>
      </c>
      <c r="S153" s="3420">
        <v>150.04</v>
      </c>
      <c r="T153" s="3497">
        <v>150.04</v>
      </c>
      <c r="U153" s="3420">
        <v>50</v>
      </c>
      <c r="V153" s="3414" t="s">
        <v>3158</v>
      </c>
      <c r="W153" s="3496" t="s">
        <v>3218</v>
      </c>
      <c r="X153" s="3422">
        <f t="shared" si="39"/>
        <v>7502</v>
      </c>
      <c r="Y153" s="3422">
        <f t="shared" si="40"/>
        <v>1.6666666666666667</v>
      </c>
      <c r="Z153" s="3433">
        <f t="shared" si="50"/>
        <v>1.6666666666666667</v>
      </c>
      <c r="AA153" s="3423">
        <f t="shared" si="41"/>
        <v>32758.73</v>
      </c>
      <c r="AB153" s="3407">
        <f t="shared" si="37"/>
        <v>1.7666666666666668</v>
      </c>
      <c r="AC153" s="3404">
        <f t="shared" si="42"/>
        <v>96750.79</v>
      </c>
      <c r="AD153" s="3446">
        <f t="shared" si="38"/>
        <v>1.8726666666666669</v>
      </c>
      <c r="AE153" s="3404">
        <f t="shared" si="43"/>
        <v>102555.84</v>
      </c>
      <c r="AF153" s="3446">
        <f>AD153*(1+$Z$1)</f>
        <v>1.9850266666666669</v>
      </c>
      <c r="AG153" s="3404">
        <f t="shared" si="44"/>
        <v>108709.19</v>
      </c>
      <c r="AH153" s="3404">
        <v>2.2000000000000002</v>
      </c>
      <c r="AI153" s="3399">
        <f t="shared" si="45"/>
        <v>120482.12</v>
      </c>
      <c r="AJ153" s="3404">
        <f t="shared" si="49"/>
        <v>2.2549999999999999</v>
      </c>
      <c r="AK153" s="3404">
        <f t="shared" si="46"/>
        <v>123494.17</v>
      </c>
      <c r="AL153" s="3404">
        <f t="shared" si="48"/>
        <v>2.3113749999999995</v>
      </c>
      <c r="AM153" s="3404">
        <f t="shared" si="47"/>
        <v>126581.53</v>
      </c>
      <c r="AN153" s="3404"/>
      <c r="AO153" s="3404"/>
      <c r="AP153" s="3404"/>
      <c r="AQ153" s="3404"/>
      <c r="AR153" s="3404"/>
      <c r="AS153" s="3404"/>
      <c r="AT153" s="3404"/>
      <c r="AU153" s="3404"/>
      <c r="AV153" s="3404"/>
      <c r="AW153" s="3404"/>
      <c r="AX153" s="3404"/>
      <c r="AY153" s="3404"/>
      <c r="AZ153" s="3404"/>
      <c r="BA153" s="3404"/>
      <c r="BB153" s="3404"/>
      <c r="BC153" s="3404"/>
      <c r="BD153" s="3404"/>
      <c r="BE153" s="3404"/>
      <c r="BF153" s="3404"/>
    </row>
    <row r="154" spans="1:58" s="3399" customFormat="1" ht="42.75">
      <c r="A154" s="3414" t="s">
        <v>3584</v>
      </c>
      <c r="B154" s="3414" t="s">
        <v>3585</v>
      </c>
      <c r="C154" s="3414" t="s">
        <v>3586</v>
      </c>
      <c r="D154" s="3414" t="s">
        <v>3587</v>
      </c>
      <c r="E154" s="3414" t="s">
        <v>3200</v>
      </c>
      <c r="F154" s="3414" t="s">
        <v>3216</v>
      </c>
      <c r="G154" s="3413" t="s">
        <v>3152</v>
      </c>
      <c r="H154" s="3414" t="s">
        <v>3588</v>
      </c>
      <c r="I154" s="3449">
        <v>0.06</v>
      </c>
      <c r="J154" s="3450">
        <v>42733</v>
      </c>
      <c r="K154" s="3485">
        <v>42795</v>
      </c>
      <c r="L154" s="3429">
        <v>43890</v>
      </c>
      <c r="M154" s="3430">
        <v>12</v>
      </c>
      <c r="N154" s="3413" t="s">
        <v>3154</v>
      </c>
      <c r="O154" s="3413" t="s">
        <v>3363</v>
      </c>
      <c r="P154" s="3414" t="s">
        <v>3589</v>
      </c>
      <c r="Q154" s="3414" t="s">
        <v>3590</v>
      </c>
      <c r="R154" s="3419">
        <v>2</v>
      </c>
      <c r="S154" s="3420">
        <v>150.04</v>
      </c>
      <c r="T154" s="3497">
        <v>150.04</v>
      </c>
      <c r="U154" s="3420">
        <v>50</v>
      </c>
      <c r="V154" s="3414" t="s">
        <v>3158</v>
      </c>
      <c r="W154" s="3496" t="s">
        <v>3159</v>
      </c>
      <c r="X154" s="3422">
        <f t="shared" si="39"/>
        <v>7502</v>
      </c>
      <c r="Y154" s="3422">
        <f t="shared" si="40"/>
        <v>1.6666666666666667</v>
      </c>
      <c r="Z154" s="3433">
        <f t="shared" si="50"/>
        <v>1.6666666666666667</v>
      </c>
      <c r="AA154" s="3423">
        <f t="shared" si="41"/>
        <v>32758.73</v>
      </c>
      <c r="AB154" s="3407">
        <f t="shared" si="37"/>
        <v>1.7666666666666668</v>
      </c>
      <c r="AC154" s="3404">
        <f t="shared" si="42"/>
        <v>96750.79</v>
      </c>
      <c r="AD154" s="3446">
        <f t="shared" si="38"/>
        <v>1.8726666666666669</v>
      </c>
      <c r="AE154" s="3404">
        <f t="shared" si="43"/>
        <v>102555.84</v>
      </c>
      <c r="AF154" s="3446">
        <f>AD154*(1+$Z$1)</f>
        <v>1.9850266666666669</v>
      </c>
      <c r="AG154" s="3404">
        <f t="shared" si="44"/>
        <v>108709.19</v>
      </c>
      <c r="AH154" s="3404">
        <v>2.2000000000000002</v>
      </c>
      <c r="AI154" s="3399">
        <f t="shared" si="45"/>
        <v>120482.12</v>
      </c>
      <c r="AJ154" s="3404">
        <f t="shared" si="49"/>
        <v>2.2549999999999999</v>
      </c>
      <c r="AK154" s="3404">
        <f t="shared" si="46"/>
        <v>123494.17</v>
      </c>
      <c r="AL154" s="3404">
        <f t="shared" si="48"/>
        <v>2.3113749999999995</v>
      </c>
      <c r="AM154" s="3404">
        <f t="shared" si="47"/>
        <v>126581.53</v>
      </c>
      <c r="AN154" s="3404"/>
      <c r="AO154" s="3404"/>
      <c r="AP154" s="3404"/>
      <c r="AQ154" s="3404"/>
      <c r="AR154" s="3404"/>
      <c r="AS154" s="3404"/>
      <c r="AT154" s="3404"/>
      <c r="AU154" s="3404"/>
      <c r="AV154" s="3404"/>
      <c r="AW154" s="3404"/>
      <c r="AX154" s="3404"/>
      <c r="AY154" s="3404"/>
      <c r="AZ154" s="3404"/>
      <c r="BA154" s="3404"/>
      <c r="BB154" s="3404"/>
      <c r="BC154" s="3404"/>
      <c r="BD154" s="3404"/>
      <c r="BE154" s="3404"/>
      <c r="BF154" s="3404"/>
    </row>
    <row r="155" spans="1:58" s="3399" customFormat="1" ht="42.75">
      <c r="A155" s="3414" t="s">
        <v>3591</v>
      </c>
      <c r="B155" s="3414" t="s">
        <v>3592</v>
      </c>
      <c r="C155" s="3414" t="s">
        <v>3593</v>
      </c>
      <c r="D155" s="3414" t="s">
        <v>3594</v>
      </c>
      <c r="E155" s="3414" t="s">
        <v>3246</v>
      </c>
      <c r="F155" s="3414" t="s">
        <v>3216</v>
      </c>
      <c r="G155" s="3413" t="s">
        <v>3152</v>
      </c>
      <c r="H155" s="3414" t="s">
        <v>3381</v>
      </c>
      <c r="I155" s="3449">
        <v>0.06</v>
      </c>
      <c r="J155" s="3450">
        <v>42727</v>
      </c>
      <c r="K155" s="3485">
        <v>42736</v>
      </c>
      <c r="L155" s="3429">
        <v>43830</v>
      </c>
      <c r="M155" s="3430">
        <v>6</v>
      </c>
      <c r="N155" s="3414" t="s">
        <v>3154</v>
      </c>
      <c r="O155" s="3413" t="s">
        <v>3155</v>
      </c>
      <c r="P155" s="3413" t="s">
        <v>3202</v>
      </c>
      <c r="Q155" s="3414" t="s">
        <v>3595</v>
      </c>
      <c r="R155" s="3420">
        <v>1</v>
      </c>
      <c r="S155" s="3419">
        <v>35.46</v>
      </c>
      <c r="T155" s="3420">
        <v>35.46</v>
      </c>
      <c r="U155" s="3419">
        <v>50</v>
      </c>
      <c r="V155" s="3414" t="s">
        <v>3158</v>
      </c>
      <c r="W155" s="3432" t="s">
        <v>3218</v>
      </c>
      <c r="X155" s="3422">
        <f t="shared" si="39"/>
        <v>1773</v>
      </c>
      <c r="Y155" s="3422">
        <f t="shared" si="40"/>
        <v>1.6666666666666667</v>
      </c>
      <c r="Z155" s="3433">
        <f t="shared" si="50"/>
        <v>1.6666666666666667</v>
      </c>
      <c r="AA155" s="3423">
        <f t="shared" si="41"/>
        <v>7742.1</v>
      </c>
      <c r="AB155" s="3407">
        <f t="shared" si="37"/>
        <v>1.7666666666666668</v>
      </c>
      <c r="AC155" s="3404">
        <f t="shared" si="42"/>
        <v>22865.79</v>
      </c>
      <c r="AD155" s="3446">
        <f t="shared" si="38"/>
        <v>1.8726666666666669</v>
      </c>
      <c r="AE155" s="3404">
        <f t="shared" si="43"/>
        <v>24237.74</v>
      </c>
      <c r="AF155" s="3446">
        <v>2.2000000000000002</v>
      </c>
      <c r="AG155" s="3404">
        <f t="shared" si="44"/>
        <v>28474.38</v>
      </c>
      <c r="AH155" s="3404">
        <f>AF155*(1+$AH$1)</f>
        <v>2.2549999999999999</v>
      </c>
      <c r="AI155" s="3399">
        <f t="shared" si="45"/>
        <v>29186.240000000002</v>
      </c>
      <c r="AJ155" s="3404">
        <f t="shared" si="49"/>
        <v>2.3113749999999995</v>
      </c>
      <c r="AK155" s="3404">
        <f t="shared" si="46"/>
        <v>29915.9</v>
      </c>
      <c r="AL155" s="3404">
        <f t="shared" si="48"/>
        <v>2.3691593749999993</v>
      </c>
      <c r="AM155" s="3404">
        <f t="shared" si="47"/>
        <v>30663.79</v>
      </c>
      <c r="AN155" s="3404"/>
      <c r="AO155" s="3404"/>
      <c r="AP155" s="3404"/>
      <c r="AQ155" s="3404"/>
      <c r="AR155" s="3404"/>
      <c r="AS155" s="3404"/>
      <c r="AT155" s="3404"/>
      <c r="AU155" s="3404"/>
      <c r="AV155" s="3404"/>
      <c r="AW155" s="3404"/>
      <c r="AX155" s="3404"/>
      <c r="AY155" s="3404"/>
      <c r="AZ155" s="3404"/>
      <c r="BA155" s="3404"/>
      <c r="BB155" s="3404"/>
      <c r="BC155" s="3404"/>
      <c r="BD155" s="3404"/>
      <c r="BE155" s="3404"/>
      <c r="BF155" s="3404"/>
    </row>
    <row r="156" spans="1:58" s="3399" customFormat="1" ht="42.75">
      <c r="A156" s="3414" t="s">
        <v>3591</v>
      </c>
      <c r="B156" s="3414" t="s">
        <v>3592</v>
      </c>
      <c r="C156" s="3414" t="s">
        <v>3593</v>
      </c>
      <c r="D156" s="3414" t="s">
        <v>3594</v>
      </c>
      <c r="E156" s="3414" t="s">
        <v>3246</v>
      </c>
      <c r="F156" s="3414" t="s">
        <v>3216</v>
      </c>
      <c r="G156" s="3413" t="s">
        <v>3152</v>
      </c>
      <c r="H156" s="3414" t="s">
        <v>3381</v>
      </c>
      <c r="I156" s="3449">
        <v>0.06</v>
      </c>
      <c r="J156" s="3450">
        <v>42727</v>
      </c>
      <c r="K156" s="3485">
        <v>42736</v>
      </c>
      <c r="L156" s="3429">
        <v>43830</v>
      </c>
      <c r="M156" s="3430">
        <v>6</v>
      </c>
      <c r="N156" s="3414" t="s">
        <v>3154</v>
      </c>
      <c r="O156" s="3413" t="s">
        <v>3155</v>
      </c>
      <c r="P156" s="3413" t="s">
        <v>3202</v>
      </c>
      <c r="Q156" s="3414" t="s">
        <v>3595</v>
      </c>
      <c r="R156" s="3420">
        <v>1</v>
      </c>
      <c r="S156" s="3419">
        <v>35.46</v>
      </c>
      <c r="T156" s="3420">
        <v>35.46</v>
      </c>
      <c r="U156" s="3419">
        <v>50</v>
      </c>
      <c r="V156" s="3414" t="s">
        <v>3158</v>
      </c>
      <c r="W156" s="3432" t="s">
        <v>3159</v>
      </c>
      <c r="X156" s="3422">
        <f t="shared" si="39"/>
        <v>1773</v>
      </c>
      <c r="Y156" s="3422">
        <f t="shared" si="40"/>
        <v>1.6666666666666667</v>
      </c>
      <c r="Z156" s="3433">
        <f t="shared" si="50"/>
        <v>1.6666666666666667</v>
      </c>
      <c r="AA156" s="3423">
        <f t="shared" si="41"/>
        <v>7742.1</v>
      </c>
      <c r="AB156" s="3407">
        <f t="shared" si="37"/>
        <v>1.7666666666666668</v>
      </c>
      <c r="AC156" s="3404">
        <f t="shared" si="42"/>
        <v>22865.79</v>
      </c>
      <c r="AD156" s="3446">
        <f t="shared" si="38"/>
        <v>1.8726666666666669</v>
      </c>
      <c r="AE156" s="3404">
        <f t="shared" si="43"/>
        <v>24237.74</v>
      </c>
      <c r="AF156" s="3446">
        <v>2.2000000000000002</v>
      </c>
      <c r="AG156" s="3404">
        <f t="shared" si="44"/>
        <v>28474.38</v>
      </c>
      <c r="AH156" s="3404">
        <f>AF156*(1+$AH$1)</f>
        <v>2.2549999999999999</v>
      </c>
      <c r="AI156" s="3399">
        <f t="shared" si="45"/>
        <v>29186.240000000002</v>
      </c>
      <c r="AJ156" s="3404">
        <f t="shared" si="49"/>
        <v>2.3113749999999995</v>
      </c>
      <c r="AK156" s="3404">
        <f t="shared" si="46"/>
        <v>29915.9</v>
      </c>
      <c r="AL156" s="3404">
        <f t="shared" si="48"/>
        <v>2.3691593749999993</v>
      </c>
      <c r="AM156" s="3404">
        <f t="shared" si="47"/>
        <v>30663.79</v>
      </c>
      <c r="AN156" s="3404"/>
      <c r="AO156" s="3404"/>
      <c r="AP156" s="3404"/>
      <c r="AQ156" s="3404"/>
      <c r="AR156" s="3404"/>
      <c r="AS156" s="3404"/>
      <c r="AT156" s="3404"/>
      <c r="AU156" s="3404"/>
      <c r="AV156" s="3404"/>
      <c r="AW156" s="3404"/>
      <c r="AX156" s="3404"/>
      <c r="AY156" s="3404"/>
      <c r="AZ156" s="3404"/>
      <c r="BA156" s="3404"/>
      <c r="BB156" s="3404"/>
      <c r="BC156" s="3404"/>
      <c r="BD156" s="3404"/>
      <c r="BE156" s="3404"/>
      <c r="BF156" s="3404"/>
    </row>
    <row r="157" spans="1:58" s="3399" customFormat="1" ht="42.75">
      <c r="A157" s="3414" t="s">
        <v>3596</v>
      </c>
      <c r="B157" s="3492" t="s">
        <v>3597</v>
      </c>
      <c r="C157" s="3492">
        <v>13416081601</v>
      </c>
      <c r="D157" s="3492" t="s">
        <v>3598</v>
      </c>
      <c r="E157" s="3492" t="s">
        <v>3238</v>
      </c>
      <c r="F157" s="3414" t="s">
        <v>3216</v>
      </c>
      <c r="G157" s="3413" t="s">
        <v>3152</v>
      </c>
      <c r="H157" s="3492" t="s">
        <v>3599</v>
      </c>
      <c r="I157" s="3449">
        <v>0.06</v>
      </c>
      <c r="J157" s="3493">
        <v>42755</v>
      </c>
      <c r="K157" s="3493">
        <v>42810</v>
      </c>
      <c r="L157" s="3494">
        <v>43905</v>
      </c>
      <c r="M157" s="3492">
        <v>12</v>
      </c>
      <c r="N157" s="3414" t="s">
        <v>3170</v>
      </c>
      <c r="O157" s="3413" t="s">
        <v>3155</v>
      </c>
      <c r="P157" s="3414" t="s">
        <v>3209</v>
      </c>
      <c r="Q157" s="3379" t="s">
        <v>3600</v>
      </c>
      <c r="R157" s="3419">
        <v>1</v>
      </c>
      <c r="S157" s="3492">
        <v>271.83</v>
      </c>
      <c r="T157" s="3495">
        <v>271.83</v>
      </c>
      <c r="U157" s="3492">
        <v>16</v>
      </c>
      <c r="V157" s="3414" t="s">
        <v>3158</v>
      </c>
      <c r="W157" s="3432" t="s">
        <v>3218</v>
      </c>
      <c r="X157" s="3422">
        <f t="shared" si="39"/>
        <v>4349</v>
      </c>
      <c r="Y157" s="3422">
        <f t="shared" si="40"/>
        <v>0.53329899814835258</v>
      </c>
      <c r="Z157" s="3433">
        <f t="shared" si="50"/>
        <v>0.53329899814835258</v>
      </c>
      <c r="AA157" s="3423">
        <f t="shared" si="41"/>
        <v>18990.63</v>
      </c>
      <c r="AB157" s="3407">
        <f t="shared" si="37"/>
        <v>0.56529693803725378</v>
      </c>
      <c r="AC157" s="3404">
        <f t="shared" si="42"/>
        <v>56087.6</v>
      </c>
      <c r="AD157" s="3446">
        <f t="shared" si="38"/>
        <v>0.59921475431948901</v>
      </c>
      <c r="AE157" s="3404">
        <f t="shared" si="43"/>
        <v>59452.86</v>
      </c>
      <c r="AF157" s="3446">
        <f t="shared" ref="AF157:AF177" si="51">AD157*(1+$Z$1)</f>
        <v>0.63516763957865841</v>
      </c>
      <c r="AG157" s="3404">
        <f t="shared" si="44"/>
        <v>63020.03</v>
      </c>
      <c r="AH157" s="3404">
        <v>2.2000000000000002</v>
      </c>
      <c r="AI157" s="3399">
        <f t="shared" si="45"/>
        <v>218279.49</v>
      </c>
      <c r="AJ157" s="3404">
        <f t="shared" si="49"/>
        <v>2.2549999999999999</v>
      </c>
      <c r="AK157" s="3404">
        <f t="shared" si="46"/>
        <v>223736.48</v>
      </c>
      <c r="AL157" s="3404">
        <f t="shared" si="48"/>
        <v>2.3113749999999995</v>
      </c>
      <c r="AM157" s="3404">
        <f t="shared" si="47"/>
        <v>229329.89</v>
      </c>
      <c r="AN157" s="3404"/>
      <c r="AO157" s="3404"/>
      <c r="AP157" s="3404"/>
      <c r="AQ157" s="3404"/>
      <c r="AR157" s="3404"/>
      <c r="AS157" s="3404"/>
      <c r="AT157" s="3404"/>
      <c r="AU157" s="3404"/>
      <c r="AV157" s="3404"/>
      <c r="AW157" s="3404"/>
      <c r="AX157" s="3404"/>
      <c r="AY157" s="3404"/>
      <c r="AZ157" s="3404"/>
      <c r="BA157" s="3404"/>
      <c r="BB157" s="3404"/>
      <c r="BC157" s="3404"/>
      <c r="BD157" s="3404"/>
      <c r="BE157" s="3404"/>
      <c r="BF157" s="3404"/>
    </row>
    <row r="158" spans="1:58" s="3399" customFormat="1" ht="42.75">
      <c r="A158" s="3414" t="s">
        <v>3596</v>
      </c>
      <c r="B158" s="3492" t="s">
        <v>3597</v>
      </c>
      <c r="C158" s="3492">
        <v>13416081601</v>
      </c>
      <c r="D158" s="3492" t="s">
        <v>3598</v>
      </c>
      <c r="E158" s="3492" t="s">
        <v>3238</v>
      </c>
      <c r="F158" s="3414" t="s">
        <v>3216</v>
      </c>
      <c r="G158" s="3413" t="s">
        <v>3152</v>
      </c>
      <c r="H158" s="3492" t="s">
        <v>3599</v>
      </c>
      <c r="I158" s="3449">
        <v>0.06</v>
      </c>
      <c r="J158" s="3493">
        <v>42755</v>
      </c>
      <c r="K158" s="3493">
        <v>42810</v>
      </c>
      <c r="L158" s="3494">
        <v>43905</v>
      </c>
      <c r="M158" s="3492">
        <v>12</v>
      </c>
      <c r="N158" s="3414" t="s">
        <v>3170</v>
      </c>
      <c r="O158" s="3413" t="s">
        <v>3155</v>
      </c>
      <c r="P158" s="3414" t="s">
        <v>3209</v>
      </c>
      <c r="Q158" s="3379" t="s">
        <v>3600</v>
      </c>
      <c r="R158" s="3419">
        <v>1</v>
      </c>
      <c r="S158" s="3492">
        <v>271.83</v>
      </c>
      <c r="T158" s="3495">
        <v>271.83</v>
      </c>
      <c r="U158" s="3492">
        <v>16</v>
      </c>
      <c r="V158" s="3414" t="s">
        <v>3158</v>
      </c>
      <c r="W158" s="3432" t="s">
        <v>3159</v>
      </c>
      <c r="X158" s="3422">
        <f t="shared" si="39"/>
        <v>4349</v>
      </c>
      <c r="Y158" s="3422">
        <f t="shared" si="40"/>
        <v>0.53329899814835258</v>
      </c>
      <c r="Z158" s="3433">
        <f t="shared" si="50"/>
        <v>0.53329899814835258</v>
      </c>
      <c r="AA158" s="3423">
        <f t="shared" si="41"/>
        <v>18990.63</v>
      </c>
      <c r="AB158" s="3407">
        <f t="shared" si="37"/>
        <v>0.56529693803725378</v>
      </c>
      <c r="AC158" s="3404">
        <f t="shared" si="42"/>
        <v>56087.6</v>
      </c>
      <c r="AD158" s="3446">
        <f t="shared" si="38"/>
        <v>0.59921475431948901</v>
      </c>
      <c r="AE158" s="3404">
        <f t="shared" si="43"/>
        <v>59452.86</v>
      </c>
      <c r="AF158" s="3446">
        <f t="shared" si="51"/>
        <v>0.63516763957865841</v>
      </c>
      <c r="AG158" s="3404">
        <f t="shared" si="44"/>
        <v>63020.03</v>
      </c>
      <c r="AH158" s="3404">
        <v>2.2000000000000002</v>
      </c>
      <c r="AI158" s="3399">
        <f t="shared" si="45"/>
        <v>218279.49</v>
      </c>
      <c r="AJ158" s="3404">
        <f t="shared" si="49"/>
        <v>2.2549999999999999</v>
      </c>
      <c r="AK158" s="3404">
        <f t="shared" si="46"/>
        <v>223736.48</v>
      </c>
      <c r="AL158" s="3404">
        <f t="shared" si="48"/>
        <v>2.3113749999999995</v>
      </c>
      <c r="AM158" s="3404">
        <f t="shared" si="47"/>
        <v>229329.89</v>
      </c>
      <c r="AN158" s="3404"/>
      <c r="AO158" s="3404"/>
      <c r="AP158" s="3404"/>
      <c r="AQ158" s="3404"/>
      <c r="AR158" s="3404"/>
      <c r="AS158" s="3404"/>
      <c r="AT158" s="3404"/>
      <c r="AU158" s="3404"/>
      <c r="AV158" s="3404"/>
      <c r="AW158" s="3404"/>
      <c r="AX158" s="3404"/>
      <c r="AY158" s="3404"/>
      <c r="AZ158" s="3404"/>
      <c r="BA158" s="3404"/>
      <c r="BB158" s="3404"/>
      <c r="BC158" s="3404"/>
      <c r="BD158" s="3404"/>
      <c r="BE158" s="3404"/>
      <c r="BF158" s="3404"/>
    </row>
    <row r="159" spans="1:58" s="3399" customFormat="1" ht="42.75">
      <c r="A159" s="3414" t="s">
        <v>3601</v>
      </c>
      <c r="B159" s="3414" t="s">
        <v>3602</v>
      </c>
      <c r="C159" s="3414" t="s">
        <v>3603</v>
      </c>
      <c r="D159" s="3414" t="s">
        <v>3604</v>
      </c>
      <c r="E159" s="3414" t="s">
        <v>3454</v>
      </c>
      <c r="F159" s="3414" t="s">
        <v>3216</v>
      </c>
      <c r="G159" s="3413" t="s">
        <v>3152</v>
      </c>
      <c r="H159" s="3414" t="s">
        <v>3599</v>
      </c>
      <c r="I159" s="3449">
        <v>0.06</v>
      </c>
      <c r="J159" s="3450">
        <v>42775</v>
      </c>
      <c r="K159" s="3485">
        <v>42810</v>
      </c>
      <c r="L159" s="3429">
        <v>43905</v>
      </c>
      <c r="M159" s="3430">
        <v>12</v>
      </c>
      <c r="N159" s="3414" t="s">
        <v>3170</v>
      </c>
      <c r="O159" s="3413" t="s">
        <v>3363</v>
      </c>
      <c r="P159" s="3414" t="s">
        <v>3404</v>
      </c>
      <c r="Q159" s="3489" t="s">
        <v>3605</v>
      </c>
      <c r="R159" s="3420">
        <v>1</v>
      </c>
      <c r="S159" s="3420">
        <v>117.99</v>
      </c>
      <c r="T159" s="3490">
        <v>117.99</v>
      </c>
      <c r="U159" s="3420">
        <v>35</v>
      </c>
      <c r="V159" s="3414" t="s">
        <v>3158</v>
      </c>
      <c r="W159" s="3496" t="s">
        <v>3218</v>
      </c>
      <c r="X159" s="3422">
        <f t="shared" si="39"/>
        <v>4130</v>
      </c>
      <c r="Y159" s="3422">
        <f t="shared" si="40"/>
        <v>1.1667655451026924</v>
      </c>
      <c r="Z159" s="3433">
        <f t="shared" si="50"/>
        <v>1.1667655451026924</v>
      </c>
      <c r="AA159" s="3423">
        <f t="shared" si="41"/>
        <v>18034.330000000002</v>
      </c>
      <c r="AB159" s="3407">
        <f t="shared" si="37"/>
        <v>1.2367714778088539</v>
      </c>
      <c r="AC159" s="3404">
        <f t="shared" si="42"/>
        <v>53263.23</v>
      </c>
      <c r="AD159" s="3446">
        <f t="shared" si="38"/>
        <v>1.3109777664773852</v>
      </c>
      <c r="AE159" s="3404">
        <f t="shared" si="43"/>
        <v>56459.03</v>
      </c>
      <c r="AF159" s="3446">
        <f t="shared" si="51"/>
        <v>1.3896364324660284</v>
      </c>
      <c r="AG159" s="3404">
        <f t="shared" si="44"/>
        <v>59846.57</v>
      </c>
      <c r="AH159" s="3404">
        <v>2.2000000000000002</v>
      </c>
      <c r="AI159" s="3399">
        <f t="shared" si="45"/>
        <v>94745.97</v>
      </c>
      <c r="AJ159" s="3404">
        <f t="shared" si="49"/>
        <v>2.2549999999999999</v>
      </c>
      <c r="AK159" s="3404">
        <f t="shared" si="46"/>
        <v>97114.62</v>
      </c>
      <c r="AL159" s="3404">
        <f t="shared" si="48"/>
        <v>2.3113749999999995</v>
      </c>
      <c r="AM159" s="3404">
        <f t="shared" si="47"/>
        <v>99542.48</v>
      </c>
      <c r="AN159" s="3404"/>
      <c r="AO159" s="3404"/>
      <c r="AP159" s="3404"/>
      <c r="AQ159" s="3404"/>
      <c r="AR159" s="3404"/>
      <c r="AS159" s="3404"/>
      <c r="AT159" s="3404"/>
      <c r="AU159" s="3404"/>
      <c r="AV159" s="3404"/>
      <c r="AW159" s="3404"/>
      <c r="AX159" s="3404"/>
      <c r="AY159" s="3404"/>
      <c r="AZ159" s="3404"/>
      <c r="BA159" s="3404"/>
      <c r="BB159" s="3404"/>
      <c r="BC159" s="3404"/>
      <c r="BD159" s="3404"/>
      <c r="BE159" s="3404"/>
      <c r="BF159" s="3404"/>
    </row>
    <row r="160" spans="1:58" s="3399" customFormat="1" ht="42.75">
      <c r="A160" s="3414" t="s">
        <v>3601</v>
      </c>
      <c r="B160" s="3414" t="s">
        <v>3602</v>
      </c>
      <c r="C160" s="3414" t="s">
        <v>3603</v>
      </c>
      <c r="D160" s="3414" t="s">
        <v>3604</v>
      </c>
      <c r="E160" s="3414" t="s">
        <v>3454</v>
      </c>
      <c r="F160" s="3414" t="s">
        <v>3216</v>
      </c>
      <c r="G160" s="3413" t="s">
        <v>3152</v>
      </c>
      <c r="H160" s="3414" t="s">
        <v>3599</v>
      </c>
      <c r="I160" s="3449">
        <v>0.06</v>
      </c>
      <c r="J160" s="3450">
        <v>42775</v>
      </c>
      <c r="K160" s="3485">
        <v>42810</v>
      </c>
      <c r="L160" s="3429">
        <v>43905</v>
      </c>
      <c r="M160" s="3430">
        <v>12</v>
      </c>
      <c r="N160" s="3414" t="s">
        <v>3170</v>
      </c>
      <c r="O160" s="3413" t="s">
        <v>3363</v>
      </c>
      <c r="P160" s="3414" t="s">
        <v>3404</v>
      </c>
      <c r="Q160" s="3489" t="s">
        <v>3605</v>
      </c>
      <c r="R160" s="3420">
        <v>1</v>
      </c>
      <c r="S160" s="3420">
        <v>117.99</v>
      </c>
      <c r="T160" s="3490">
        <v>117.99</v>
      </c>
      <c r="U160" s="3420">
        <v>35</v>
      </c>
      <c r="V160" s="3414" t="s">
        <v>3158</v>
      </c>
      <c r="W160" s="3496" t="s">
        <v>3159</v>
      </c>
      <c r="X160" s="3422">
        <f t="shared" si="39"/>
        <v>4130</v>
      </c>
      <c r="Y160" s="3422">
        <f t="shared" si="40"/>
        <v>1.1667655451026924</v>
      </c>
      <c r="Z160" s="3433">
        <f t="shared" si="50"/>
        <v>1.1667655451026924</v>
      </c>
      <c r="AA160" s="3423">
        <f t="shared" si="41"/>
        <v>18034.330000000002</v>
      </c>
      <c r="AB160" s="3407">
        <f t="shared" si="37"/>
        <v>1.2367714778088539</v>
      </c>
      <c r="AC160" s="3404">
        <f t="shared" si="42"/>
        <v>53263.23</v>
      </c>
      <c r="AD160" s="3446">
        <f t="shared" si="38"/>
        <v>1.3109777664773852</v>
      </c>
      <c r="AE160" s="3404">
        <f t="shared" si="43"/>
        <v>56459.03</v>
      </c>
      <c r="AF160" s="3446">
        <f t="shared" si="51"/>
        <v>1.3896364324660284</v>
      </c>
      <c r="AG160" s="3404">
        <f t="shared" si="44"/>
        <v>59846.57</v>
      </c>
      <c r="AH160" s="3404">
        <v>2.2000000000000002</v>
      </c>
      <c r="AI160" s="3399">
        <f t="shared" si="45"/>
        <v>94745.97</v>
      </c>
      <c r="AJ160" s="3404">
        <f t="shared" si="49"/>
        <v>2.2549999999999999</v>
      </c>
      <c r="AK160" s="3404">
        <f t="shared" si="46"/>
        <v>97114.62</v>
      </c>
      <c r="AL160" s="3404">
        <f t="shared" si="48"/>
        <v>2.3113749999999995</v>
      </c>
      <c r="AM160" s="3404">
        <f t="shared" si="47"/>
        <v>99542.48</v>
      </c>
      <c r="AN160" s="3404"/>
      <c r="AO160" s="3404"/>
      <c r="AP160" s="3404"/>
      <c r="AQ160" s="3404"/>
      <c r="AR160" s="3404"/>
      <c r="AS160" s="3404"/>
      <c r="AT160" s="3404"/>
      <c r="AU160" s="3404"/>
      <c r="AV160" s="3404"/>
      <c r="AW160" s="3404"/>
      <c r="AX160" s="3404"/>
      <c r="AY160" s="3404"/>
      <c r="AZ160" s="3404"/>
      <c r="BA160" s="3404"/>
      <c r="BB160" s="3404"/>
      <c r="BC160" s="3404"/>
      <c r="BD160" s="3404"/>
      <c r="BE160" s="3404"/>
      <c r="BF160" s="3404"/>
    </row>
    <row r="161" spans="1:58" s="3399" customFormat="1" ht="42.75">
      <c r="A161" s="3414" t="s">
        <v>3606</v>
      </c>
      <c r="B161" s="3414" t="s">
        <v>3607</v>
      </c>
      <c r="C161" s="3414" t="s">
        <v>3608</v>
      </c>
      <c r="D161" s="3414" t="s">
        <v>3609</v>
      </c>
      <c r="E161" s="3414" t="s">
        <v>3200</v>
      </c>
      <c r="F161" s="3414" t="s">
        <v>3216</v>
      </c>
      <c r="G161" s="3413" t="s">
        <v>3152</v>
      </c>
      <c r="H161" s="3414" t="s">
        <v>3610</v>
      </c>
      <c r="I161" s="3449">
        <v>0.06</v>
      </c>
      <c r="J161" s="3450">
        <v>42809</v>
      </c>
      <c r="K161" s="3485">
        <v>42826</v>
      </c>
      <c r="L161" s="3429">
        <v>43921</v>
      </c>
      <c r="M161" s="3430">
        <v>12</v>
      </c>
      <c r="N161" s="3414" t="s">
        <v>3170</v>
      </c>
      <c r="O161" s="3413" t="s">
        <v>3363</v>
      </c>
      <c r="P161" s="3414" t="s">
        <v>3385</v>
      </c>
      <c r="Q161" s="3489" t="s">
        <v>3611</v>
      </c>
      <c r="R161" s="3420">
        <v>3</v>
      </c>
      <c r="S161" s="3420">
        <v>418</v>
      </c>
      <c r="T161" s="3497">
        <v>418</v>
      </c>
      <c r="U161" s="3420">
        <v>19</v>
      </c>
      <c r="V161" s="3414" t="s">
        <v>3158</v>
      </c>
      <c r="W161" s="3496" t="s">
        <v>3218</v>
      </c>
      <c r="X161" s="3422">
        <f t="shared" si="39"/>
        <v>7942</v>
      </c>
      <c r="Y161" s="3422">
        <f t="shared" si="40"/>
        <v>0.6333333333333333</v>
      </c>
      <c r="Z161" s="3433">
        <f t="shared" si="50"/>
        <v>0.6333333333333333</v>
      </c>
      <c r="AA161" s="3423">
        <f t="shared" si="41"/>
        <v>34680.07</v>
      </c>
      <c r="AB161" s="3407">
        <f t="shared" si="37"/>
        <v>0.67133333333333334</v>
      </c>
      <c r="AC161" s="3404">
        <f t="shared" si="42"/>
        <v>102425.33</v>
      </c>
      <c r="AD161" s="3446">
        <f t="shared" si="38"/>
        <v>0.71161333333333332</v>
      </c>
      <c r="AE161" s="3404">
        <f t="shared" si="43"/>
        <v>108570.85</v>
      </c>
      <c r="AF161" s="3446">
        <f t="shared" si="51"/>
        <v>0.75431013333333341</v>
      </c>
      <c r="AG161" s="3404">
        <f t="shared" si="44"/>
        <v>115085.1</v>
      </c>
      <c r="AH161" s="3404">
        <v>2.2000000000000002</v>
      </c>
      <c r="AI161" s="3399">
        <f t="shared" si="45"/>
        <v>335654</v>
      </c>
      <c r="AJ161" s="3404">
        <f t="shared" si="49"/>
        <v>2.2549999999999999</v>
      </c>
      <c r="AK161" s="3404">
        <f t="shared" si="46"/>
        <v>344045.35</v>
      </c>
      <c r="AL161" s="3404">
        <f t="shared" si="48"/>
        <v>2.3113749999999995</v>
      </c>
      <c r="AM161" s="3404">
        <f t="shared" si="47"/>
        <v>352646.48</v>
      </c>
      <c r="AN161" s="3404"/>
      <c r="AO161" s="3404"/>
      <c r="AP161" s="3404"/>
      <c r="AQ161" s="3404"/>
      <c r="AR161" s="3404"/>
      <c r="AS161" s="3404"/>
      <c r="AT161" s="3404"/>
      <c r="AU161" s="3404"/>
      <c r="AV161" s="3404"/>
      <c r="AW161" s="3404"/>
      <c r="AX161" s="3404"/>
      <c r="AY161" s="3404"/>
      <c r="AZ161" s="3404"/>
      <c r="BA161" s="3404"/>
      <c r="BB161" s="3404"/>
      <c r="BC161" s="3404"/>
      <c r="BD161" s="3404"/>
      <c r="BE161" s="3404"/>
      <c r="BF161" s="3404"/>
    </row>
    <row r="162" spans="1:58" s="3399" customFormat="1" ht="42.75">
      <c r="A162" s="3414" t="s">
        <v>3606</v>
      </c>
      <c r="B162" s="3414" t="s">
        <v>3607</v>
      </c>
      <c r="C162" s="3414" t="s">
        <v>3608</v>
      </c>
      <c r="D162" s="3414" t="s">
        <v>3609</v>
      </c>
      <c r="E162" s="3414" t="s">
        <v>3200</v>
      </c>
      <c r="F162" s="3414" t="s">
        <v>3216</v>
      </c>
      <c r="G162" s="3413" t="s">
        <v>3152</v>
      </c>
      <c r="H162" s="3414" t="s">
        <v>3610</v>
      </c>
      <c r="I162" s="3449">
        <v>0.06</v>
      </c>
      <c r="J162" s="3450">
        <v>42809</v>
      </c>
      <c r="K162" s="3485">
        <v>42826</v>
      </c>
      <c r="L162" s="3429">
        <v>43921</v>
      </c>
      <c r="M162" s="3430">
        <v>12</v>
      </c>
      <c r="N162" s="3414" t="s">
        <v>3170</v>
      </c>
      <c r="O162" s="3413" t="s">
        <v>3363</v>
      </c>
      <c r="P162" s="3414" t="s">
        <v>3385</v>
      </c>
      <c r="Q162" s="3489" t="s">
        <v>3611</v>
      </c>
      <c r="R162" s="3420">
        <v>3</v>
      </c>
      <c r="S162" s="3420">
        <v>418</v>
      </c>
      <c r="T162" s="3497">
        <v>418</v>
      </c>
      <c r="U162" s="3420">
        <v>19</v>
      </c>
      <c r="V162" s="3414" t="s">
        <v>3158</v>
      </c>
      <c r="W162" s="3496" t="s">
        <v>3159</v>
      </c>
      <c r="X162" s="3422">
        <f t="shared" si="39"/>
        <v>7942</v>
      </c>
      <c r="Y162" s="3422">
        <f t="shared" si="40"/>
        <v>0.6333333333333333</v>
      </c>
      <c r="Z162" s="3433">
        <f t="shared" si="50"/>
        <v>0.6333333333333333</v>
      </c>
      <c r="AA162" s="3423">
        <f t="shared" si="41"/>
        <v>34680.07</v>
      </c>
      <c r="AB162" s="3407">
        <f t="shared" si="37"/>
        <v>0.67133333333333334</v>
      </c>
      <c r="AC162" s="3404">
        <f t="shared" si="42"/>
        <v>102425.33</v>
      </c>
      <c r="AD162" s="3446">
        <f t="shared" si="38"/>
        <v>0.71161333333333332</v>
      </c>
      <c r="AE162" s="3404">
        <f t="shared" si="43"/>
        <v>108570.85</v>
      </c>
      <c r="AF162" s="3446">
        <f t="shared" si="51"/>
        <v>0.75431013333333341</v>
      </c>
      <c r="AG162" s="3404">
        <f t="shared" si="44"/>
        <v>115085.1</v>
      </c>
      <c r="AH162" s="3404">
        <v>2.2000000000000002</v>
      </c>
      <c r="AI162" s="3399">
        <f t="shared" si="45"/>
        <v>335654</v>
      </c>
      <c r="AJ162" s="3404">
        <f t="shared" si="49"/>
        <v>2.2549999999999999</v>
      </c>
      <c r="AK162" s="3404">
        <f t="shared" si="46"/>
        <v>344045.35</v>
      </c>
      <c r="AL162" s="3404">
        <f t="shared" si="48"/>
        <v>2.3113749999999995</v>
      </c>
      <c r="AM162" s="3404">
        <f t="shared" si="47"/>
        <v>352646.48</v>
      </c>
      <c r="AN162" s="3404"/>
      <c r="AO162" s="3404"/>
      <c r="AP162" s="3404"/>
      <c r="AQ162" s="3404"/>
      <c r="AR162" s="3404"/>
      <c r="AS162" s="3404"/>
      <c r="AT162" s="3404"/>
      <c r="AU162" s="3404"/>
      <c r="AV162" s="3404"/>
      <c r="AW162" s="3404"/>
      <c r="AX162" s="3404"/>
      <c r="AY162" s="3404"/>
      <c r="AZ162" s="3404"/>
      <c r="BA162" s="3404"/>
      <c r="BB162" s="3404"/>
      <c r="BC162" s="3404"/>
      <c r="BD162" s="3404"/>
      <c r="BE162" s="3404"/>
      <c r="BF162" s="3404"/>
    </row>
    <row r="163" spans="1:58" s="3399" customFormat="1" ht="42.75">
      <c r="A163" s="3414" t="s">
        <v>3612</v>
      </c>
      <c r="B163" s="3414" t="s">
        <v>3607</v>
      </c>
      <c r="C163" s="3414" t="s">
        <v>3608</v>
      </c>
      <c r="D163" s="3414" t="s">
        <v>3609</v>
      </c>
      <c r="E163" s="3414" t="s">
        <v>3200</v>
      </c>
      <c r="F163" s="3414" t="s">
        <v>3216</v>
      </c>
      <c r="G163" s="3413" t="s">
        <v>3152</v>
      </c>
      <c r="H163" s="3414" t="s">
        <v>3610</v>
      </c>
      <c r="I163" s="3449">
        <v>0.06</v>
      </c>
      <c r="J163" s="3450">
        <v>42809</v>
      </c>
      <c r="K163" s="3485">
        <v>42826</v>
      </c>
      <c r="L163" s="3429">
        <v>43921</v>
      </c>
      <c r="M163" s="3430">
        <v>12</v>
      </c>
      <c r="N163" s="3414" t="s">
        <v>3170</v>
      </c>
      <c r="O163" s="3413" t="s">
        <v>3363</v>
      </c>
      <c r="P163" s="3414" t="s">
        <v>3385</v>
      </c>
      <c r="Q163" s="3489" t="s">
        <v>3613</v>
      </c>
      <c r="R163" s="3420">
        <v>1</v>
      </c>
      <c r="S163" s="3420">
        <v>104.97</v>
      </c>
      <c r="T163" s="3497">
        <v>104.97</v>
      </c>
      <c r="U163" s="3420">
        <v>35</v>
      </c>
      <c r="V163" s="3414" t="s">
        <v>3158</v>
      </c>
      <c r="W163" s="3496" t="s">
        <v>3218</v>
      </c>
      <c r="X163" s="3422">
        <f t="shared" si="39"/>
        <v>3674</v>
      </c>
      <c r="Y163" s="3422">
        <f t="shared" si="40"/>
        <v>1.1666825442189832</v>
      </c>
      <c r="Z163" s="3433">
        <f t="shared" si="50"/>
        <v>1.1666825442189832</v>
      </c>
      <c r="AA163" s="3423">
        <f t="shared" si="41"/>
        <v>16043.13</v>
      </c>
      <c r="AB163" s="3407">
        <f t="shared" si="37"/>
        <v>1.2366834968721223</v>
      </c>
      <c r="AC163" s="3404">
        <f t="shared" si="42"/>
        <v>47382.35</v>
      </c>
      <c r="AD163" s="3446">
        <f t="shared" si="38"/>
        <v>1.3108845066844497</v>
      </c>
      <c r="AE163" s="3404">
        <f t="shared" si="43"/>
        <v>50225.29</v>
      </c>
      <c r="AF163" s="3446">
        <f t="shared" si="51"/>
        <v>1.3895375770855167</v>
      </c>
      <c r="AG163" s="3404">
        <f t="shared" si="44"/>
        <v>53238.81</v>
      </c>
      <c r="AH163" s="3404">
        <v>2.2000000000000002</v>
      </c>
      <c r="AI163" s="3399">
        <f t="shared" si="45"/>
        <v>84290.91</v>
      </c>
      <c r="AJ163" s="3404">
        <f t="shared" si="49"/>
        <v>2.2549999999999999</v>
      </c>
      <c r="AK163" s="3404">
        <f t="shared" si="46"/>
        <v>86398.18</v>
      </c>
      <c r="AL163" s="3404">
        <f t="shared" si="48"/>
        <v>2.3113749999999995</v>
      </c>
      <c r="AM163" s="3404">
        <f t="shared" si="47"/>
        <v>88558.14</v>
      </c>
      <c r="AN163" s="3404"/>
      <c r="AO163" s="3404"/>
      <c r="AP163" s="3404"/>
      <c r="AQ163" s="3404"/>
      <c r="AR163" s="3404"/>
      <c r="AS163" s="3404"/>
      <c r="AT163" s="3404"/>
      <c r="AU163" s="3404"/>
      <c r="AV163" s="3404"/>
      <c r="AW163" s="3404"/>
      <c r="AX163" s="3404"/>
      <c r="AY163" s="3404"/>
      <c r="AZ163" s="3404"/>
      <c r="BA163" s="3404"/>
      <c r="BB163" s="3404"/>
      <c r="BC163" s="3404"/>
      <c r="BD163" s="3404"/>
      <c r="BE163" s="3404"/>
      <c r="BF163" s="3404"/>
    </row>
    <row r="164" spans="1:58" s="3399" customFormat="1" ht="42.75">
      <c r="A164" s="3414" t="s">
        <v>3612</v>
      </c>
      <c r="B164" s="3414" t="s">
        <v>3607</v>
      </c>
      <c r="C164" s="3414" t="s">
        <v>3608</v>
      </c>
      <c r="D164" s="3414" t="s">
        <v>3609</v>
      </c>
      <c r="E164" s="3414" t="s">
        <v>3200</v>
      </c>
      <c r="F164" s="3414" t="s">
        <v>3216</v>
      </c>
      <c r="G164" s="3413" t="s">
        <v>3152</v>
      </c>
      <c r="H164" s="3414" t="s">
        <v>3610</v>
      </c>
      <c r="I164" s="3449">
        <v>0.06</v>
      </c>
      <c r="J164" s="3450">
        <v>42809</v>
      </c>
      <c r="K164" s="3485">
        <v>42826</v>
      </c>
      <c r="L164" s="3429">
        <v>43921</v>
      </c>
      <c r="M164" s="3430">
        <v>12</v>
      </c>
      <c r="N164" s="3414" t="s">
        <v>3170</v>
      </c>
      <c r="O164" s="3413" t="s">
        <v>3363</v>
      </c>
      <c r="P164" s="3414" t="s">
        <v>3385</v>
      </c>
      <c r="Q164" s="3489" t="s">
        <v>3613</v>
      </c>
      <c r="R164" s="3420">
        <v>1</v>
      </c>
      <c r="S164" s="3420">
        <v>104.97</v>
      </c>
      <c r="T164" s="3497">
        <v>104.97</v>
      </c>
      <c r="U164" s="3420">
        <v>35</v>
      </c>
      <c r="V164" s="3414" t="s">
        <v>3158</v>
      </c>
      <c r="W164" s="3496" t="s">
        <v>3159</v>
      </c>
      <c r="X164" s="3422">
        <f t="shared" si="39"/>
        <v>3674</v>
      </c>
      <c r="Y164" s="3422">
        <f t="shared" si="40"/>
        <v>1.1666825442189832</v>
      </c>
      <c r="Z164" s="3433">
        <f t="shared" si="50"/>
        <v>1.1666825442189832</v>
      </c>
      <c r="AA164" s="3423">
        <f t="shared" si="41"/>
        <v>16043.13</v>
      </c>
      <c r="AB164" s="3407">
        <f t="shared" si="37"/>
        <v>1.2366834968721223</v>
      </c>
      <c r="AC164" s="3404">
        <f t="shared" si="42"/>
        <v>47382.35</v>
      </c>
      <c r="AD164" s="3446">
        <f t="shared" si="38"/>
        <v>1.3108845066844497</v>
      </c>
      <c r="AE164" s="3404">
        <f t="shared" si="43"/>
        <v>50225.29</v>
      </c>
      <c r="AF164" s="3446">
        <f t="shared" si="51"/>
        <v>1.3895375770855167</v>
      </c>
      <c r="AG164" s="3404">
        <f t="shared" si="44"/>
        <v>53238.81</v>
      </c>
      <c r="AH164" s="3404">
        <v>2.2000000000000002</v>
      </c>
      <c r="AI164" s="3399">
        <f t="shared" si="45"/>
        <v>84290.91</v>
      </c>
      <c r="AJ164" s="3404">
        <f t="shared" si="49"/>
        <v>2.2549999999999999</v>
      </c>
      <c r="AK164" s="3404">
        <f t="shared" si="46"/>
        <v>86398.18</v>
      </c>
      <c r="AL164" s="3404">
        <f t="shared" si="48"/>
        <v>2.3113749999999995</v>
      </c>
      <c r="AM164" s="3404">
        <f t="shared" si="47"/>
        <v>88558.14</v>
      </c>
      <c r="AN164" s="3404"/>
      <c r="AO164" s="3404"/>
      <c r="AP164" s="3404"/>
      <c r="AQ164" s="3404"/>
      <c r="AR164" s="3404"/>
      <c r="AS164" s="3404"/>
      <c r="AT164" s="3404"/>
      <c r="AU164" s="3404"/>
      <c r="AV164" s="3404"/>
      <c r="AW164" s="3404"/>
      <c r="AX164" s="3404"/>
      <c r="AY164" s="3404"/>
      <c r="AZ164" s="3404"/>
      <c r="BA164" s="3404"/>
      <c r="BB164" s="3404"/>
      <c r="BC164" s="3404"/>
      <c r="BD164" s="3404"/>
      <c r="BE164" s="3404"/>
      <c r="BF164" s="3404"/>
    </row>
    <row r="165" spans="1:58" s="3399" customFormat="1" ht="42.75">
      <c r="A165" s="3414" t="s">
        <v>3614</v>
      </c>
      <c r="B165" s="3414" t="s">
        <v>3615</v>
      </c>
      <c r="C165" s="3414" t="s">
        <v>3616</v>
      </c>
      <c r="D165" s="3414" t="s">
        <v>3617</v>
      </c>
      <c r="E165" s="3414" t="s">
        <v>3191</v>
      </c>
      <c r="F165" s="3414" t="s">
        <v>3216</v>
      </c>
      <c r="G165" s="3413" t="s">
        <v>3152</v>
      </c>
      <c r="H165" s="3414" t="s">
        <v>3610</v>
      </c>
      <c r="I165" s="3449">
        <v>0.06</v>
      </c>
      <c r="J165" s="3450">
        <v>42789</v>
      </c>
      <c r="K165" s="3485">
        <v>42826</v>
      </c>
      <c r="L165" s="3429">
        <v>43921</v>
      </c>
      <c r="M165" s="3430">
        <v>12</v>
      </c>
      <c r="N165" s="3414" t="s">
        <v>3170</v>
      </c>
      <c r="O165" s="3413" t="s">
        <v>3363</v>
      </c>
      <c r="P165" s="3414" t="s">
        <v>3460</v>
      </c>
      <c r="Q165" s="3489" t="s">
        <v>3618</v>
      </c>
      <c r="R165" s="3420">
        <v>1</v>
      </c>
      <c r="S165" s="3420">
        <v>108.37</v>
      </c>
      <c r="T165" s="3490">
        <v>108.37</v>
      </c>
      <c r="U165" s="3420">
        <v>37.5</v>
      </c>
      <c r="V165" s="3414" t="s">
        <v>3158</v>
      </c>
      <c r="W165" s="3414" t="s">
        <v>3218</v>
      </c>
      <c r="X165" s="3422">
        <f t="shared" si="39"/>
        <v>4064</v>
      </c>
      <c r="Y165" s="3422">
        <f t="shared" si="40"/>
        <v>1.2500384485251146</v>
      </c>
      <c r="Z165" s="3433">
        <f t="shared" si="50"/>
        <v>1.2500384485251146</v>
      </c>
      <c r="AA165" s="3423">
        <f t="shared" si="41"/>
        <v>17746.13</v>
      </c>
      <c r="AB165" s="3407">
        <f t="shared" si="37"/>
        <v>1.3250407554366215</v>
      </c>
      <c r="AC165" s="3404">
        <f t="shared" si="42"/>
        <v>52412.05</v>
      </c>
      <c r="AD165" s="3446">
        <f t="shared" si="38"/>
        <v>1.4045432007628189</v>
      </c>
      <c r="AE165" s="3404">
        <f t="shared" si="43"/>
        <v>55556.78</v>
      </c>
      <c r="AF165" s="3446">
        <f t="shared" si="51"/>
        <v>1.4888157928085881</v>
      </c>
      <c r="AG165" s="3404">
        <f t="shared" si="44"/>
        <v>58890.18</v>
      </c>
      <c r="AH165" s="3404">
        <v>4.5</v>
      </c>
      <c r="AI165" s="3399">
        <f t="shared" si="45"/>
        <v>177997.73</v>
      </c>
      <c r="AJ165" s="3404">
        <f t="shared" si="49"/>
        <v>4.6124999999999998</v>
      </c>
      <c r="AK165" s="3404">
        <f t="shared" si="46"/>
        <v>182447.67</v>
      </c>
      <c r="AL165" s="3404">
        <f t="shared" si="48"/>
        <v>4.7278124999999998</v>
      </c>
      <c r="AM165" s="3404">
        <f t="shared" si="47"/>
        <v>187008.86</v>
      </c>
      <c r="AN165" s="3404"/>
      <c r="AO165" s="3404"/>
      <c r="AP165" s="3404"/>
      <c r="AQ165" s="3404"/>
      <c r="AR165" s="3404"/>
      <c r="AS165" s="3404"/>
      <c r="AT165" s="3404"/>
      <c r="AU165" s="3404"/>
      <c r="AV165" s="3404"/>
      <c r="AW165" s="3404"/>
      <c r="AX165" s="3404"/>
      <c r="AY165" s="3404"/>
      <c r="AZ165" s="3404"/>
      <c r="BA165" s="3404"/>
      <c r="BB165" s="3404"/>
      <c r="BC165" s="3404"/>
      <c r="BD165" s="3404"/>
      <c r="BE165" s="3404"/>
      <c r="BF165" s="3404"/>
    </row>
    <row r="166" spans="1:58" s="3399" customFormat="1" ht="42.75">
      <c r="A166" s="3414" t="s">
        <v>3619</v>
      </c>
      <c r="B166" s="3414" t="s">
        <v>3620</v>
      </c>
      <c r="C166" s="3414" t="s">
        <v>3621</v>
      </c>
      <c r="D166" s="3414" t="s">
        <v>3622</v>
      </c>
      <c r="E166" s="3414" t="s">
        <v>3191</v>
      </c>
      <c r="F166" s="3414" t="s">
        <v>3216</v>
      </c>
      <c r="G166" s="3413" t="s">
        <v>3152</v>
      </c>
      <c r="H166" s="3414" t="s">
        <v>3588</v>
      </c>
      <c r="I166" s="3449">
        <v>0.06</v>
      </c>
      <c r="J166" s="3450">
        <v>42793</v>
      </c>
      <c r="K166" s="3485">
        <v>42795</v>
      </c>
      <c r="L166" s="3429">
        <v>43890</v>
      </c>
      <c r="M166" s="3430">
        <v>12</v>
      </c>
      <c r="N166" s="3414" t="s">
        <v>3170</v>
      </c>
      <c r="O166" s="3413" t="s">
        <v>3363</v>
      </c>
      <c r="P166" s="3414" t="s">
        <v>3385</v>
      </c>
      <c r="Q166" s="3489" t="s">
        <v>3623</v>
      </c>
      <c r="R166" s="3420">
        <v>1</v>
      </c>
      <c r="S166" s="3497">
        <v>272.79000000000002</v>
      </c>
      <c r="T166" s="3497">
        <v>272.79000000000002</v>
      </c>
      <c r="U166" s="3420">
        <v>19</v>
      </c>
      <c r="V166" s="3414" t="s">
        <v>3158</v>
      </c>
      <c r="W166" s="3414" t="s">
        <v>3218</v>
      </c>
      <c r="X166" s="3422">
        <f t="shared" si="39"/>
        <v>5183</v>
      </c>
      <c r="Y166" s="3422">
        <f t="shared" si="40"/>
        <v>0.6333321113921575</v>
      </c>
      <c r="Z166" s="3433">
        <f t="shared" si="50"/>
        <v>0.6333321113921575</v>
      </c>
      <c r="AA166" s="3423">
        <f t="shared" si="41"/>
        <v>22632.43</v>
      </c>
      <c r="AB166" s="3407">
        <f t="shared" si="37"/>
        <v>0.67133203807568698</v>
      </c>
      <c r="AC166" s="3404">
        <f t="shared" si="42"/>
        <v>66843.42</v>
      </c>
      <c r="AD166" s="3446">
        <f t="shared" si="38"/>
        <v>0.71161196036022822</v>
      </c>
      <c r="AE166" s="3404">
        <f t="shared" si="43"/>
        <v>70854.03</v>
      </c>
      <c r="AF166" s="3446">
        <f t="shared" si="51"/>
        <v>0.75430867798184198</v>
      </c>
      <c r="AG166" s="3404">
        <f t="shared" si="44"/>
        <v>75105.27</v>
      </c>
      <c r="AH166" s="3404">
        <v>2.2000000000000002</v>
      </c>
      <c r="AI166" s="3399">
        <f t="shared" si="45"/>
        <v>219050.37</v>
      </c>
      <c r="AJ166" s="3404">
        <f t="shared" si="49"/>
        <v>2.2549999999999999</v>
      </c>
      <c r="AK166" s="3404">
        <f t="shared" si="46"/>
        <v>224526.63</v>
      </c>
      <c r="AL166" s="3404">
        <f t="shared" si="48"/>
        <v>2.3113749999999995</v>
      </c>
      <c r="AM166" s="3404">
        <f t="shared" si="47"/>
        <v>230139.79</v>
      </c>
      <c r="AN166" s="3404"/>
      <c r="AO166" s="3404"/>
      <c r="AP166" s="3404"/>
      <c r="AQ166" s="3404"/>
      <c r="AR166" s="3404"/>
      <c r="AS166" s="3404"/>
      <c r="AT166" s="3404"/>
      <c r="AU166" s="3404"/>
      <c r="AV166" s="3404"/>
      <c r="AW166" s="3404"/>
      <c r="AX166" s="3404"/>
      <c r="AY166" s="3404"/>
      <c r="AZ166" s="3404"/>
      <c r="BA166" s="3404"/>
      <c r="BB166" s="3404"/>
      <c r="BC166" s="3404"/>
      <c r="BD166" s="3404"/>
      <c r="BE166" s="3404"/>
      <c r="BF166" s="3404"/>
    </row>
    <row r="167" spans="1:58" s="3399" customFormat="1" ht="42.75">
      <c r="A167" s="3414" t="s">
        <v>3619</v>
      </c>
      <c r="B167" s="3414" t="s">
        <v>3620</v>
      </c>
      <c r="C167" s="3414" t="s">
        <v>3621</v>
      </c>
      <c r="D167" s="3414" t="s">
        <v>3622</v>
      </c>
      <c r="E167" s="3414" t="s">
        <v>3191</v>
      </c>
      <c r="F167" s="3414" t="s">
        <v>3216</v>
      </c>
      <c r="G167" s="3413" t="s">
        <v>3152</v>
      </c>
      <c r="H167" s="3414" t="s">
        <v>3588</v>
      </c>
      <c r="I167" s="3449">
        <v>0.06</v>
      </c>
      <c r="J167" s="3450">
        <v>42793</v>
      </c>
      <c r="K167" s="3485">
        <v>42795</v>
      </c>
      <c r="L167" s="3429">
        <v>43890</v>
      </c>
      <c r="M167" s="3430">
        <v>12</v>
      </c>
      <c r="N167" s="3414" t="s">
        <v>3170</v>
      </c>
      <c r="O167" s="3413" t="s">
        <v>3363</v>
      </c>
      <c r="P167" s="3414" t="s">
        <v>3385</v>
      </c>
      <c r="Q167" s="3489" t="s">
        <v>3623</v>
      </c>
      <c r="R167" s="3420">
        <v>1</v>
      </c>
      <c r="S167" s="3497">
        <v>272.79000000000002</v>
      </c>
      <c r="T167" s="3497">
        <v>272.79000000000002</v>
      </c>
      <c r="U167" s="3420">
        <v>19</v>
      </c>
      <c r="V167" s="3414" t="s">
        <v>3158</v>
      </c>
      <c r="W167" s="3414" t="s">
        <v>3159</v>
      </c>
      <c r="X167" s="3422">
        <f t="shared" si="39"/>
        <v>5183</v>
      </c>
      <c r="Y167" s="3422">
        <f t="shared" si="40"/>
        <v>0.6333321113921575</v>
      </c>
      <c r="Z167" s="3433">
        <f t="shared" si="50"/>
        <v>0.6333321113921575</v>
      </c>
      <c r="AA167" s="3423">
        <f t="shared" si="41"/>
        <v>22632.43</v>
      </c>
      <c r="AB167" s="3407">
        <f t="shared" si="37"/>
        <v>0.67133203807568698</v>
      </c>
      <c r="AC167" s="3404">
        <f t="shared" si="42"/>
        <v>66843.42</v>
      </c>
      <c r="AD167" s="3446">
        <f t="shared" si="38"/>
        <v>0.71161196036022822</v>
      </c>
      <c r="AE167" s="3404">
        <f t="shared" si="43"/>
        <v>70854.03</v>
      </c>
      <c r="AF167" s="3446">
        <f t="shared" si="51"/>
        <v>0.75430867798184198</v>
      </c>
      <c r="AG167" s="3404">
        <f t="shared" si="44"/>
        <v>75105.27</v>
      </c>
      <c r="AH167" s="3404">
        <v>2.2000000000000002</v>
      </c>
      <c r="AI167" s="3399">
        <f t="shared" si="45"/>
        <v>219050.37</v>
      </c>
      <c r="AJ167" s="3404">
        <f t="shared" si="49"/>
        <v>2.2549999999999999</v>
      </c>
      <c r="AK167" s="3404">
        <f t="shared" si="46"/>
        <v>224526.63</v>
      </c>
      <c r="AL167" s="3404">
        <f t="shared" si="48"/>
        <v>2.3113749999999995</v>
      </c>
      <c r="AM167" s="3404">
        <f t="shared" si="47"/>
        <v>230139.79</v>
      </c>
      <c r="AN167" s="3404"/>
      <c r="AO167" s="3404"/>
      <c r="AP167" s="3404"/>
      <c r="AQ167" s="3404"/>
      <c r="AR167" s="3404"/>
      <c r="AS167" s="3404"/>
      <c r="AT167" s="3404"/>
      <c r="AU167" s="3404"/>
      <c r="AV167" s="3404"/>
      <c r="AW167" s="3404"/>
      <c r="AX167" s="3404"/>
      <c r="AY167" s="3404"/>
      <c r="AZ167" s="3404"/>
      <c r="BA167" s="3404"/>
      <c r="BB167" s="3404"/>
      <c r="BC167" s="3404"/>
      <c r="BD167" s="3404"/>
      <c r="BE167" s="3404"/>
      <c r="BF167" s="3404"/>
    </row>
    <row r="168" spans="1:58" s="3499" customFormat="1" ht="42.75">
      <c r="A168" s="3414" t="s">
        <v>3624</v>
      </c>
      <c r="B168" s="3414" t="s">
        <v>3625</v>
      </c>
      <c r="C168" s="3414" t="s">
        <v>3626</v>
      </c>
      <c r="D168" s="3414" t="s">
        <v>3627</v>
      </c>
      <c r="E168" s="3414"/>
      <c r="F168" s="3414" t="s">
        <v>3216</v>
      </c>
      <c r="G168" s="3413" t="s">
        <v>3152</v>
      </c>
      <c r="H168" s="3414" t="s">
        <v>3610</v>
      </c>
      <c r="I168" s="3449">
        <v>0.06</v>
      </c>
      <c r="J168" s="3450">
        <v>42798</v>
      </c>
      <c r="K168" s="3485">
        <v>42826</v>
      </c>
      <c r="L168" s="3429">
        <v>43921</v>
      </c>
      <c r="M168" s="3430">
        <v>12</v>
      </c>
      <c r="N168" s="3414" t="s">
        <v>3170</v>
      </c>
      <c r="O168" s="3413" t="s">
        <v>3363</v>
      </c>
      <c r="P168" s="3414" t="s">
        <v>3404</v>
      </c>
      <c r="Q168" s="3489" t="s">
        <v>3628</v>
      </c>
      <c r="R168" s="3420">
        <v>1</v>
      </c>
      <c r="S168" s="3420">
        <v>107.32</v>
      </c>
      <c r="T168" s="3490">
        <v>107.32</v>
      </c>
      <c r="U168" s="3420">
        <v>35</v>
      </c>
      <c r="V168" s="3414" t="s">
        <v>3158</v>
      </c>
      <c r="W168" s="3414" t="s">
        <v>3218</v>
      </c>
      <c r="X168" s="3422">
        <f t="shared" si="39"/>
        <v>3756</v>
      </c>
      <c r="Y168" s="3422">
        <f t="shared" si="40"/>
        <v>1.1666045471487143</v>
      </c>
      <c r="Z168" s="3433">
        <f t="shared" si="50"/>
        <v>1.1666045471487143</v>
      </c>
      <c r="AA168" s="3423">
        <f t="shared" si="41"/>
        <v>16401.2</v>
      </c>
      <c r="AB168" s="3407">
        <f t="shared" si="37"/>
        <v>1.2366008199776373</v>
      </c>
      <c r="AC168" s="3404">
        <f t="shared" si="42"/>
        <v>48439.88</v>
      </c>
      <c r="AD168" s="3446">
        <f t="shared" si="38"/>
        <v>1.3107968691762957</v>
      </c>
      <c r="AE168" s="3404">
        <f t="shared" si="43"/>
        <v>51346.27</v>
      </c>
      <c r="AF168" s="3446">
        <f t="shared" si="51"/>
        <v>1.3894446813268735</v>
      </c>
      <c r="AG168" s="3404">
        <f t="shared" si="44"/>
        <v>54427.05</v>
      </c>
      <c r="AH168" s="3404">
        <v>2.2000000000000002</v>
      </c>
      <c r="AI168" s="3399">
        <f t="shared" si="45"/>
        <v>86177.96</v>
      </c>
      <c r="AJ168" s="3404">
        <f t="shared" si="49"/>
        <v>2.2549999999999999</v>
      </c>
      <c r="AK168" s="3404">
        <f t="shared" si="46"/>
        <v>88332.41</v>
      </c>
      <c r="AL168" s="3404">
        <f t="shared" si="48"/>
        <v>2.3113749999999995</v>
      </c>
      <c r="AM168" s="3404">
        <f t="shared" si="47"/>
        <v>90540.72</v>
      </c>
      <c r="AN168" s="3498"/>
      <c r="AO168" s="3498"/>
      <c r="AP168" s="3498"/>
      <c r="AQ168" s="3498"/>
      <c r="AR168" s="3498"/>
      <c r="AS168" s="3498"/>
      <c r="AT168" s="3498"/>
      <c r="AU168" s="3498"/>
      <c r="AV168" s="3498"/>
      <c r="AW168" s="3498"/>
      <c r="AX168" s="3498"/>
      <c r="AY168" s="3498"/>
      <c r="AZ168" s="3498"/>
      <c r="BA168" s="3498"/>
      <c r="BB168" s="3498"/>
      <c r="BC168" s="3498"/>
      <c r="BD168" s="3498"/>
      <c r="BE168" s="3498"/>
      <c r="BF168" s="3498"/>
    </row>
    <row r="169" spans="1:58" s="3499" customFormat="1" ht="42.75">
      <c r="A169" s="3414" t="s">
        <v>3624</v>
      </c>
      <c r="B169" s="3414" t="s">
        <v>3625</v>
      </c>
      <c r="C169" s="3414" t="s">
        <v>3626</v>
      </c>
      <c r="D169" s="3414" t="s">
        <v>3627</v>
      </c>
      <c r="E169" s="3414"/>
      <c r="F169" s="3414" t="s">
        <v>3216</v>
      </c>
      <c r="G169" s="3413" t="s">
        <v>3152</v>
      </c>
      <c r="H169" s="3414" t="s">
        <v>3610</v>
      </c>
      <c r="I169" s="3449">
        <v>0.06</v>
      </c>
      <c r="J169" s="3450">
        <v>42798</v>
      </c>
      <c r="K169" s="3485">
        <v>42826</v>
      </c>
      <c r="L169" s="3429">
        <v>43921</v>
      </c>
      <c r="M169" s="3430">
        <v>12</v>
      </c>
      <c r="N169" s="3414" t="s">
        <v>3170</v>
      </c>
      <c r="O169" s="3413" t="s">
        <v>3363</v>
      </c>
      <c r="P169" s="3414" t="s">
        <v>3404</v>
      </c>
      <c r="Q169" s="3489" t="s">
        <v>3628</v>
      </c>
      <c r="R169" s="3420">
        <v>1</v>
      </c>
      <c r="S169" s="3420">
        <v>107.32</v>
      </c>
      <c r="T169" s="3490">
        <v>107.32</v>
      </c>
      <c r="U169" s="3420">
        <v>40</v>
      </c>
      <c r="V169" s="3414" t="s">
        <v>3158</v>
      </c>
      <c r="W169" s="3414" t="s">
        <v>3159</v>
      </c>
      <c r="X169" s="3422">
        <f t="shared" si="39"/>
        <v>4293</v>
      </c>
      <c r="Y169" s="3422">
        <f t="shared" si="40"/>
        <v>1.3333954528512859</v>
      </c>
      <c r="Z169" s="3433">
        <f t="shared" si="50"/>
        <v>1.3333954528512859</v>
      </c>
      <c r="AA169" s="3423">
        <f t="shared" si="41"/>
        <v>18746.099999999999</v>
      </c>
      <c r="AB169" s="3407">
        <f t="shared" si="37"/>
        <v>1.4133991800223631</v>
      </c>
      <c r="AC169" s="3404">
        <f t="shared" si="42"/>
        <v>55365.39</v>
      </c>
      <c r="AD169" s="3446">
        <f t="shared" si="38"/>
        <v>1.4982031308237049</v>
      </c>
      <c r="AE169" s="3404">
        <f t="shared" si="43"/>
        <v>58687.31</v>
      </c>
      <c r="AF169" s="3446">
        <f t="shared" si="51"/>
        <v>1.5880953186731273</v>
      </c>
      <c r="AG169" s="3404">
        <f t="shared" si="44"/>
        <v>62208.55</v>
      </c>
      <c r="AH169" s="3404">
        <v>2.2000000000000002</v>
      </c>
      <c r="AI169" s="3399">
        <f t="shared" si="45"/>
        <v>86177.96</v>
      </c>
      <c r="AJ169" s="3404">
        <f t="shared" si="49"/>
        <v>2.2549999999999999</v>
      </c>
      <c r="AK169" s="3404">
        <f t="shared" si="46"/>
        <v>88332.41</v>
      </c>
      <c r="AL169" s="3404">
        <f t="shared" si="48"/>
        <v>2.3113749999999995</v>
      </c>
      <c r="AM169" s="3404">
        <f t="shared" si="47"/>
        <v>90540.72</v>
      </c>
      <c r="AN169" s="3498"/>
      <c r="AO169" s="3498"/>
      <c r="AP169" s="3498"/>
      <c r="AQ169" s="3498"/>
      <c r="AR169" s="3498"/>
      <c r="AS169" s="3498"/>
      <c r="AT169" s="3498"/>
      <c r="AU169" s="3498"/>
      <c r="AV169" s="3498"/>
      <c r="AW169" s="3498"/>
      <c r="AX169" s="3498"/>
      <c r="AY169" s="3498"/>
      <c r="AZ169" s="3498"/>
      <c r="BA169" s="3498"/>
      <c r="BB169" s="3498"/>
      <c r="BC169" s="3498"/>
      <c r="BD169" s="3498"/>
      <c r="BE169" s="3498"/>
      <c r="BF169" s="3498"/>
    </row>
    <row r="170" spans="1:58" s="3399" customFormat="1" ht="42.75">
      <c r="A170" s="3414" t="s">
        <v>3629</v>
      </c>
      <c r="B170" s="3414" t="s">
        <v>3630</v>
      </c>
      <c r="C170" s="3414" t="s">
        <v>3631</v>
      </c>
      <c r="D170" s="3414" t="s">
        <v>3632</v>
      </c>
      <c r="E170" s="3414" t="s">
        <v>3238</v>
      </c>
      <c r="F170" s="3414" t="s">
        <v>3216</v>
      </c>
      <c r="G170" s="3413" t="s">
        <v>3152</v>
      </c>
      <c r="H170" s="3414" t="s">
        <v>3610</v>
      </c>
      <c r="I170" s="3449">
        <v>0.06</v>
      </c>
      <c r="J170" s="3450">
        <v>42808</v>
      </c>
      <c r="K170" s="3416">
        <v>42826</v>
      </c>
      <c r="L170" s="3417">
        <v>43920</v>
      </c>
      <c r="M170" s="3418">
        <v>6</v>
      </c>
      <c r="N170" s="3413" t="s">
        <v>3154</v>
      </c>
      <c r="O170" s="3413" t="s">
        <v>3155</v>
      </c>
      <c r="P170" s="3414" t="s">
        <v>3209</v>
      </c>
      <c r="Q170" s="3414" t="s">
        <v>3633</v>
      </c>
      <c r="R170" s="3420">
        <v>2</v>
      </c>
      <c r="S170" s="3419">
        <v>217.17</v>
      </c>
      <c r="T170" s="3420">
        <v>217.17</v>
      </c>
      <c r="U170" s="3419">
        <v>20</v>
      </c>
      <c r="V170" s="3414" t="s">
        <v>3158</v>
      </c>
      <c r="W170" s="3496" t="s">
        <v>3218</v>
      </c>
      <c r="X170" s="3422">
        <f t="shared" si="39"/>
        <v>4343</v>
      </c>
      <c r="Y170" s="3422">
        <f t="shared" si="40"/>
        <v>0.66660527083237409</v>
      </c>
      <c r="Z170" s="3433">
        <f t="shared" si="50"/>
        <v>0.66660527083237409</v>
      </c>
      <c r="AA170" s="3423">
        <f t="shared" si="41"/>
        <v>18964.43</v>
      </c>
      <c r="AB170" s="3407">
        <f t="shared" si="37"/>
        <v>0.70660158708231657</v>
      </c>
      <c r="AC170" s="3404">
        <f t="shared" si="42"/>
        <v>56010.22</v>
      </c>
      <c r="AD170" s="3446">
        <f t="shared" si="38"/>
        <v>0.74899768230725561</v>
      </c>
      <c r="AE170" s="3404">
        <f t="shared" si="43"/>
        <v>59370.84</v>
      </c>
      <c r="AF170" s="3446">
        <f t="shared" si="51"/>
        <v>0.79393754324569099</v>
      </c>
      <c r="AG170" s="3404">
        <f t="shared" si="44"/>
        <v>62933.09</v>
      </c>
      <c r="AH170" s="3404">
        <v>2.2000000000000002</v>
      </c>
      <c r="AI170" s="3399">
        <f t="shared" si="45"/>
        <v>174387.51</v>
      </c>
      <c r="AJ170" s="3404">
        <f t="shared" si="49"/>
        <v>2.2549999999999999</v>
      </c>
      <c r="AK170" s="3404">
        <f t="shared" si="46"/>
        <v>178747.2</v>
      </c>
      <c r="AL170" s="3404">
        <f t="shared" si="48"/>
        <v>2.3113749999999995</v>
      </c>
      <c r="AM170" s="3404">
        <f t="shared" si="47"/>
        <v>183215.88</v>
      </c>
      <c r="AN170" s="3404"/>
      <c r="AO170" s="3404"/>
      <c r="AP170" s="3404"/>
      <c r="AQ170" s="3404"/>
      <c r="AR170" s="3404"/>
      <c r="AS170" s="3404"/>
      <c r="AT170" s="3404"/>
      <c r="AU170" s="3404"/>
      <c r="AV170" s="3404"/>
      <c r="AW170" s="3404"/>
      <c r="AX170" s="3404"/>
      <c r="AY170" s="3404"/>
      <c r="AZ170" s="3404"/>
      <c r="BA170" s="3404"/>
      <c r="BB170" s="3404"/>
      <c r="BC170" s="3404"/>
      <c r="BD170" s="3404"/>
      <c r="BE170" s="3404"/>
      <c r="BF170" s="3404"/>
    </row>
    <row r="171" spans="1:58" s="3399" customFormat="1" ht="42.75">
      <c r="A171" s="3414" t="s">
        <v>3629</v>
      </c>
      <c r="B171" s="3414" t="s">
        <v>3630</v>
      </c>
      <c r="C171" s="3414" t="s">
        <v>3631</v>
      </c>
      <c r="D171" s="3414" t="s">
        <v>3632</v>
      </c>
      <c r="E171" s="3414" t="s">
        <v>3238</v>
      </c>
      <c r="F171" s="3414" t="s">
        <v>3216</v>
      </c>
      <c r="G171" s="3413" t="s">
        <v>3152</v>
      </c>
      <c r="H171" s="3414" t="s">
        <v>3610</v>
      </c>
      <c r="I171" s="3449">
        <v>0.06</v>
      </c>
      <c r="J171" s="3450">
        <v>42808</v>
      </c>
      <c r="K171" s="3416">
        <v>42826</v>
      </c>
      <c r="L171" s="3417">
        <v>43920</v>
      </c>
      <c r="M171" s="3418">
        <v>6</v>
      </c>
      <c r="N171" s="3413" t="s">
        <v>3154</v>
      </c>
      <c r="O171" s="3413" t="s">
        <v>3155</v>
      </c>
      <c r="P171" s="3414" t="s">
        <v>3209</v>
      </c>
      <c r="Q171" s="3414" t="s">
        <v>3633</v>
      </c>
      <c r="R171" s="3420">
        <v>2</v>
      </c>
      <c r="S171" s="3419">
        <v>217.17</v>
      </c>
      <c r="T171" s="3420">
        <v>217.17</v>
      </c>
      <c r="U171" s="3419">
        <v>20</v>
      </c>
      <c r="V171" s="3414" t="s">
        <v>3158</v>
      </c>
      <c r="W171" s="3496" t="s">
        <v>3159</v>
      </c>
      <c r="X171" s="3422">
        <f t="shared" si="39"/>
        <v>4343</v>
      </c>
      <c r="Y171" s="3422">
        <f t="shared" si="40"/>
        <v>0.66660527083237409</v>
      </c>
      <c r="Z171" s="3433">
        <f t="shared" si="50"/>
        <v>0.66660527083237409</v>
      </c>
      <c r="AA171" s="3423">
        <f t="shared" si="41"/>
        <v>18964.43</v>
      </c>
      <c r="AB171" s="3407">
        <f t="shared" si="37"/>
        <v>0.70660158708231657</v>
      </c>
      <c r="AC171" s="3404">
        <f t="shared" si="42"/>
        <v>56010.22</v>
      </c>
      <c r="AD171" s="3446">
        <f t="shared" si="38"/>
        <v>0.74899768230725561</v>
      </c>
      <c r="AE171" s="3404">
        <f t="shared" si="43"/>
        <v>59370.84</v>
      </c>
      <c r="AF171" s="3446">
        <f t="shared" si="51"/>
        <v>0.79393754324569099</v>
      </c>
      <c r="AG171" s="3404">
        <f t="shared" si="44"/>
        <v>62933.09</v>
      </c>
      <c r="AH171" s="3404">
        <v>2.2000000000000002</v>
      </c>
      <c r="AI171" s="3399">
        <f t="shared" si="45"/>
        <v>174387.51</v>
      </c>
      <c r="AJ171" s="3404">
        <f t="shared" si="49"/>
        <v>2.2549999999999999</v>
      </c>
      <c r="AK171" s="3404">
        <f t="shared" si="46"/>
        <v>178747.2</v>
      </c>
      <c r="AL171" s="3404">
        <f t="shared" si="48"/>
        <v>2.3113749999999995</v>
      </c>
      <c r="AM171" s="3404">
        <f t="shared" si="47"/>
        <v>183215.88</v>
      </c>
      <c r="AN171" s="3404"/>
      <c r="AO171" s="3404"/>
      <c r="AP171" s="3404"/>
      <c r="AQ171" s="3404"/>
      <c r="AR171" s="3404"/>
      <c r="AS171" s="3404"/>
      <c r="AT171" s="3404"/>
      <c r="AU171" s="3404"/>
      <c r="AV171" s="3404"/>
      <c r="AW171" s="3404"/>
      <c r="AX171" s="3404"/>
      <c r="AY171" s="3404"/>
      <c r="AZ171" s="3404"/>
      <c r="BA171" s="3404"/>
      <c r="BB171" s="3404"/>
      <c r="BC171" s="3404"/>
      <c r="BD171" s="3404"/>
      <c r="BE171" s="3404"/>
      <c r="BF171" s="3404"/>
    </row>
    <row r="172" spans="1:58" s="3399" customFormat="1" ht="42.75">
      <c r="A172" s="3414" t="s">
        <v>3634</v>
      </c>
      <c r="B172" s="3414" t="s">
        <v>3635</v>
      </c>
      <c r="C172" s="3414" t="s">
        <v>3636</v>
      </c>
      <c r="D172" s="3414" t="s">
        <v>3637</v>
      </c>
      <c r="E172" s="3414" t="s">
        <v>3638</v>
      </c>
      <c r="F172" s="3414" t="s">
        <v>3216</v>
      </c>
      <c r="G172" s="3413" t="s">
        <v>3152</v>
      </c>
      <c r="H172" s="3414" t="s">
        <v>3610</v>
      </c>
      <c r="I172" s="3449">
        <v>0.06</v>
      </c>
      <c r="J172" s="3450">
        <v>42803</v>
      </c>
      <c r="K172" s="3485">
        <v>42826</v>
      </c>
      <c r="L172" s="3429">
        <v>43921</v>
      </c>
      <c r="M172" s="3430">
        <v>12</v>
      </c>
      <c r="N172" s="3414" t="s">
        <v>3170</v>
      </c>
      <c r="O172" s="3413" t="s">
        <v>3363</v>
      </c>
      <c r="P172" s="3414" t="s">
        <v>3639</v>
      </c>
      <c r="Q172" s="3489" t="s">
        <v>3640</v>
      </c>
      <c r="R172" s="3420">
        <v>1</v>
      </c>
      <c r="S172" s="3420">
        <v>78.12</v>
      </c>
      <c r="T172" s="3490">
        <v>78.12</v>
      </c>
      <c r="U172" s="3420">
        <v>35</v>
      </c>
      <c r="V172" s="3414" t="s">
        <v>3158</v>
      </c>
      <c r="W172" s="3496" t="s">
        <v>3218</v>
      </c>
      <c r="X172" s="3500">
        <f t="shared" si="39"/>
        <v>2734</v>
      </c>
      <c r="Y172" s="3422">
        <f t="shared" si="40"/>
        <v>1.1665813278716504</v>
      </c>
      <c r="Z172" s="3433">
        <f t="shared" si="50"/>
        <v>1.1665813278716504</v>
      </c>
      <c r="AA172" s="3423">
        <f t="shared" si="41"/>
        <v>11938.47</v>
      </c>
      <c r="AB172" s="3407">
        <f t="shared" si="37"/>
        <v>1.2365762075439495</v>
      </c>
      <c r="AC172" s="3404">
        <f t="shared" si="42"/>
        <v>35259.49</v>
      </c>
      <c r="AD172" s="3446">
        <f t="shared" si="38"/>
        <v>1.3107707799965864</v>
      </c>
      <c r="AE172" s="3404">
        <f t="shared" si="43"/>
        <v>37375.06</v>
      </c>
      <c r="AF172" s="3446">
        <f t="shared" si="51"/>
        <v>1.3894170267963817</v>
      </c>
      <c r="AG172" s="3404">
        <f t="shared" si="44"/>
        <v>39617.56</v>
      </c>
      <c r="AH172" s="3404">
        <v>2.2000000000000002</v>
      </c>
      <c r="AI172" s="3399">
        <f t="shared" si="45"/>
        <v>62730.36</v>
      </c>
      <c r="AJ172" s="3404">
        <f t="shared" si="49"/>
        <v>2.2549999999999999</v>
      </c>
      <c r="AK172" s="3404">
        <f t="shared" si="46"/>
        <v>64298.62</v>
      </c>
      <c r="AL172" s="3404">
        <f t="shared" si="48"/>
        <v>2.3113749999999995</v>
      </c>
      <c r="AM172" s="3404">
        <f t="shared" si="47"/>
        <v>65906.080000000002</v>
      </c>
      <c r="AN172" s="3404"/>
      <c r="AO172" s="3404"/>
      <c r="AP172" s="3404"/>
      <c r="AQ172" s="3404"/>
      <c r="AR172" s="3404"/>
      <c r="AS172" s="3404"/>
      <c r="AT172" s="3404"/>
      <c r="AU172" s="3404"/>
      <c r="AV172" s="3404"/>
      <c r="AW172" s="3404"/>
      <c r="AX172" s="3404"/>
      <c r="AY172" s="3404"/>
      <c r="AZ172" s="3404"/>
      <c r="BA172" s="3404"/>
      <c r="BB172" s="3404"/>
      <c r="BC172" s="3404"/>
      <c r="BD172" s="3404"/>
      <c r="BE172" s="3404"/>
      <c r="BF172" s="3404"/>
    </row>
    <row r="173" spans="1:58" s="3399" customFormat="1" ht="42.75">
      <c r="A173" s="3414" t="s">
        <v>3634</v>
      </c>
      <c r="B173" s="3414" t="s">
        <v>3635</v>
      </c>
      <c r="C173" s="3414" t="s">
        <v>3636</v>
      </c>
      <c r="D173" s="3414" t="s">
        <v>3637</v>
      </c>
      <c r="E173" s="3414" t="s">
        <v>3638</v>
      </c>
      <c r="F173" s="3414" t="s">
        <v>3216</v>
      </c>
      <c r="G173" s="3413" t="s">
        <v>3152</v>
      </c>
      <c r="H173" s="3414" t="s">
        <v>3610</v>
      </c>
      <c r="I173" s="3449">
        <v>0.06</v>
      </c>
      <c r="J173" s="3450">
        <v>42803</v>
      </c>
      <c r="K173" s="3485">
        <v>42826</v>
      </c>
      <c r="L173" s="3429">
        <v>43921</v>
      </c>
      <c r="M173" s="3430">
        <v>12</v>
      </c>
      <c r="N173" s="3414" t="s">
        <v>3170</v>
      </c>
      <c r="O173" s="3413" t="s">
        <v>3363</v>
      </c>
      <c r="P173" s="3414" t="s">
        <v>3639</v>
      </c>
      <c r="Q173" s="3489" t="s">
        <v>3640</v>
      </c>
      <c r="R173" s="3420">
        <v>1</v>
      </c>
      <c r="S173" s="3420">
        <v>78.12</v>
      </c>
      <c r="T173" s="3490">
        <v>78.12</v>
      </c>
      <c r="U173" s="3420">
        <v>40</v>
      </c>
      <c r="V173" s="3414" t="s">
        <v>3158</v>
      </c>
      <c r="W173" s="3496" t="s">
        <v>3159</v>
      </c>
      <c r="X173" s="3500">
        <f t="shared" si="39"/>
        <v>3125</v>
      </c>
      <c r="Y173" s="3422">
        <f t="shared" si="40"/>
        <v>1.3334186721283494</v>
      </c>
      <c r="Z173" s="3433">
        <f t="shared" si="50"/>
        <v>1.3334186721283494</v>
      </c>
      <c r="AA173" s="3423">
        <f t="shared" si="41"/>
        <v>13645.83</v>
      </c>
      <c r="AB173" s="3407">
        <f t="shared" si="37"/>
        <v>1.4134237924560504</v>
      </c>
      <c r="AC173" s="3404">
        <f t="shared" si="42"/>
        <v>40302.080000000002</v>
      </c>
      <c r="AD173" s="3446">
        <f t="shared" si="38"/>
        <v>1.4982292200034135</v>
      </c>
      <c r="AE173" s="3404">
        <f t="shared" si="43"/>
        <v>42720.21</v>
      </c>
      <c r="AF173" s="3446">
        <f t="shared" si="51"/>
        <v>1.5881229732036184</v>
      </c>
      <c r="AG173" s="3404">
        <f t="shared" si="44"/>
        <v>45283.42</v>
      </c>
      <c r="AH173" s="3404">
        <v>2.2000000000000002</v>
      </c>
      <c r="AI173" s="3399">
        <f t="shared" si="45"/>
        <v>62730.36</v>
      </c>
      <c r="AJ173" s="3404">
        <f t="shared" si="49"/>
        <v>2.2549999999999999</v>
      </c>
      <c r="AK173" s="3404">
        <f t="shared" si="46"/>
        <v>64298.62</v>
      </c>
      <c r="AL173" s="3404">
        <f t="shared" si="48"/>
        <v>2.3113749999999995</v>
      </c>
      <c r="AM173" s="3404">
        <f t="shared" si="47"/>
        <v>65906.080000000002</v>
      </c>
      <c r="AN173" s="3404"/>
      <c r="AO173" s="3404"/>
      <c r="AP173" s="3404"/>
      <c r="AQ173" s="3404"/>
      <c r="AR173" s="3404"/>
      <c r="AS173" s="3404"/>
      <c r="AT173" s="3404"/>
      <c r="AU173" s="3404"/>
      <c r="AV173" s="3404"/>
      <c r="AW173" s="3404"/>
      <c r="AX173" s="3404"/>
      <c r="AY173" s="3404"/>
      <c r="AZ173" s="3404"/>
      <c r="BA173" s="3404"/>
      <c r="BB173" s="3404"/>
      <c r="BC173" s="3404"/>
      <c r="BD173" s="3404"/>
      <c r="BE173" s="3404"/>
      <c r="BF173" s="3404"/>
    </row>
    <row r="174" spans="1:58" s="3399" customFormat="1" ht="42.75">
      <c r="A174" s="3414" t="s">
        <v>3641</v>
      </c>
      <c r="B174" s="3492" t="s">
        <v>3642</v>
      </c>
      <c r="C174" s="3492" t="s">
        <v>3643</v>
      </c>
      <c r="D174" s="3492" t="s">
        <v>3644</v>
      </c>
      <c r="E174" s="3492" t="s">
        <v>3215</v>
      </c>
      <c r="F174" s="3414" t="s">
        <v>3216</v>
      </c>
      <c r="G174" s="3413" t="s">
        <v>3152</v>
      </c>
      <c r="H174" s="3492" t="s">
        <v>3610</v>
      </c>
      <c r="I174" s="3449">
        <v>0.06</v>
      </c>
      <c r="J174" s="3493">
        <v>42809</v>
      </c>
      <c r="K174" s="3493">
        <v>42826</v>
      </c>
      <c r="L174" s="3494">
        <v>43921</v>
      </c>
      <c r="M174" s="3492">
        <v>12</v>
      </c>
      <c r="N174" s="3414" t="s">
        <v>3170</v>
      </c>
      <c r="O174" s="3413" t="s">
        <v>3155</v>
      </c>
      <c r="P174" s="3414" t="s">
        <v>3193</v>
      </c>
      <c r="Q174" s="3379" t="s">
        <v>3645</v>
      </c>
      <c r="R174" s="3420">
        <v>2</v>
      </c>
      <c r="S174" s="3492">
        <v>300.62</v>
      </c>
      <c r="T174" s="3495">
        <v>300.62</v>
      </c>
      <c r="U174" s="3492">
        <v>15</v>
      </c>
      <c r="V174" s="3492" t="s">
        <v>3158</v>
      </c>
      <c r="W174" s="3496" t="s">
        <v>3218</v>
      </c>
      <c r="X174" s="3422">
        <f t="shared" si="39"/>
        <v>4509</v>
      </c>
      <c r="Y174" s="3422">
        <f t="shared" si="40"/>
        <v>0.4999667354134788</v>
      </c>
      <c r="Z174" s="3433">
        <f t="shared" si="50"/>
        <v>0.4999667354134788</v>
      </c>
      <c r="AA174" s="3423">
        <f t="shared" si="41"/>
        <v>19689.3</v>
      </c>
      <c r="AB174" s="3407">
        <f t="shared" si="37"/>
        <v>0.5299647395382876</v>
      </c>
      <c r="AC174" s="3404">
        <f t="shared" si="42"/>
        <v>58151.07</v>
      </c>
      <c r="AD174" s="3446">
        <f t="shared" si="38"/>
        <v>0.56176262391058485</v>
      </c>
      <c r="AE174" s="3404">
        <f t="shared" si="43"/>
        <v>61640.13</v>
      </c>
      <c r="AF174" s="3446">
        <f t="shared" si="51"/>
        <v>0.59546838134521995</v>
      </c>
      <c r="AG174" s="3404">
        <f t="shared" si="44"/>
        <v>65338.54</v>
      </c>
      <c r="AH174" s="3404">
        <v>2.2000000000000002</v>
      </c>
      <c r="AI174" s="3399">
        <f t="shared" si="45"/>
        <v>241397.86</v>
      </c>
      <c r="AJ174" s="3404">
        <f t="shared" si="49"/>
        <v>2.2549999999999999</v>
      </c>
      <c r="AK174" s="3404">
        <f t="shared" si="46"/>
        <v>247432.81</v>
      </c>
      <c r="AL174" s="3404">
        <f t="shared" si="48"/>
        <v>2.3113749999999995</v>
      </c>
      <c r="AM174" s="3404">
        <f t="shared" si="47"/>
        <v>253618.63</v>
      </c>
      <c r="AN174" s="3404"/>
      <c r="AO174" s="3404"/>
      <c r="AP174" s="3404"/>
      <c r="AQ174" s="3404"/>
      <c r="AR174" s="3404"/>
      <c r="AS174" s="3404"/>
      <c r="AT174" s="3404"/>
      <c r="AU174" s="3404"/>
      <c r="AV174" s="3404"/>
      <c r="AW174" s="3404"/>
      <c r="AX174" s="3404"/>
      <c r="AY174" s="3404"/>
      <c r="AZ174" s="3404"/>
      <c r="BA174" s="3404"/>
      <c r="BB174" s="3404"/>
      <c r="BC174" s="3404"/>
      <c r="BD174" s="3404"/>
      <c r="BE174" s="3404"/>
      <c r="BF174" s="3404"/>
    </row>
    <row r="175" spans="1:58" s="3399" customFormat="1" ht="42.75">
      <c r="A175" s="3414" t="s">
        <v>3641</v>
      </c>
      <c r="B175" s="3492" t="s">
        <v>3642</v>
      </c>
      <c r="C175" s="3492" t="s">
        <v>3643</v>
      </c>
      <c r="D175" s="3492" t="s">
        <v>3644</v>
      </c>
      <c r="E175" s="3492" t="s">
        <v>3215</v>
      </c>
      <c r="F175" s="3414" t="s">
        <v>3216</v>
      </c>
      <c r="G175" s="3413" t="s">
        <v>3152</v>
      </c>
      <c r="H175" s="3492" t="s">
        <v>3610</v>
      </c>
      <c r="I175" s="3449">
        <v>0.06</v>
      </c>
      <c r="J175" s="3493">
        <v>42809</v>
      </c>
      <c r="K175" s="3493">
        <v>42826</v>
      </c>
      <c r="L175" s="3494">
        <v>43921</v>
      </c>
      <c r="M175" s="3492">
        <v>12</v>
      </c>
      <c r="N175" s="3414" t="s">
        <v>3170</v>
      </c>
      <c r="O175" s="3413" t="s">
        <v>3155</v>
      </c>
      <c r="P175" s="3414" t="s">
        <v>3193</v>
      </c>
      <c r="Q175" s="3379" t="s">
        <v>3645</v>
      </c>
      <c r="R175" s="3420">
        <v>2</v>
      </c>
      <c r="S175" s="3492">
        <v>300.62</v>
      </c>
      <c r="T175" s="3495">
        <v>300.62</v>
      </c>
      <c r="U175" s="3492">
        <v>20</v>
      </c>
      <c r="V175" s="3492" t="s">
        <v>3158</v>
      </c>
      <c r="W175" s="3496" t="s">
        <v>3159</v>
      </c>
      <c r="X175" s="3422">
        <f t="shared" si="39"/>
        <v>6012</v>
      </c>
      <c r="Y175" s="3422">
        <f t="shared" si="40"/>
        <v>0.66662231388463833</v>
      </c>
      <c r="Z175" s="3433">
        <f t="shared" si="50"/>
        <v>0.66662231388463833</v>
      </c>
      <c r="AA175" s="3423">
        <f t="shared" si="41"/>
        <v>26252.400000000001</v>
      </c>
      <c r="AB175" s="3407">
        <f t="shared" si="37"/>
        <v>0.70661965271771665</v>
      </c>
      <c r="AC175" s="3404">
        <f t="shared" si="42"/>
        <v>77534.759999999995</v>
      </c>
      <c r="AD175" s="3446">
        <f t="shared" si="38"/>
        <v>0.74901683188077972</v>
      </c>
      <c r="AE175" s="3404">
        <f t="shared" si="43"/>
        <v>82186.850000000006</v>
      </c>
      <c r="AF175" s="3446">
        <f t="shared" si="51"/>
        <v>0.7939578417936265</v>
      </c>
      <c r="AG175" s="3404">
        <f t="shared" si="44"/>
        <v>87118.06</v>
      </c>
      <c r="AH175" s="3404">
        <v>2.2000000000000002</v>
      </c>
      <c r="AI175" s="3399">
        <f t="shared" si="45"/>
        <v>241397.86</v>
      </c>
      <c r="AJ175" s="3404">
        <f t="shared" si="49"/>
        <v>2.2549999999999999</v>
      </c>
      <c r="AK175" s="3404">
        <f t="shared" si="46"/>
        <v>247432.81</v>
      </c>
      <c r="AL175" s="3404">
        <f t="shared" si="48"/>
        <v>2.3113749999999995</v>
      </c>
      <c r="AM175" s="3404">
        <f t="shared" si="47"/>
        <v>253618.63</v>
      </c>
      <c r="AN175" s="3404"/>
      <c r="AO175" s="3404"/>
      <c r="AP175" s="3404"/>
      <c r="AQ175" s="3404"/>
      <c r="AR175" s="3404"/>
      <c r="AS175" s="3404"/>
      <c r="AT175" s="3404"/>
      <c r="AU175" s="3404"/>
      <c r="AV175" s="3404"/>
      <c r="AW175" s="3404"/>
      <c r="AX175" s="3404"/>
      <c r="AY175" s="3404"/>
      <c r="AZ175" s="3404"/>
      <c r="BA175" s="3404"/>
      <c r="BB175" s="3404"/>
      <c r="BC175" s="3404"/>
      <c r="BD175" s="3404"/>
      <c r="BE175" s="3404"/>
      <c r="BF175" s="3404"/>
    </row>
    <row r="176" spans="1:58" s="3399" customFormat="1" ht="42.75">
      <c r="A176" s="3414" t="s">
        <v>3646</v>
      </c>
      <c r="B176" s="3414" t="s">
        <v>3647</v>
      </c>
      <c r="C176" s="3414" t="s">
        <v>3648</v>
      </c>
      <c r="D176" s="3414" t="s">
        <v>3649</v>
      </c>
      <c r="E176" s="3414" t="s">
        <v>3650</v>
      </c>
      <c r="F176" s="3414" t="s">
        <v>3216</v>
      </c>
      <c r="G176" s="3413" t="s">
        <v>3152</v>
      </c>
      <c r="H176" s="3414" t="s">
        <v>3651</v>
      </c>
      <c r="I176" s="3449">
        <v>0.06</v>
      </c>
      <c r="J176" s="3450">
        <v>42832</v>
      </c>
      <c r="K176" s="3485">
        <v>42887</v>
      </c>
      <c r="L176" s="3429">
        <v>43982</v>
      </c>
      <c r="M176" s="3430">
        <v>12</v>
      </c>
      <c r="N176" s="3414" t="s">
        <v>3170</v>
      </c>
      <c r="O176" s="3413" t="s">
        <v>3652</v>
      </c>
      <c r="P176" s="3414" t="s">
        <v>3653</v>
      </c>
      <c r="Q176" s="3489" t="s">
        <v>3654</v>
      </c>
      <c r="R176" s="3420">
        <v>1</v>
      </c>
      <c r="S176" s="3420">
        <v>50.61</v>
      </c>
      <c r="T176" s="3497">
        <v>50.61</v>
      </c>
      <c r="U176" s="3420">
        <v>40</v>
      </c>
      <c r="V176" s="3492" t="s">
        <v>3158</v>
      </c>
      <c r="W176" s="3496" t="s">
        <v>3218</v>
      </c>
      <c r="X176" s="3422">
        <f t="shared" si="39"/>
        <v>2024</v>
      </c>
      <c r="Y176" s="3422">
        <f t="shared" si="40"/>
        <v>1.333069880787723</v>
      </c>
      <c r="Z176" s="3433">
        <f t="shared" si="50"/>
        <v>1.333069880787723</v>
      </c>
      <c r="AA176" s="3423">
        <f t="shared" si="41"/>
        <v>8838.1299999999992</v>
      </c>
      <c r="AB176" s="3407">
        <f t="shared" si="37"/>
        <v>1.4130540736349866</v>
      </c>
      <c r="AC176" s="3404">
        <f t="shared" si="42"/>
        <v>26102.85</v>
      </c>
      <c r="AD176" s="3446">
        <f t="shared" si="38"/>
        <v>1.497837318053086</v>
      </c>
      <c r="AE176" s="3404">
        <f t="shared" si="43"/>
        <v>27669.02</v>
      </c>
      <c r="AF176" s="3446">
        <f t="shared" si="51"/>
        <v>1.5877075571362711</v>
      </c>
      <c r="AG176" s="3404">
        <f t="shared" si="44"/>
        <v>29329.17</v>
      </c>
      <c r="AH176" s="3404">
        <v>2.2000000000000002</v>
      </c>
      <c r="AI176" s="3399">
        <f t="shared" si="45"/>
        <v>40639.83</v>
      </c>
      <c r="AJ176" s="3404">
        <f t="shared" si="49"/>
        <v>2.2549999999999999</v>
      </c>
      <c r="AK176" s="3404">
        <f t="shared" si="46"/>
        <v>41655.83</v>
      </c>
      <c r="AL176" s="3404">
        <f t="shared" si="48"/>
        <v>2.3113749999999995</v>
      </c>
      <c r="AM176" s="3404">
        <f t="shared" si="47"/>
        <v>42697.22</v>
      </c>
      <c r="AN176" s="3404"/>
      <c r="AO176" s="3404"/>
      <c r="AP176" s="3404"/>
      <c r="AQ176" s="3404"/>
      <c r="AR176" s="3404"/>
      <c r="AS176" s="3404"/>
      <c r="AT176" s="3404"/>
      <c r="AU176" s="3404"/>
      <c r="AV176" s="3404"/>
      <c r="AW176" s="3404"/>
      <c r="AX176" s="3404"/>
      <c r="AY176" s="3404"/>
      <c r="AZ176" s="3404"/>
      <c r="BA176" s="3404"/>
      <c r="BB176" s="3404"/>
      <c r="BC176" s="3404"/>
      <c r="BD176" s="3404"/>
      <c r="BE176" s="3404"/>
      <c r="BF176" s="3404"/>
    </row>
    <row r="177" spans="1:58" s="3399" customFormat="1" ht="42.75">
      <c r="A177" s="3414" t="s">
        <v>3646</v>
      </c>
      <c r="B177" s="3414" t="s">
        <v>3647</v>
      </c>
      <c r="C177" s="3414" t="s">
        <v>3648</v>
      </c>
      <c r="D177" s="3414" t="s">
        <v>3649</v>
      </c>
      <c r="E177" s="3414" t="s">
        <v>3650</v>
      </c>
      <c r="F177" s="3414" t="s">
        <v>3216</v>
      </c>
      <c r="G177" s="3413" t="s">
        <v>3152</v>
      </c>
      <c r="H177" s="3414" t="s">
        <v>3651</v>
      </c>
      <c r="I177" s="3449">
        <v>0.06</v>
      </c>
      <c r="J177" s="3450">
        <v>42832</v>
      </c>
      <c r="K177" s="3485">
        <v>42887</v>
      </c>
      <c r="L177" s="3429">
        <v>43982</v>
      </c>
      <c r="M177" s="3430">
        <v>12</v>
      </c>
      <c r="N177" s="3414" t="s">
        <v>3170</v>
      </c>
      <c r="O177" s="3413" t="s">
        <v>3652</v>
      </c>
      <c r="P177" s="3414" t="s">
        <v>3653</v>
      </c>
      <c r="Q177" s="3489" t="s">
        <v>3654</v>
      </c>
      <c r="R177" s="3420">
        <v>1</v>
      </c>
      <c r="S177" s="3420">
        <v>50.61</v>
      </c>
      <c r="T177" s="3497">
        <v>50.61</v>
      </c>
      <c r="U177" s="3420">
        <v>40</v>
      </c>
      <c r="V177" s="3492" t="s">
        <v>3158</v>
      </c>
      <c r="W177" s="3496" t="s">
        <v>3159</v>
      </c>
      <c r="X177" s="3422">
        <f t="shared" si="39"/>
        <v>2024</v>
      </c>
      <c r="Y177" s="3422">
        <f t="shared" si="40"/>
        <v>1.333069880787723</v>
      </c>
      <c r="Z177" s="3433">
        <f t="shared" si="50"/>
        <v>1.333069880787723</v>
      </c>
      <c r="AA177" s="3423">
        <f t="shared" si="41"/>
        <v>8838.1299999999992</v>
      </c>
      <c r="AB177" s="3407">
        <f t="shared" si="37"/>
        <v>1.4130540736349866</v>
      </c>
      <c r="AC177" s="3404">
        <f t="shared" si="42"/>
        <v>26102.85</v>
      </c>
      <c r="AD177" s="3446">
        <f t="shared" si="38"/>
        <v>1.497837318053086</v>
      </c>
      <c r="AE177" s="3404">
        <f t="shared" si="43"/>
        <v>27669.02</v>
      </c>
      <c r="AF177" s="3446">
        <f t="shared" si="51"/>
        <v>1.5877075571362711</v>
      </c>
      <c r="AG177" s="3404">
        <f t="shared" si="44"/>
        <v>29329.17</v>
      </c>
      <c r="AH177" s="3404">
        <v>2.2000000000000002</v>
      </c>
      <c r="AI177" s="3399">
        <f t="shared" si="45"/>
        <v>40639.83</v>
      </c>
      <c r="AJ177" s="3404">
        <f t="shared" si="49"/>
        <v>2.2549999999999999</v>
      </c>
      <c r="AK177" s="3404">
        <f t="shared" si="46"/>
        <v>41655.83</v>
      </c>
      <c r="AL177" s="3404">
        <f t="shared" si="48"/>
        <v>2.3113749999999995</v>
      </c>
      <c r="AM177" s="3404">
        <f t="shared" si="47"/>
        <v>42697.22</v>
      </c>
      <c r="AN177" s="3404"/>
      <c r="AO177" s="3404"/>
      <c r="AP177" s="3404"/>
      <c r="AQ177" s="3404"/>
      <c r="AR177" s="3404"/>
      <c r="AS177" s="3404"/>
      <c r="AT177" s="3404"/>
      <c r="AU177" s="3404"/>
      <c r="AV177" s="3404"/>
      <c r="AW177" s="3404"/>
      <c r="AX177" s="3404"/>
      <c r="AY177" s="3404"/>
      <c r="AZ177" s="3404"/>
      <c r="BA177" s="3404"/>
      <c r="BB177" s="3404"/>
      <c r="BC177" s="3404"/>
      <c r="BD177" s="3404"/>
      <c r="BE177" s="3404"/>
      <c r="BF177" s="3404"/>
    </row>
    <row r="178" spans="1:58" s="3399" customFormat="1" ht="42.75">
      <c r="A178" s="3414" t="s">
        <v>3655</v>
      </c>
      <c r="B178" s="3414" t="s">
        <v>3656</v>
      </c>
      <c r="C178" s="3414" t="s">
        <v>3657</v>
      </c>
      <c r="D178" s="3414" t="s">
        <v>3658</v>
      </c>
      <c r="E178" s="3414" t="s">
        <v>3200</v>
      </c>
      <c r="F178" s="3414" t="s">
        <v>3216</v>
      </c>
      <c r="G178" s="3413" t="s">
        <v>3152</v>
      </c>
      <c r="H178" s="3414" t="s">
        <v>3375</v>
      </c>
      <c r="I178" s="3449">
        <v>0.06</v>
      </c>
      <c r="J178" s="3450">
        <v>42388</v>
      </c>
      <c r="K178" s="3485">
        <v>42445</v>
      </c>
      <c r="L178" s="3429">
        <v>43539</v>
      </c>
      <c r="M178" s="3430">
        <v>12</v>
      </c>
      <c r="N178" s="3414" t="s">
        <v>3154</v>
      </c>
      <c r="O178" s="3414" t="s">
        <v>3363</v>
      </c>
      <c r="P178" s="3414" t="s">
        <v>3385</v>
      </c>
      <c r="Q178" s="3414" t="s">
        <v>3659</v>
      </c>
      <c r="R178" s="3420">
        <v>2</v>
      </c>
      <c r="S178" s="3419">
        <v>256.07</v>
      </c>
      <c r="T178" s="3420">
        <v>256.07</v>
      </c>
      <c r="U178" s="3419">
        <v>45</v>
      </c>
      <c r="V178" s="3414" t="s">
        <v>3158</v>
      </c>
      <c r="W178" s="3432" t="s">
        <v>3218</v>
      </c>
      <c r="X178" s="3422">
        <f t="shared" si="39"/>
        <v>11523</v>
      </c>
      <c r="Y178" s="3422">
        <f t="shared" si="40"/>
        <v>1.4999804740891163</v>
      </c>
      <c r="Z178" s="3433">
        <f t="shared" si="50"/>
        <v>1.4999804740891163</v>
      </c>
      <c r="AA178" s="3423">
        <f t="shared" si="41"/>
        <v>50317.1</v>
      </c>
      <c r="AB178" s="3407">
        <f t="shared" si="37"/>
        <v>1.5899793025344633</v>
      </c>
      <c r="AC178" s="3404">
        <f t="shared" si="42"/>
        <v>148608.29</v>
      </c>
      <c r="AD178" s="3446">
        <f t="shared" si="38"/>
        <v>1.6853780606865312</v>
      </c>
      <c r="AE178" s="3404">
        <f t="shared" si="43"/>
        <v>157524.79</v>
      </c>
      <c r="AF178" s="3446">
        <v>2.2000000000000002</v>
      </c>
      <c r="AG178" s="3404">
        <f t="shared" si="44"/>
        <v>205624.21</v>
      </c>
      <c r="AH178" s="3404">
        <f>AF178*(1+$AH$1)</f>
        <v>2.2549999999999999</v>
      </c>
      <c r="AI178" s="3399">
        <f t="shared" si="45"/>
        <v>210764.82</v>
      </c>
      <c r="AJ178" s="3404">
        <f t="shared" si="49"/>
        <v>2.3113749999999995</v>
      </c>
      <c r="AK178" s="3404">
        <f t="shared" si="46"/>
        <v>216033.94</v>
      </c>
      <c r="AL178" s="3404">
        <f t="shared" si="48"/>
        <v>2.3691593749999993</v>
      </c>
      <c r="AM178" s="3404">
        <f t="shared" si="47"/>
        <v>221434.78</v>
      </c>
      <c r="AN178" s="3404"/>
      <c r="AO178" s="3404"/>
      <c r="AP178" s="3404"/>
      <c r="AQ178" s="3404"/>
      <c r="AR178" s="3404"/>
      <c r="AS178" s="3404"/>
      <c r="AT178" s="3404"/>
      <c r="AU178" s="3404"/>
      <c r="AV178" s="3404"/>
      <c r="AW178" s="3404"/>
      <c r="AX178" s="3404"/>
      <c r="AY178" s="3404"/>
      <c r="AZ178" s="3404"/>
      <c r="BA178" s="3404"/>
      <c r="BB178" s="3404"/>
      <c r="BC178" s="3404"/>
      <c r="BD178" s="3404"/>
      <c r="BE178" s="3404"/>
      <c r="BF178" s="3404"/>
    </row>
    <row r="179" spans="1:58" s="3399" customFormat="1" ht="42.75">
      <c r="A179" s="3414" t="s">
        <v>3655</v>
      </c>
      <c r="B179" s="3414" t="s">
        <v>3656</v>
      </c>
      <c r="C179" s="3414" t="s">
        <v>3657</v>
      </c>
      <c r="D179" s="3414" t="s">
        <v>3658</v>
      </c>
      <c r="E179" s="3414" t="s">
        <v>3200</v>
      </c>
      <c r="F179" s="3414" t="s">
        <v>3216</v>
      </c>
      <c r="G179" s="3413" t="s">
        <v>3152</v>
      </c>
      <c r="H179" s="3414" t="s">
        <v>3375</v>
      </c>
      <c r="I179" s="3449">
        <v>0.06</v>
      </c>
      <c r="J179" s="3450">
        <v>42388</v>
      </c>
      <c r="K179" s="3485">
        <v>42445</v>
      </c>
      <c r="L179" s="3429">
        <v>43539</v>
      </c>
      <c r="M179" s="3430">
        <v>0</v>
      </c>
      <c r="N179" s="3414" t="s">
        <v>3154</v>
      </c>
      <c r="O179" s="3414" t="s">
        <v>3363</v>
      </c>
      <c r="P179" s="3414" t="s">
        <v>3385</v>
      </c>
      <c r="Q179" s="3414" t="s">
        <v>3659</v>
      </c>
      <c r="R179" s="3420">
        <v>2</v>
      </c>
      <c r="S179" s="3419">
        <v>256.07</v>
      </c>
      <c r="T179" s="3420">
        <v>256.07</v>
      </c>
      <c r="U179" s="3419">
        <v>30</v>
      </c>
      <c r="V179" s="3414" t="s">
        <v>3158</v>
      </c>
      <c r="W179" s="3432" t="s">
        <v>3159</v>
      </c>
      <c r="X179" s="3422">
        <f t="shared" si="39"/>
        <v>7682</v>
      </c>
      <c r="Y179" s="3422">
        <f t="shared" si="40"/>
        <v>0.99998698272607756</v>
      </c>
      <c r="Z179" s="3433">
        <f t="shared" si="50"/>
        <v>0.99998698272607756</v>
      </c>
      <c r="AA179" s="3423">
        <f t="shared" si="41"/>
        <v>33544.730000000003</v>
      </c>
      <c r="AB179" s="3407">
        <f t="shared" si="37"/>
        <v>1.0599862016896422</v>
      </c>
      <c r="AC179" s="3404">
        <f t="shared" si="42"/>
        <v>99072.19</v>
      </c>
      <c r="AD179" s="3446">
        <f t="shared" si="38"/>
        <v>1.1235853737910209</v>
      </c>
      <c r="AE179" s="3404">
        <f t="shared" si="43"/>
        <v>105016.52</v>
      </c>
      <c r="AF179" s="3446">
        <v>2.2000000000000002</v>
      </c>
      <c r="AG179" s="3404">
        <f t="shared" si="44"/>
        <v>205624.21</v>
      </c>
      <c r="AH179" s="3404">
        <f>AF179*(1+$AH$1)</f>
        <v>2.2549999999999999</v>
      </c>
      <c r="AI179" s="3399">
        <f t="shared" si="45"/>
        <v>210764.82</v>
      </c>
      <c r="AJ179" s="3404">
        <f t="shared" si="49"/>
        <v>2.3113749999999995</v>
      </c>
      <c r="AK179" s="3404">
        <f t="shared" si="46"/>
        <v>216033.94</v>
      </c>
      <c r="AL179" s="3404">
        <f t="shared" si="48"/>
        <v>2.3691593749999993</v>
      </c>
      <c r="AM179" s="3404">
        <f t="shared" si="47"/>
        <v>221434.78</v>
      </c>
      <c r="AN179" s="3404"/>
      <c r="AO179" s="3404"/>
      <c r="AP179" s="3404"/>
      <c r="AQ179" s="3404"/>
      <c r="AR179" s="3404"/>
      <c r="AS179" s="3404"/>
      <c r="AT179" s="3404"/>
      <c r="AU179" s="3404"/>
      <c r="AV179" s="3404"/>
      <c r="AW179" s="3404"/>
      <c r="AX179" s="3404"/>
      <c r="AY179" s="3404"/>
      <c r="AZ179" s="3404"/>
      <c r="BA179" s="3404"/>
      <c r="BB179" s="3404"/>
      <c r="BC179" s="3404"/>
      <c r="BD179" s="3404"/>
      <c r="BE179" s="3404"/>
      <c r="BF179" s="3404"/>
    </row>
    <row r="180" spans="1:58" s="3502" customFormat="1" ht="42.75">
      <c r="A180" s="3414" t="s">
        <v>3660</v>
      </c>
      <c r="B180" s="3492" t="s">
        <v>3661</v>
      </c>
      <c r="C180" s="3492">
        <v>13923318257</v>
      </c>
      <c r="D180" s="3492" t="s">
        <v>3662</v>
      </c>
      <c r="E180" s="3492" t="s">
        <v>3200</v>
      </c>
      <c r="F180" s="3414" t="s">
        <v>3216</v>
      </c>
      <c r="G180" s="3413" t="s">
        <v>3152</v>
      </c>
      <c r="H180" s="3492" t="s">
        <v>3610</v>
      </c>
      <c r="I180" s="3449">
        <v>0.06</v>
      </c>
      <c r="J180" s="3493">
        <v>42816</v>
      </c>
      <c r="K180" s="3493">
        <v>42826</v>
      </c>
      <c r="L180" s="3494">
        <v>43921</v>
      </c>
      <c r="M180" s="3492">
        <v>12</v>
      </c>
      <c r="N180" s="3414" t="s">
        <v>3663</v>
      </c>
      <c r="O180" s="3413" t="s">
        <v>3363</v>
      </c>
      <c r="P180" s="3414" t="s">
        <v>3589</v>
      </c>
      <c r="Q180" s="3379" t="s">
        <v>3664</v>
      </c>
      <c r="R180" s="3420">
        <v>2</v>
      </c>
      <c r="S180" s="3492">
        <v>159.26</v>
      </c>
      <c r="T180" s="3495">
        <v>159.26</v>
      </c>
      <c r="U180" s="3492">
        <v>50</v>
      </c>
      <c r="V180" s="3492" t="s">
        <v>3158</v>
      </c>
      <c r="W180" s="3496" t="s">
        <v>3218</v>
      </c>
      <c r="X180" s="3422">
        <f t="shared" si="39"/>
        <v>7963</v>
      </c>
      <c r="Y180" s="3422">
        <f t="shared" si="40"/>
        <v>1.6666666666666667</v>
      </c>
      <c r="Z180" s="3433">
        <f t="shared" si="50"/>
        <v>1.6666666666666667</v>
      </c>
      <c r="AA180" s="3423">
        <f t="shared" si="41"/>
        <v>34771.769999999997</v>
      </c>
      <c r="AB180" s="3407">
        <f t="shared" si="37"/>
        <v>1.7666666666666668</v>
      </c>
      <c r="AC180" s="3404">
        <f t="shared" si="42"/>
        <v>102696.16</v>
      </c>
      <c r="AD180" s="3446">
        <f t="shared" si="38"/>
        <v>1.8726666666666669</v>
      </c>
      <c r="AE180" s="3404">
        <f t="shared" si="43"/>
        <v>108857.93</v>
      </c>
      <c r="AF180" s="3446">
        <f>AD180*(1+$Z$1)</f>
        <v>1.9850266666666669</v>
      </c>
      <c r="AG180" s="3404">
        <f t="shared" si="44"/>
        <v>115389.4</v>
      </c>
      <c r="AH180" s="3404">
        <v>2.2000000000000002</v>
      </c>
      <c r="AI180" s="3399">
        <f t="shared" si="45"/>
        <v>127885.78</v>
      </c>
      <c r="AJ180" s="3404">
        <f t="shared" si="49"/>
        <v>2.2549999999999999</v>
      </c>
      <c r="AK180" s="3404">
        <f t="shared" si="46"/>
        <v>131082.92000000001</v>
      </c>
      <c r="AL180" s="3404">
        <f t="shared" si="48"/>
        <v>2.3113749999999995</v>
      </c>
      <c r="AM180" s="3404">
        <f t="shared" si="47"/>
        <v>134360</v>
      </c>
      <c r="AN180" s="3501"/>
      <c r="AO180" s="3501"/>
      <c r="AP180" s="3501"/>
      <c r="AQ180" s="3501"/>
      <c r="AR180" s="3501"/>
      <c r="AS180" s="3501"/>
      <c r="AT180" s="3501"/>
      <c r="AU180" s="3501"/>
      <c r="AV180" s="3501"/>
      <c r="AW180" s="3501"/>
      <c r="AX180" s="3501"/>
      <c r="AY180" s="3501"/>
      <c r="AZ180" s="3501"/>
      <c r="BA180" s="3501"/>
      <c r="BB180" s="3501"/>
      <c r="BC180" s="3501"/>
      <c r="BD180" s="3501"/>
      <c r="BE180" s="3501"/>
      <c r="BF180" s="3501"/>
    </row>
    <row r="181" spans="1:58" s="3502" customFormat="1" ht="42.75">
      <c r="A181" s="3414" t="s">
        <v>3660</v>
      </c>
      <c r="B181" s="3492" t="s">
        <v>3661</v>
      </c>
      <c r="C181" s="3492">
        <v>13923318257</v>
      </c>
      <c r="D181" s="3492" t="s">
        <v>3662</v>
      </c>
      <c r="E181" s="3492" t="s">
        <v>3200</v>
      </c>
      <c r="F181" s="3414" t="s">
        <v>3216</v>
      </c>
      <c r="G181" s="3413" t="s">
        <v>3152</v>
      </c>
      <c r="H181" s="3492" t="s">
        <v>3610</v>
      </c>
      <c r="I181" s="3449">
        <v>0.06</v>
      </c>
      <c r="J181" s="3493">
        <v>42816</v>
      </c>
      <c r="K181" s="3493">
        <v>42826</v>
      </c>
      <c r="L181" s="3494">
        <v>43921</v>
      </c>
      <c r="M181" s="3492">
        <v>12</v>
      </c>
      <c r="N181" s="3414" t="s">
        <v>3663</v>
      </c>
      <c r="O181" s="3413" t="s">
        <v>3363</v>
      </c>
      <c r="P181" s="3414" t="s">
        <v>3589</v>
      </c>
      <c r="Q181" s="3379" t="s">
        <v>3664</v>
      </c>
      <c r="R181" s="3420">
        <v>2</v>
      </c>
      <c r="S181" s="3492">
        <v>159.26</v>
      </c>
      <c r="T181" s="3495">
        <v>159.26</v>
      </c>
      <c r="U181" s="3492">
        <v>50</v>
      </c>
      <c r="V181" s="3492" t="s">
        <v>3158</v>
      </c>
      <c r="W181" s="3496" t="s">
        <v>3159</v>
      </c>
      <c r="X181" s="3422">
        <f t="shared" si="39"/>
        <v>7963</v>
      </c>
      <c r="Y181" s="3422">
        <f t="shared" si="40"/>
        <v>1.6666666666666667</v>
      </c>
      <c r="Z181" s="3433">
        <f t="shared" si="50"/>
        <v>1.6666666666666667</v>
      </c>
      <c r="AA181" s="3423">
        <f t="shared" si="41"/>
        <v>34771.769999999997</v>
      </c>
      <c r="AB181" s="3407">
        <f t="shared" si="37"/>
        <v>1.7666666666666668</v>
      </c>
      <c r="AC181" s="3404">
        <f t="shared" si="42"/>
        <v>102696.16</v>
      </c>
      <c r="AD181" s="3446">
        <f t="shared" si="38"/>
        <v>1.8726666666666669</v>
      </c>
      <c r="AE181" s="3404">
        <f t="shared" si="43"/>
        <v>108857.93</v>
      </c>
      <c r="AF181" s="3446">
        <f>AD181*(1+$Z$1)</f>
        <v>1.9850266666666669</v>
      </c>
      <c r="AG181" s="3404">
        <f t="shared" si="44"/>
        <v>115389.4</v>
      </c>
      <c r="AH181" s="3404">
        <v>2.2000000000000002</v>
      </c>
      <c r="AI181" s="3399">
        <f t="shared" si="45"/>
        <v>127885.78</v>
      </c>
      <c r="AJ181" s="3404">
        <f t="shared" si="49"/>
        <v>2.2549999999999999</v>
      </c>
      <c r="AK181" s="3404">
        <f t="shared" si="46"/>
        <v>131082.92000000001</v>
      </c>
      <c r="AL181" s="3404">
        <f t="shared" si="48"/>
        <v>2.3113749999999995</v>
      </c>
      <c r="AM181" s="3404">
        <f t="shared" si="47"/>
        <v>134360</v>
      </c>
      <c r="AN181" s="3501"/>
      <c r="AO181" s="3501"/>
      <c r="AP181" s="3501"/>
      <c r="AQ181" s="3501"/>
      <c r="AR181" s="3501"/>
      <c r="AS181" s="3501"/>
      <c r="AT181" s="3501"/>
      <c r="AU181" s="3501"/>
      <c r="AV181" s="3501"/>
      <c r="AW181" s="3501"/>
      <c r="AX181" s="3501"/>
      <c r="AY181" s="3501"/>
      <c r="AZ181" s="3501"/>
      <c r="BA181" s="3501"/>
      <c r="BB181" s="3501"/>
      <c r="BC181" s="3501"/>
      <c r="BD181" s="3501"/>
      <c r="BE181" s="3501"/>
      <c r="BF181" s="3501"/>
    </row>
    <row r="182" spans="1:58" s="3503" customFormat="1" ht="42.75">
      <c r="A182" s="3414" t="s">
        <v>3665</v>
      </c>
      <c r="B182" s="3414" t="s">
        <v>3666</v>
      </c>
      <c r="C182" s="3414" t="s">
        <v>3667</v>
      </c>
      <c r="D182" s="3414" t="s">
        <v>3668</v>
      </c>
      <c r="E182" s="3414" t="s">
        <v>3200</v>
      </c>
      <c r="F182" s="3414" t="s">
        <v>3216</v>
      </c>
      <c r="G182" s="3413" t="s">
        <v>3152</v>
      </c>
      <c r="H182" s="3414" t="s">
        <v>3669</v>
      </c>
      <c r="I182" s="3449">
        <v>0.06</v>
      </c>
      <c r="J182" s="3450">
        <v>42835</v>
      </c>
      <c r="K182" s="3485">
        <v>42841</v>
      </c>
      <c r="L182" s="3429">
        <v>42840</v>
      </c>
      <c r="M182" s="3430">
        <v>10</v>
      </c>
      <c r="N182" s="3414" t="s">
        <v>3170</v>
      </c>
      <c r="O182" s="3413" t="s">
        <v>3363</v>
      </c>
      <c r="P182" s="3414" t="s">
        <v>3364</v>
      </c>
      <c r="Q182" s="3489" t="s">
        <v>3670</v>
      </c>
      <c r="R182" s="3420">
        <v>1</v>
      </c>
      <c r="S182" s="3420">
        <v>66.27</v>
      </c>
      <c r="T182" s="3490">
        <v>66.27</v>
      </c>
      <c r="U182" s="3420">
        <v>45</v>
      </c>
      <c r="V182" s="3492" t="s">
        <v>3158</v>
      </c>
      <c r="W182" s="3496" t="s">
        <v>3218</v>
      </c>
      <c r="X182" s="3422">
        <f t="shared" si="39"/>
        <v>2982</v>
      </c>
      <c r="Y182" s="3422">
        <v>2.2000000000000002</v>
      </c>
      <c r="Z182" s="3433">
        <f t="shared" si="50"/>
        <v>2.2000000000000002</v>
      </c>
      <c r="AA182" s="3423">
        <f t="shared" si="41"/>
        <v>19099.009999999998</v>
      </c>
      <c r="AB182" s="3407">
        <f>Z182*(1+$AF$1)</f>
        <v>2.2549999999999999</v>
      </c>
      <c r="AC182" s="3404">
        <f t="shared" si="42"/>
        <v>54545.18</v>
      </c>
      <c r="AD182" s="3446">
        <f>AB182*(1+$AF$1)</f>
        <v>2.3113749999999995</v>
      </c>
      <c r="AE182" s="3404">
        <f t="shared" si="43"/>
        <v>55908.81</v>
      </c>
      <c r="AF182" s="3446">
        <f>AD182*(1+$AF$1)</f>
        <v>2.3691593749999993</v>
      </c>
      <c r="AG182" s="3404">
        <f t="shared" si="44"/>
        <v>57306.53</v>
      </c>
      <c r="AH182" s="3404">
        <f>AF182*(1+$AH$1)</f>
        <v>2.4283883593749991</v>
      </c>
      <c r="AI182" s="3399">
        <f t="shared" si="45"/>
        <v>58739.19</v>
      </c>
      <c r="AJ182" s="3404">
        <f t="shared" si="49"/>
        <v>2.489098068359374</v>
      </c>
      <c r="AK182" s="3404">
        <f t="shared" si="46"/>
        <v>60207.67</v>
      </c>
      <c r="AL182" s="3404">
        <f t="shared" si="48"/>
        <v>2.551325520068358</v>
      </c>
      <c r="AM182" s="3404">
        <f t="shared" si="47"/>
        <v>61712.86</v>
      </c>
      <c r="AN182" s="3404"/>
      <c r="AO182" s="3404"/>
      <c r="AP182" s="3404"/>
      <c r="AQ182" s="3404"/>
      <c r="AR182" s="3404"/>
      <c r="AS182" s="3404"/>
      <c r="AT182" s="3404"/>
      <c r="AU182" s="3404"/>
      <c r="AV182" s="3404"/>
      <c r="AW182" s="3404"/>
      <c r="AX182" s="3404"/>
      <c r="AY182" s="3404"/>
      <c r="AZ182" s="3404"/>
      <c r="BA182" s="3404"/>
      <c r="BB182" s="3404"/>
      <c r="BC182" s="3404"/>
      <c r="BD182" s="3404"/>
      <c r="BE182" s="3404"/>
      <c r="BF182" s="3404"/>
    </row>
    <row r="183" spans="1:58" s="3503" customFormat="1" ht="42.75">
      <c r="A183" s="3414" t="s">
        <v>3665</v>
      </c>
      <c r="B183" s="3414" t="s">
        <v>3666</v>
      </c>
      <c r="C183" s="3414" t="s">
        <v>3667</v>
      </c>
      <c r="D183" s="3414" t="s">
        <v>3668</v>
      </c>
      <c r="E183" s="3414" t="s">
        <v>3200</v>
      </c>
      <c r="F183" s="3414" t="s">
        <v>3216</v>
      </c>
      <c r="G183" s="3413" t="s">
        <v>3152</v>
      </c>
      <c r="H183" s="3414" t="s">
        <v>3669</v>
      </c>
      <c r="I183" s="3449">
        <v>0.06</v>
      </c>
      <c r="J183" s="3450">
        <v>42835</v>
      </c>
      <c r="K183" s="3485">
        <v>42841</v>
      </c>
      <c r="L183" s="3429">
        <v>42840</v>
      </c>
      <c r="M183" s="3430">
        <v>10</v>
      </c>
      <c r="N183" s="3414" t="s">
        <v>3170</v>
      </c>
      <c r="O183" s="3413" t="s">
        <v>3363</v>
      </c>
      <c r="P183" s="3414" t="s">
        <v>3364</v>
      </c>
      <c r="Q183" s="3489" t="s">
        <v>3670</v>
      </c>
      <c r="R183" s="3420">
        <v>1</v>
      </c>
      <c r="S183" s="3420">
        <v>66.27</v>
      </c>
      <c r="T183" s="3490">
        <v>66.27</v>
      </c>
      <c r="U183" s="3420">
        <v>45</v>
      </c>
      <c r="V183" s="3492" t="s">
        <v>3158</v>
      </c>
      <c r="W183" s="3496" t="s">
        <v>3159</v>
      </c>
      <c r="X183" s="3422">
        <f t="shared" si="39"/>
        <v>2982</v>
      </c>
      <c r="Y183" s="3422">
        <v>2.2000000000000002</v>
      </c>
      <c r="Z183" s="3433">
        <f t="shared" si="50"/>
        <v>2.2000000000000002</v>
      </c>
      <c r="AA183" s="3423">
        <f t="shared" si="41"/>
        <v>19099.009999999998</v>
      </c>
      <c r="AB183" s="3407">
        <f>Z183*(1+$AF$1)</f>
        <v>2.2549999999999999</v>
      </c>
      <c r="AC183" s="3404">
        <f t="shared" si="42"/>
        <v>54545.18</v>
      </c>
      <c r="AD183" s="3446">
        <f>AB183*(1+$AF$1)</f>
        <v>2.3113749999999995</v>
      </c>
      <c r="AE183" s="3404">
        <f t="shared" si="43"/>
        <v>55908.81</v>
      </c>
      <c r="AF183" s="3446">
        <f>AD183*(1+$AF$1)</f>
        <v>2.3691593749999993</v>
      </c>
      <c r="AG183" s="3404">
        <f t="shared" si="44"/>
        <v>57306.53</v>
      </c>
      <c r="AH183" s="3404">
        <f>AF183*(1+$AH$1)</f>
        <v>2.4283883593749991</v>
      </c>
      <c r="AI183" s="3399">
        <f t="shared" si="45"/>
        <v>58739.19</v>
      </c>
      <c r="AJ183" s="3404">
        <f t="shared" si="49"/>
        <v>2.489098068359374</v>
      </c>
      <c r="AK183" s="3404">
        <f t="shared" si="46"/>
        <v>60207.67</v>
      </c>
      <c r="AL183" s="3404">
        <f t="shared" si="48"/>
        <v>2.551325520068358</v>
      </c>
      <c r="AM183" s="3404">
        <f t="shared" si="47"/>
        <v>61712.86</v>
      </c>
      <c r="AN183" s="3404"/>
      <c r="AO183" s="3404"/>
      <c r="AP183" s="3404"/>
      <c r="AQ183" s="3404"/>
      <c r="AR183" s="3404"/>
      <c r="AS183" s="3404"/>
      <c r="AT183" s="3404"/>
      <c r="AU183" s="3404"/>
      <c r="AV183" s="3404"/>
      <c r="AW183" s="3404"/>
      <c r="AX183" s="3404"/>
      <c r="AY183" s="3404"/>
      <c r="AZ183" s="3404"/>
      <c r="BA183" s="3404"/>
      <c r="BB183" s="3404"/>
      <c r="BC183" s="3404"/>
      <c r="BD183" s="3404"/>
      <c r="BE183" s="3404"/>
      <c r="BF183" s="3404"/>
    </row>
    <row r="184" spans="1:58" s="3399" customFormat="1" ht="57">
      <c r="A184" s="3414" t="s">
        <v>3671</v>
      </c>
      <c r="B184" s="3414" t="s">
        <v>3672</v>
      </c>
      <c r="C184" s="3414" t="s">
        <v>3673</v>
      </c>
      <c r="D184" s="3414" t="s">
        <v>3674</v>
      </c>
      <c r="E184" s="3414" t="s">
        <v>3650</v>
      </c>
      <c r="F184" s="3414" t="s">
        <v>3216</v>
      </c>
      <c r="G184" s="3413" t="s">
        <v>3152</v>
      </c>
      <c r="H184" s="3414" t="s">
        <v>3669</v>
      </c>
      <c r="I184" s="3449">
        <v>0.06</v>
      </c>
      <c r="J184" s="3450">
        <v>42858</v>
      </c>
      <c r="K184" s="3485">
        <v>42917</v>
      </c>
      <c r="L184" s="3429">
        <v>44012</v>
      </c>
      <c r="M184" s="3430">
        <v>12</v>
      </c>
      <c r="N184" s="3414" t="s">
        <v>3170</v>
      </c>
      <c r="O184" s="3413" t="s">
        <v>3652</v>
      </c>
      <c r="P184" s="3414" t="s">
        <v>3675</v>
      </c>
      <c r="Q184" s="3489" t="s">
        <v>3676</v>
      </c>
      <c r="R184" s="3420">
        <v>2</v>
      </c>
      <c r="S184" s="3420">
        <v>272.52999999999997</v>
      </c>
      <c r="T184" s="3490">
        <v>272.52999999999997</v>
      </c>
      <c r="U184" s="3420">
        <v>40</v>
      </c>
      <c r="V184" s="3492" t="s">
        <v>3158</v>
      </c>
      <c r="W184" s="3496" t="s">
        <v>3218</v>
      </c>
      <c r="X184" s="3422">
        <f t="shared" si="39"/>
        <v>10901</v>
      </c>
      <c r="Y184" s="3422">
        <f t="shared" si="40"/>
        <v>1.3333088711946088</v>
      </c>
      <c r="Z184" s="3433">
        <f t="shared" si="50"/>
        <v>1.3333088711946088</v>
      </c>
      <c r="AA184" s="3423">
        <f t="shared" si="41"/>
        <v>47601.03</v>
      </c>
      <c r="AB184" s="3407">
        <f t="shared" ref="AB184:AB244" si="52">Z184*(1+$Z$1)</f>
        <v>1.4133074034662854</v>
      </c>
      <c r="AC184" s="3404">
        <f t="shared" si="42"/>
        <v>140586.56</v>
      </c>
      <c r="AD184" s="3446">
        <f t="shared" ref="AD184:AD244" si="53">AB184*(1+$Z$1)</f>
        <v>1.4981058476742626</v>
      </c>
      <c r="AE184" s="3404">
        <f t="shared" si="43"/>
        <v>149021.76000000001</v>
      </c>
      <c r="AF184" s="3446">
        <f t="shared" ref="AF184:AF237" si="54">AD184*(1+$Z$1)</f>
        <v>1.5879921985347185</v>
      </c>
      <c r="AG184" s="3404">
        <f t="shared" si="44"/>
        <v>157963.06</v>
      </c>
      <c r="AH184" s="3501">
        <v>2.2000000000000002</v>
      </c>
      <c r="AI184" s="3399">
        <f t="shared" si="45"/>
        <v>218841.59</v>
      </c>
      <c r="AJ184" s="3404">
        <f t="shared" si="49"/>
        <v>2.2549999999999999</v>
      </c>
      <c r="AK184" s="3404">
        <f t="shared" si="46"/>
        <v>224312.63</v>
      </c>
      <c r="AL184" s="3404">
        <f t="shared" si="48"/>
        <v>2.3113749999999995</v>
      </c>
      <c r="AM184" s="3404">
        <f t="shared" si="47"/>
        <v>229920.45</v>
      </c>
      <c r="AN184" s="3404"/>
      <c r="AO184" s="3404"/>
      <c r="AP184" s="3404"/>
      <c r="AQ184" s="3404"/>
      <c r="AR184" s="3404"/>
      <c r="AS184" s="3404"/>
      <c r="AT184" s="3404"/>
      <c r="AU184" s="3404"/>
      <c r="AV184" s="3404"/>
      <c r="AW184" s="3404"/>
      <c r="AX184" s="3404"/>
      <c r="AY184" s="3404"/>
      <c r="AZ184" s="3404"/>
      <c r="BA184" s="3404"/>
      <c r="BB184" s="3404"/>
      <c r="BC184" s="3404"/>
      <c r="BD184" s="3404"/>
      <c r="BE184" s="3404"/>
      <c r="BF184" s="3404"/>
    </row>
    <row r="185" spans="1:58" s="3399" customFormat="1" ht="57">
      <c r="A185" s="3414" t="s">
        <v>3671</v>
      </c>
      <c r="B185" s="3414" t="s">
        <v>3672</v>
      </c>
      <c r="C185" s="3414" t="s">
        <v>3673</v>
      </c>
      <c r="D185" s="3414" t="s">
        <v>3674</v>
      </c>
      <c r="E185" s="3414" t="s">
        <v>3650</v>
      </c>
      <c r="F185" s="3414" t="s">
        <v>3216</v>
      </c>
      <c r="G185" s="3413" t="s">
        <v>3152</v>
      </c>
      <c r="H185" s="3414" t="s">
        <v>3669</v>
      </c>
      <c r="I185" s="3449">
        <v>0.06</v>
      </c>
      <c r="J185" s="3450">
        <v>42858</v>
      </c>
      <c r="K185" s="3485">
        <v>42917</v>
      </c>
      <c r="L185" s="3429">
        <v>44012</v>
      </c>
      <c r="M185" s="3430">
        <v>12</v>
      </c>
      <c r="N185" s="3414" t="s">
        <v>3170</v>
      </c>
      <c r="O185" s="3413" t="s">
        <v>3652</v>
      </c>
      <c r="P185" s="3414" t="s">
        <v>3675</v>
      </c>
      <c r="Q185" s="3489" t="s">
        <v>3676</v>
      </c>
      <c r="R185" s="3420">
        <v>2</v>
      </c>
      <c r="S185" s="3420">
        <v>272.52999999999997</v>
      </c>
      <c r="T185" s="3490">
        <v>272.52999999999997</v>
      </c>
      <c r="U185" s="3420">
        <v>40</v>
      </c>
      <c r="V185" s="3492" t="s">
        <v>3158</v>
      </c>
      <c r="W185" s="3496" t="s">
        <v>3159</v>
      </c>
      <c r="X185" s="3422">
        <f t="shared" si="39"/>
        <v>10901</v>
      </c>
      <c r="Y185" s="3422">
        <f t="shared" si="40"/>
        <v>1.3333088711946088</v>
      </c>
      <c r="Z185" s="3433">
        <f t="shared" si="50"/>
        <v>1.3333088711946088</v>
      </c>
      <c r="AA185" s="3423">
        <f t="shared" si="41"/>
        <v>47601.03</v>
      </c>
      <c r="AB185" s="3407">
        <f t="shared" si="52"/>
        <v>1.4133074034662854</v>
      </c>
      <c r="AC185" s="3404">
        <f t="shared" si="42"/>
        <v>140586.56</v>
      </c>
      <c r="AD185" s="3446">
        <f t="shared" si="53"/>
        <v>1.4981058476742626</v>
      </c>
      <c r="AE185" s="3404">
        <f t="shared" si="43"/>
        <v>149021.76000000001</v>
      </c>
      <c r="AF185" s="3446">
        <f t="shared" si="54"/>
        <v>1.5879921985347185</v>
      </c>
      <c r="AG185" s="3404">
        <f t="shared" si="44"/>
        <v>157963.06</v>
      </c>
      <c r="AH185" s="3501">
        <v>2.2000000000000002</v>
      </c>
      <c r="AI185" s="3399">
        <f t="shared" si="45"/>
        <v>218841.59</v>
      </c>
      <c r="AJ185" s="3404">
        <f t="shared" si="49"/>
        <v>2.2549999999999999</v>
      </c>
      <c r="AK185" s="3404">
        <f t="shared" si="46"/>
        <v>224312.63</v>
      </c>
      <c r="AL185" s="3404">
        <f t="shared" si="48"/>
        <v>2.3113749999999995</v>
      </c>
      <c r="AM185" s="3404">
        <f t="shared" si="47"/>
        <v>229920.45</v>
      </c>
      <c r="AN185" s="3404"/>
      <c r="AO185" s="3404"/>
      <c r="AP185" s="3404"/>
      <c r="AQ185" s="3404"/>
      <c r="AR185" s="3404"/>
      <c r="AS185" s="3404"/>
      <c r="AT185" s="3404"/>
      <c r="AU185" s="3404"/>
      <c r="AV185" s="3404"/>
      <c r="AW185" s="3404"/>
      <c r="AX185" s="3404"/>
      <c r="AY185" s="3404"/>
      <c r="AZ185" s="3404"/>
      <c r="BA185" s="3404"/>
      <c r="BB185" s="3404"/>
      <c r="BC185" s="3404"/>
      <c r="BD185" s="3404"/>
      <c r="BE185" s="3404"/>
      <c r="BF185" s="3404"/>
    </row>
    <row r="186" spans="1:58" s="3400" customFormat="1" ht="42.75">
      <c r="A186" s="3414" t="s">
        <v>3677</v>
      </c>
      <c r="B186" s="3414" t="s">
        <v>3678</v>
      </c>
      <c r="C186" s="3414" t="s">
        <v>3679</v>
      </c>
      <c r="D186" s="3414" t="s">
        <v>3680</v>
      </c>
      <c r="E186" s="3414" t="s">
        <v>3283</v>
      </c>
      <c r="F186" s="3414" t="s">
        <v>3216</v>
      </c>
      <c r="G186" s="3413" t="s">
        <v>3152</v>
      </c>
      <c r="H186" s="3414" t="s">
        <v>3681</v>
      </c>
      <c r="I186" s="3449">
        <v>0.06</v>
      </c>
      <c r="J186" s="3450">
        <v>42839</v>
      </c>
      <c r="K186" s="3485">
        <v>42871</v>
      </c>
      <c r="L186" s="3429">
        <v>43966</v>
      </c>
      <c r="M186" s="3430">
        <v>6</v>
      </c>
      <c r="N186" s="3414" t="s">
        <v>3170</v>
      </c>
      <c r="O186" s="3414" t="s">
        <v>3363</v>
      </c>
      <c r="P186" s="3414" t="s">
        <v>3437</v>
      </c>
      <c r="Q186" s="3414" t="s">
        <v>3682</v>
      </c>
      <c r="R186" s="3420">
        <v>1</v>
      </c>
      <c r="S186" s="3419">
        <v>78.959999999999994</v>
      </c>
      <c r="T186" s="3490">
        <v>78.959999999999994</v>
      </c>
      <c r="U186" s="3419">
        <v>40</v>
      </c>
      <c r="V186" s="3414" t="s">
        <v>3158</v>
      </c>
      <c r="W186" s="3496" t="s">
        <v>3218</v>
      </c>
      <c r="X186" s="3422">
        <f t="shared" si="39"/>
        <v>3158</v>
      </c>
      <c r="Y186" s="3422">
        <f t="shared" si="40"/>
        <v>1.3331644714623438</v>
      </c>
      <c r="Z186" s="3433">
        <f t="shared" si="50"/>
        <v>1.3331644714623438</v>
      </c>
      <c r="AA186" s="3423">
        <f t="shared" si="41"/>
        <v>13789.93</v>
      </c>
      <c r="AB186" s="3407">
        <f t="shared" si="52"/>
        <v>1.4131543397500845</v>
      </c>
      <c r="AC186" s="3404">
        <f t="shared" si="42"/>
        <v>40727.67</v>
      </c>
      <c r="AD186" s="3446">
        <f t="shared" si="53"/>
        <v>1.4979436001350896</v>
      </c>
      <c r="AE186" s="3404">
        <f t="shared" si="43"/>
        <v>43171.33</v>
      </c>
      <c r="AF186" s="3446">
        <f t="shared" si="54"/>
        <v>1.5878202161431951</v>
      </c>
      <c r="AG186" s="3404">
        <f t="shared" si="44"/>
        <v>45761.61</v>
      </c>
      <c r="AH186" s="3501">
        <v>2.2000000000000002</v>
      </c>
      <c r="AI186" s="3399">
        <f t="shared" si="45"/>
        <v>63404.88</v>
      </c>
      <c r="AJ186" s="3404">
        <f t="shared" si="49"/>
        <v>2.2549999999999999</v>
      </c>
      <c r="AK186" s="3404">
        <f t="shared" si="46"/>
        <v>64990</v>
      </c>
      <c r="AL186" s="3404">
        <f t="shared" si="48"/>
        <v>2.3113749999999995</v>
      </c>
      <c r="AM186" s="3404">
        <f t="shared" si="47"/>
        <v>66614.75</v>
      </c>
      <c r="AN186" s="3404"/>
      <c r="AO186" s="3404"/>
      <c r="AP186" s="3404"/>
      <c r="AQ186" s="3404"/>
      <c r="AR186" s="3404"/>
      <c r="AS186" s="3404"/>
      <c r="AT186" s="3404"/>
      <c r="AU186" s="3404"/>
      <c r="AV186" s="3404"/>
      <c r="AW186" s="3404"/>
      <c r="AX186" s="3404"/>
      <c r="AY186" s="3404"/>
      <c r="AZ186" s="3404"/>
      <c r="BA186" s="3404"/>
      <c r="BB186" s="3404"/>
      <c r="BC186" s="3404"/>
      <c r="BD186" s="3404"/>
      <c r="BE186" s="3404"/>
      <c r="BF186" s="3404"/>
    </row>
    <row r="187" spans="1:58" s="3400" customFormat="1" ht="42.75">
      <c r="A187" s="3414" t="s">
        <v>3677</v>
      </c>
      <c r="B187" s="3414" t="s">
        <v>3678</v>
      </c>
      <c r="C187" s="3414" t="s">
        <v>3679</v>
      </c>
      <c r="D187" s="3414" t="s">
        <v>3680</v>
      </c>
      <c r="E187" s="3414" t="s">
        <v>3283</v>
      </c>
      <c r="F187" s="3414" t="s">
        <v>3216</v>
      </c>
      <c r="G187" s="3413" t="s">
        <v>3152</v>
      </c>
      <c r="H187" s="3414" t="s">
        <v>3681</v>
      </c>
      <c r="I187" s="3449">
        <v>0.06</v>
      </c>
      <c r="J187" s="3450">
        <v>42839</v>
      </c>
      <c r="K187" s="3485">
        <v>42871</v>
      </c>
      <c r="L187" s="3429">
        <v>43966</v>
      </c>
      <c r="M187" s="3430">
        <v>6</v>
      </c>
      <c r="N187" s="3414" t="s">
        <v>3170</v>
      </c>
      <c r="O187" s="3414" t="s">
        <v>3363</v>
      </c>
      <c r="P187" s="3414" t="s">
        <v>3437</v>
      </c>
      <c r="Q187" s="3414" t="s">
        <v>3682</v>
      </c>
      <c r="R187" s="3420">
        <v>1</v>
      </c>
      <c r="S187" s="3419">
        <v>78.959999999999994</v>
      </c>
      <c r="T187" s="3490">
        <v>78.959999999999994</v>
      </c>
      <c r="U187" s="3419">
        <v>40</v>
      </c>
      <c r="V187" s="3414" t="s">
        <v>3158</v>
      </c>
      <c r="W187" s="3496" t="s">
        <v>3159</v>
      </c>
      <c r="X187" s="3422">
        <f t="shared" si="39"/>
        <v>3158</v>
      </c>
      <c r="Y187" s="3422">
        <f t="shared" si="40"/>
        <v>1.3331644714623438</v>
      </c>
      <c r="Z187" s="3433">
        <f t="shared" si="50"/>
        <v>1.3331644714623438</v>
      </c>
      <c r="AA187" s="3423">
        <f t="shared" si="41"/>
        <v>13789.93</v>
      </c>
      <c r="AB187" s="3407">
        <f t="shared" si="52"/>
        <v>1.4131543397500845</v>
      </c>
      <c r="AC187" s="3404">
        <f t="shared" si="42"/>
        <v>40727.67</v>
      </c>
      <c r="AD187" s="3446">
        <f t="shared" si="53"/>
        <v>1.4979436001350896</v>
      </c>
      <c r="AE187" s="3404">
        <f t="shared" si="43"/>
        <v>43171.33</v>
      </c>
      <c r="AF187" s="3446">
        <f t="shared" si="54"/>
        <v>1.5878202161431951</v>
      </c>
      <c r="AG187" s="3404">
        <f t="shared" si="44"/>
        <v>45761.61</v>
      </c>
      <c r="AH187" s="3501">
        <v>2.2000000000000002</v>
      </c>
      <c r="AI187" s="3399">
        <f t="shared" si="45"/>
        <v>63404.88</v>
      </c>
      <c r="AJ187" s="3404">
        <f t="shared" si="49"/>
        <v>2.2549999999999999</v>
      </c>
      <c r="AK187" s="3404">
        <f t="shared" si="46"/>
        <v>64990</v>
      </c>
      <c r="AL187" s="3404">
        <f t="shared" si="48"/>
        <v>2.3113749999999995</v>
      </c>
      <c r="AM187" s="3404">
        <f t="shared" si="47"/>
        <v>66614.75</v>
      </c>
      <c r="AN187" s="3404"/>
      <c r="AO187" s="3404"/>
      <c r="AP187" s="3404"/>
      <c r="AQ187" s="3404"/>
      <c r="AR187" s="3404"/>
      <c r="AS187" s="3404"/>
      <c r="AT187" s="3404"/>
      <c r="AU187" s="3404"/>
      <c r="AV187" s="3404"/>
      <c r="AW187" s="3404"/>
      <c r="AX187" s="3404"/>
      <c r="AY187" s="3404"/>
      <c r="AZ187" s="3404"/>
      <c r="BA187" s="3404"/>
      <c r="BB187" s="3404"/>
      <c r="BC187" s="3404"/>
      <c r="BD187" s="3404"/>
      <c r="BE187" s="3404"/>
      <c r="BF187" s="3404"/>
    </row>
    <row r="188" spans="1:58" s="3399" customFormat="1" ht="42.75">
      <c r="A188" s="3414" t="s">
        <v>3683</v>
      </c>
      <c r="B188" s="3492" t="s">
        <v>3684</v>
      </c>
      <c r="C188" s="3492">
        <v>13802659137</v>
      </c>
      <c r="D188" s="3492" t="s">
        <v>3685</v>
      </c>
      <c r="E188" s="3492"/>
      <c r="F188" s="3414" t="s">
        <v>3216</v>
      </c>
      <c r="G188" s="3413" t="s">
        <v>3152</v>
      </c>
      <c r="H188" s="3414" t="s">
        <v>3686</v>
      </c>
      <c r="I188" s="3449">
        <v>0.06</v>
      </c>
      <c r="J188" s="3493">
        <v>42855</v>
      </c>
      <c r="K188" s="3493">
        <v>42856</v>
      </c>
      <c r="L188" s="3494">
        <v>43951</v>
      </c>
      <c r="M188" s="3492">
        <v>10</v>
      </c>
      <c r="N188" s="3414" t="s">
        <v>3170</v>
      </c>
      <c r="O188" s="3413" t="s">
        <v>3155</v>
      </c>
      <c r="P188" s="3414" t="s">
        <v>3156</v>
      </c>
      <c r="Q188" s="3379" t="s">
        <v>3687</v>
      </c>
      <c r="R188" s="3420">
        <v>2</v>
      </c>
      <c r="S188" s="3492">
        <v>233.11</v>
      </c>
      <c r="T188" s="3495">
        <v>233.11</v>
      </c>
      <c r="U188" s="3492">
        <v>50</v>
      </c>
      <c r="V188" s="3414" t="s">
        <v>3158</v>
      </c>
      <c r="W188" s="3496" t="s">
        <v>3218</v>
      </c>
      <c r="X188" s="3422">
        <f t="shared" si="39"/>
        <v>11656</v>
      </c>
      <c r="Y188" s="3422">
        <f t="shared" si="40"/>
        <v>1.6667381636709422</v>
      </c>
      <c r="Z188" s="3433">
        <f t="shared" si="50"/>
        <v>1.6667381636709422</v>
      </c>
      <c r="AA188" s="3423">
        <f t="shared" si="41"/>
        <v>50897.87</v>
      </c>
      <c r="AB188" s="3407">
        <f t="shared" si="52"/>
        <v>1.7667424534911988</v>
      </c>
      <c r="AC188" s="3404">
        <f t="shared" si="42"/>
        <v>150323.54999999999</v>
      </c>
      <c r="AD188" s="3446">
        <f t="shared" si="53"/>
        <v>1.8727470007006708</v>
      </c>
      <c r="AE188" s="3404">
        <f t="shared" si="43"/>
        <v>159342.96</v>
      </c>
      <c r="AF188" s="3446">
        <f t="shared" si="54"/>
        <v>1.9851118207427112</v>
      </c>
      <c r="AG188" s="3404">
        <f t="shared" si="44"/>
        <v>168903.54</v>
      </c>
      <c r="AH188" s="3501">
        <v>2.2000000000000002</v>
      </c>
      <c r="AI188" s="3399">
        <f t="shared" si="45"/>
        <v>187187.33</v>
      </c>
      <c r="AJ188" s="3404">
        <f t="shared" si="49"/>
        <v>2.2549999999999999</v>
      </c>
      <c r="AK188" s="3404">
        <f t="shared" si="46"/>
        <v>191867.01</v>
      </c>
      <c r="AL188" s="3404">
        <f t="shared" si="48"/>
        <v>2.3113749999999995</v>
      </c>
      <c r="AM188" s="3404">
        <f t="shared" si="47"/>
        <v>196663.69</v>
      </c>
      <c r="AN188" s="3404"/>
      <c r="AO188" s="3404"/>
      <c r="AP188" s="3404"/>
      <c r="AQ188" s="3404"/>
      <c r="AR188" s="3404"/>
      <c r="AS188" s="3404"/>
      <c r="AT188" s="3404"/>
      <c r="AU188" s="3404"/>
      <c r="AV188" s="3404"/>
      <c r="AW188" s="3404"/>
      <c r="AX188" s="3404"/>
      <c r="AY188" s="3404"/>
      <c r="AZ188" s="3404"/>
      <c r="BA188" s="3404"/>
      <c r="BB188" s="3404"/>
      <c r="BC188" s="3404"/>
      <c r="BD188" s="3404"/>
      <c r="BE188" s="3404"/>
      <c r="BF188" s="3404"/>
    </row>
    <row r="189" spans="1:58" s="3399" customFormat="1" ht="42.75">
      <c r="A189" s="3414" t="s">
        <v>3683</v>
      </c>
      <c r="B189" s="3492" t="s">
        <v>3684</v>
      </c>
      <c r="C189" s="3492">
        <v>13802659137</v>
      </c>
      <c r="D189" s="3492" t="s">
        <v>3685</v>
      </c>
      <c r="E189" s="3492"/>
      <c r="F189" s="3414" t="s">
        <v>3216</v>
      </c>
      <c r="G189" s="3413" t="s">
        <v>3152</v>
      </c>
      <c r="H189" s="3414" t="s">
        <v>3686</v>
      </c>
      <c r="I189" s="3449">
        <v>0.06</v>
      </c>
      <c r="J189" s="3493">
        <v>42855</v>
      </c>
      <c r="K189" s="3493">
        <v>42856</v>
      </c>
      <c r="L189" s="3494">
        <v>43951</v>
      </c>
      <c r="M189" s="3492">
        <v>10</v>
      </c>
      <c r="N189" s="3414" t="s">
        <v>3170</v>
      </c>
      <c r="O189" s="3413" t="s">
        <v>3155</v>
      </c>
      <c r="P189" s="3414" t="s">
        <v>3156</v>
      </c>
      <c r="Q189" s="3379" t="s">
        <v>3687</v>
      </c>
      <c r="R189" s="3420">
        <v>2</v>
      </c>
      <c r="S189" s="3492">
        <v>233.11</v>
      </c>
      <c r="T189" s="3495">
        <v>233.11</v>
      </c>
      <c r="U189" s="3492">
        <v>50</v>
      </c>
      <c r="V189" s="3414" t="s">
        <v>3158</v>
      </c>
      <c r="W189" s="3496" t="s">
        <v>3159</v>
      </c>
      <c r="X189" s="3422">
        <f t="shared" si="39"/>
        <v>11656</v>
      </c>
      <c r="Y189" s="3422">
        <f t="shared" si="40"/>
        <v>1.6667381636709422</v>
      </c>
      <c r="Z189" s="3433">
        <f t="shared" si="50"/>
        <v>1.6667381636709422</v>
      </c>
      <c r="AA189" s="3423">
        <f t="shared" si="41"/>
        <v>50897.87</v>
      </c>
      <c r="AB189" s="3407">
        <f t="shared" si="52"/>
        <v>1.7667424534911988</v>
      </c>
      <c r="AC189" s="3404">
        <f t="shared" si="42"/>
        <v>150323.54999999999</v>
      </c>
      <c r="AD189" s="3446">
        <f t="shared" si="53"/>
        <v>1.8727470007006708</v>
      </c>
      <c r="AE189" s="3404">
        <f t="shared" si="43"/>
        <v>159342.96</v>
      </c>
      <c r="AF189" s="3446">
        <f t="shared" si="54"/>
        <v>1.9851118207427112</v>
      </c>
      <c r="AG189" s="3404">
        <f t="shared" si="44"/>
        <v>168903.54</v>
      </c>
      <c r="AH189" s="3501">
        <v>2.2000000000000002</v>
      </c>
      <c r="AI189" s="3399">
        <f t="shared" si="45"/>
        <v>187187.33</v>
      </c>
      <c r="AJ189" s="3404">
        <f t="shared" si="49"/>
        <v>2.2549999999999999</v>
      </c>
      <c r="AK189" s="3404">
        <f t="shared" si="46"/>
        <v>191867.01</v>
      </c>
      <c r="AL189" s="3404">
        <f t="shared" si="48"/>
        <v>2.3113749999999995</v>
      </c>
      <c r="AM189" s="3404">
        <f t="shared" si="47"/>
        <v>196663.69</v>
      </c>
      <c r="AN189" s="3404"/>
      <c r="AO189" s="3404"/>
      <c r="AP189" s="3404"/>
      <c r="AQ189" s="3404"/>
      <c r="AR189" s="3404"/>
      <c r="AS189" s="3404"/>
      <c r="AT189" s="3404"/>
      <c r="AU189" s="3404"/>
      <c r="AV189" s="3404"/>
      <c r="AW189" s="3404"/>
      <c r="AX189" s="3404"/>
      <c r="AY189" s="3404"/>
      <c r="AZ189" s="3404"/>
      <c r="BA189" s="3404"/>
      <c r="BB189" s="3404"/>
      <c r="BC189" s="3404"/>
      <c r="BD189" s="3404"/>
      <c r="BE189" s="3404"/>
      <c r="BF189" s="3404"/>
    </row>
    <row r="190" spans="1:58" s="3502" customFormat="1" ht="42.75">
      <c r="A190" s="3414" t="s">
        <v>3688</v>
      </c>
      <c r="B190" s="3492" t="s">
        <v>3689</v>
      </c>
      <c r="C190" s="3492">
        <v>13085858885</v>
      </c>
      <c r="D190" s="3492"/>
      <c r="E190" s="3492"/>
      <c r="F190" s="3414" t="s">
        <v>3216</v>
      </c>
      <c r="G190" s="3413" t="s">
        <v>3152</v>
      </c>
      <c r="H190" s="3414" t="s">
        <v>3690</v>
      </c>
      <c r="I190" s="3449">
        <v>0.06</v>
      </c>
      <c r="J190" s="3493">
        <v>42874</v>
      </c>
      <c r="K190" s="3493">
        <v>42932</v>
      </c>
      <c r="L190" s="3494">
        <v>45122</v>
      </c>
      <c r="M190" s="3492">
        <v>12</v>
      </c>
      <c r="N190" s="3414" t="s">
        <v>3170</v>
      </c>
      <c r="O190" s="3413" t="s">
        <v>3652</v>
      </c>
      <c r="P190" s="3414" t="s">
        <v>3691</v>
      </c>
      <c r="Q190" s="3379" t="s">
        <v>3692</v>
      </c>
      <c r="R190" s="3420">
        <v>4</v>
      </c>
      <c r="S190" s="3492">
        <v>881.75</v>
      </c>
      <c r="T190" s="3495">
        <v>881.75</v>
      </c>
      <c r="U190" s="3492">
        <v>16.5</v>
      </c>
      <c r="V190" s="3414" t="s">
        <v>3158</v>
      </c>
      <c r="W190" s="3496" t="s">
        <v>3218</v>
      </c>
      <c r="X190" s="3422">
        <f t="shared" si="39"/>
        <v>14549</v>
      </c>
      <c r="Y190" s="3422">
        <f t="shared" si="40"/>
        <v>0.55000472545128065</v>
      </c>
      <c r="Z190" s="3433">
        <f t="shared" si="50"/>
        <v>0.55000472545128065</v>
      </c>
      <c r="AA190" s="3423">
        <f t="shared" si="41"/>
        <v>63530.63</v>
      </c>
      <c r="AB190" s="3407">
        <f t="shared" si="52"/>
        <v>0.5830050089783575</v>
      </c>
      <c r="AC190" s="3404">
        <f t="shared" si="42"/>
        <v>187633.6</v>
      </c>
      <c r="AD190" s="3446">
        <f t="shared" si="53"/>
        <v>0.61798530951705899</v>
      </c>
      <c r="AE190" s="3404">
        <f t="shared" si="43"/>
        <v>198891.62</v>
      </c>
      <c r="AF190" s="3446">
        <f t="shared" si="54"/>
        <v>0.65506442808808252</v>
      </c>
      <c r="AG190" s="3404">
        <f t="shared" si="44"/>
        <v>210825.12</v>
      </c>
      <c r="AH190" s="3407">
        <f>AF190*(1+$Z$1)</f>
        <v>0.69436829377336751</v>
      </c>
      <c r="AI190" s="3399">
        <f t="shared" si="45"/>
        <v>223474.62</v>
      </c>
      <c r="AJ190" s="3504">
        <f>AH190*(1+$Z$1)</f>
        <v>0.73603039139976956</v>
      </c>
      <c r="AK190" s="3404">
        <f t="shared" si="46"/>
        <v>236883.1</v>
      </c>
      <c r="AL190" s="3504">
        <f>AJ190*(1+$Z$1)</f>
        <v>0.78019221488375579</v>
      </c>
      <c r="AM190" s="3404">
        <f t="shared" si="47"/>
        <v>251096.09</v>
      </c>
      <c r="AN190" s="3501"/>
      <c r="AO190" s="3501"/>
      <c r="AP190" s="3501"/>
      <c r="AQ190" s="3501"/>
      <c r="AR190" s="3501"/>
      <c r="AS190" s="3501"/>
      <c r="AT190" s="3501"/>
      <c r="AU190" s="3501"/>
      <c r="AV190" s="3501"/>
      <c r="AW190" s="3501"/>
      <c r="AX190" s="3501"/>
      <c r="AY190" s="3501"/>
      <c r="AZ190" s="3501"/>
      <c r="BA190" s="3501"/>
      <c r="BB190" s="3501"/>
      <c r="BC190" s="3501"/>
      <c r="BD190" s="3501"/>
      <c r="BE190" s="3501"/>
      <c r="BF190" s="3501"/>
    </row>
    <row r="191" spans="1:58" s="3502" customFormat="1" ht="42.75">
      <c r="A191" s="3414" t="s">
        <v>3688</v>
      </c>
      <c r="B191" s="3492" t="s">
        <v>3689</v>
      </c>
      <c r="C191" s="3492">
        <v>13085858885</v>
      </c>
      <c r="D191" s="3492"/>
      <c r="E191" s="3492"/>
      <c r="F191" s="3414" t="s">
        <v>3216</v>
      </c>
      <c r="G191" s="3413" t="s">
        <v>3152</v>
      </c>
      <c r="H191" s="3414" t="s">
        <v>3690</v>
      </c>
      <c r="I191" s="3449">
        <v>0.06</v>
      </c>
      <c r="J191" s="3493">
        <v>42874</v>
      </c>
      <c r="K191" s="3493">
        <v>42932</v>
      </c>
      <c r="L191" s="3494">
        <v>45122</v>
      </c>
      <c r="M191" s="3492">
        <v>12</v>
      </c>
      <c r="N191" s="3414" t="s">
        <v>3170</v>
      </c>
      <c r="O191" s="3413" t="s">
        <v>3652</v>
      </c>
      <c r="P191" s="3414" t="s">
        <v>3691</v>
      </c>
      <c r="Q191" s="3379" t="s">
        <v>3692</v>
      </c>
      <c r="R191" s="3420">
        <v>4</v>
      </c>
      <c r="S191" s="3492">
        <v>881.75</v>
      </c>
      <c r="T191" s="3495">
        <v>881.75</v>
      </c>
      <c r="U191" s="3492">
        <v>16</v>
      </c>
      <c r="V191" s="3414" t="s">
        <v>3158</v>
      </c>
      <c r="W191" s="3496" t="s">
        <v>3159</v>
      </c>
      <c r="X191" s="3422">
        <f t="shared" si="39"/>
        <v>14108</v>
      </c>
      <c r="Y191" s="3422">
        <f t="shared" si="40"/>
        <v>0.53333333333333333</v>
      </c>
      <c r="Z191" s="3433">
        <f t="shared" si="50"/>
        <v>0.53333333333333333</v>
      </c>
      <c r="AA191" s="3423">
        <f t="shared" si="41"/>
        <v>61604.93</v>
      </c>
      <c r="AB191" s="3407">
        <f t="shared" si="52"/>
        <v>0.56533333333333335</v>
      </c>
      <c r="AC191" s="3404">
        <f t="shared" si="42"/>
        <v>181946.17</v>
      </c>
      <c r="AD191" s="3446">
        <f t="shared" si="53"/>
        <v>0.59925333333333342</v>
      </c>
      <c r="AE191" s="3404">
        <f t="shared" si="43"/>
        <v>192862.94</v>
      </c>
      <c r="AF191" s="3446">
        <f t="shared" si="54"/>
        <v>0.63520853333333349</v>
      </c>
      <c r="AG191" s="3404">
        <f t="shared" si="44"/>
        <v>204434.72</v>
      </c>
      <c r="AH191" s="3407">
        <f>AF191*(1+$Z$1)</f>
        <v>0.67332104533333359</v>
      </c>
      <c r="AI191" s="3399">
        <f t="shared" si="45"/>
        <v>216700.79999999999</v>
      </c>
      <c r="AJ191" s="3504">
        <f>AH191*(1+$Z$1)</f>
        <v>0.71372030805333364</v>
      </c>
      <c r="AK191" s="3404">
        <f t="shared" si="46"/>
        <v>229702.85</v>
      </c>
      <c r="AL191" s="3504">
        <f>AJ191*(1+$Z$1)</f>
        <v>0.75654352653653367</v>
      </c>
      <c r="AM191" s="3404">
        <f t="shared" si="47"/>
        <v>243485.02</v>
      </c>
      <c r="AN191" s="3501"/>
      <c r="AO191" s="3501"/>
      <c r="AP191" s="3501"/>
      <c r="AQ191" s="3501"/>
      <c r="AR191" s="3501"/>
      <c r="AS191" s="3501"/>
      <c r="AT191" s="3501"/>
      <c r="AU191" s="3501"/>
      <c r="AV191" s="3501"/>
      <c r="AW191" s="3501"/>
      <c r="AX191" s="3501"/>
      <c r="AY191" s="3501"/>
      <c r="AZ191" s="3501"/>
      <c r="BA191" s="3501"/>
      <c r="BB191" s="3501"/>
      <c r="BC191" s="3501"/>
      <c r="BD191" s="3501"/>
      <c r="BE191" s="3501"/>
      <c r="BF191" s="3501"/>
    </row>
    <row r="192" spans="1:58" s="3399" customFormat="1" ht="42.75">
      <c r="A192" s="3414" t="s">
        <v>3693</v>
      </c>
      <c r="B192" s="3414" t="s">
        <v>3694</v>
      </c>
      <c r="C192" s="3414" t="s">
        <v>3695</v>
      </c>
      <c r="D192" s="3414" t="s">
        <v>3696</v>
      </c>
      <c r="E192" s="3414"/>
      <c r="F192" s="3414" t="s">
        <v>3216</v>
      </c>
      <c r="G192" s="3413" t="s">
        <v>3152</v>
      </c>
      <c r="H192" s="3414" t="s">
        <v>3697</v>
      </c>
      <c r="I192" s="3449">
        <v>0.06</v>
      </c>
      <c r="J192" s="3450">
        <v>42867</v>
      </c>
      <c r="K192" s="3485">
        <v>42887</v>
      </c>
      <c r="L192" s="3429">
        <v>43982</v>
      </c>
      <c r="M192" s="3430">
        <v>12</v>
      </c>
      <c r="N192" s="3414"/>
      <c r="O192" s="3413" t="s">
        <v>3363</v>
      </c>
      <c r="P192" s="3414" t="s">
        <v>3589</v>
      </c>
      <c r="Q192" s="3414" t="s">
        <v>3698</v>
      </c>
      <c r="R192" s="3420">
        <v>1</v>
      </c>
      <c r="S192" s="3420">
        <v>95.33</v>
      </c>
      <c r="T192" s="3497">
        <v>95.33</v>
      </c>
      <c r="U192" s="3420">
        <v>50</v>
      </c>
      <c r="V192" s="3414" t="s">
        <v>3158</v>
      </c>
      <c r="W192" s="3496" t="s">
        <v>3218</v>
      </c>
      <c r="X192" s="3422">
        <f t="shared" si="39"/>
        <v>4767</v>
      </c>
      <c r="Y192" s="3422">
        <f t="shared" si="40"/>
        <v>1.6668414979544741</v>
      </c>
      <c r="Z192" s="3433">
        <f t="shared" si="50"/>
        <v>1.6668414979544741</v>
      </c>
      <c r="AA192" s="3423">
        <f t="shared" si="41"/>
        <v>20815.900000000001</v>
      </c>
      <c r="AB192" s="3407">
        <f t="shared" si="52"/>
        <v>1.7668519878317426</v>
      </c>
      <c r="AC192" s="3404">
        <f t="shared" si="42"/>
        <v>61478.41</v>
      </c>
      <c r="AD192" s="3446">
        <f t="shared" si="53"/>
        <v>1.8728631071016473</v>
      </c>
      <c r="AE192" s="3404">
        <f t="shared" si="43"/>
        <v>65167.11</v>
      </c>
      <c r="AF192" s="3446">
        <f t="shared" si="54"/>
        <v>1.9852348935277462</v>
      </c>
      <c r="AG192" s="3404">
        <f t="shared" si="44"/>
        <v>69077.14</v>
      </c>
      <c r="AH192" s="3404">
        <v>2.2000000000000002</v>
      </c>
      <c r="AI192" s="3399">
        <f t="shared" si="45"/>
        <v>76549.990000000005</v>
      </c>
      <c r="AJ192" s="3404">
        <f>AH192*(1+$AH$1)</f>
        <v>2.2549999999999999</v>
      </c>
      <c r="AK192" s="3404">
        <f t="shared" si="46"/>
        <v>78463.740000000005</v>
      </c>
      <c r="AL192" s="3404">
        <f>AJ192*(1+$AH$1)</f>
        <v>2.3113749999999995</v>
      </c>
      <c r="AM192" s="3404">
        <f t="shared" si="47"/>
        <v>80425.33</v>
      </c>
      <c r="AN192" s="3404"/>
      <c r="AO192" s="3404"/>
      <c r="AP192" s="3404"/>
      <c r="AQ192" s="3404"/>
      <c r="AR192" s="3404"/>
      <c r="AS192" s="3404"/>
      <c r="AT192" s="3404"/>
      <c r="AU192" s="3404"/>
      <c r="AV192" s="3404"/>
      <c r="AW192" s="3404"/>
      <c r="AX192" s="3404"/>
      <c r="AY192" s="3404"/>
      <c r="AZ192" s="3404"/>
      <c r="BA192" s="3404"/>
      <c r="BB192" s="3404"/>
      <c r="BC192" s="3404"/>
      <c r="BD192" s="3404"/>
      <c r="BE192" s="3404"/>
      <c r="BF192" s="3404"/>
    </row>
    <row r="193" spans="1:58" s="3399" customFormat="1" ht="42.75">
      <c r="A193" s="3414" t="s">
        <v>3693</v>
      </c>
      <c r="B193" s="3414" t="s">
        <v>3694</v>
      </c>
      <c r="C193" s="3414" t="s">
        <v>3695</v>
      </c>
      <c r="D193" s="3414" t="s">
        <v>3696</v>
      </c>
      <c r="E193" s="3414"/>
      <c r="F193" s="3414" t="s">
        <v>3216</v>
      </c>
      <c r="G193" s="3413" t="s">
        <v>3152</v>
      </c>
      <c r="H193" s="3414" t="s">
        <v>3697</v>
      </c>
      <c r="I193" s="3449">
        <v>0.06</v>
      </c>
      <c r="J193" s="3450">
        <v>42867</v>
      </c>
      <c r="K193" s="3485">
        <v>42887</v>
      </c>
      <c r="L193" s="3429">
        <v>43982</v>
      </c>
      <c r="M193" s="3430">
        <v>12</v>
      </c>
      <c r="N193" s="3414"/>
      <c r="O193" s="3413" t="s">
        <v>3363</v>
      </c>
      <c r="P193" s="3414" t="s">
        <v>3589</v>
      </c>
      <c r="Q193" s="3414" t="s">
        <v>3698</v>
      </c>
      <c r="R193" s="3420">
        <v>1</v>
      </c>
      <c r="S193" s="3420">
        <v>95.33</v>
      </c>
      <c r="T193" s="3497">
        <v>95.33</v>
      </c>
      <c r="U193" s="3420">
        <v>50</v>
      </c>
      <c r="V193" s="3414" t="s">
        <v>3158</v>
      </c>
      <c r="W193" s="3496" t="s">
        <v>3159</v>
      </c>
      <c r="X193" s="3422">
        <f t="shared" si="39"/>
        <v>4767</v>
      </c>
      <c r="Y193" s="3422">
        <f t="shared" si="40"/>
        <v>1.6668414979544741</v>
      </c>
      <c r="Z193" s="3433">
        <f t="shared" si="50"/>
        <v>1.6668414979544741</v>
      </c>
      <c r="AA193" s="3423">
        <f t="shared" si="41"/>
        <v>20815.900000000001</v>
      </c>
      <c r="AB193" s="3407">
        <f t="shared" si="52"/>
        <v>1.7668519878317426</v>
      </c>
      <c r="AC193" s="3404">
        <f t="shared" si="42"/>
        <v>61478.41</v>
      </c>
      <c r="AD193" s="3446">
        <f t="shared" si="53"/>
        <v>1.8728631071016473</v>
      </c>
      <c r="AE193" s="3404">
        <f t="shared" si="43"/>
        <v>65167.11</v>
      </c>
      <c r="AF193" s="3446">
        <f t="shared" si="54"/>
        <v>1.9852348935277462</v>
      </c>
      <c r="AG193" s="3404">
        <f t="shared" si="44"/>
        <v>69077.14</v>
      </c>
      <c r="AH193" s="3404">
        <v>2.2000000000000002</v>
      </c>
      <c r="AI193" s="3399">
        <f t="shared" si="45"/>
        <v>76549.990000000005</v>
      </c>
      <c r="AJ193" s="3404">
        <f t="shared" ref="AJ193:AJ201" si="55">AH193*(1+$AH$1)</f>
        <v>2.2549999999999999</v>
      </c>
      <c r="AK193" s="3404">
        <f t="shared" si="46"/>
        <v>78463.740000000005</v>
      </c>
      <c r="AL193" s="3404">
        <f t="shared" ref="AL193:AL201" si="56">AJ193*(1+$AH$1)</f>
        <v>2.3113749999999995</v>
      </c>
      <c r="AM193" s="3404">
        <f t="shared" si="47"/>
        <v>80425.33</v>
      </c>
      <c r="AN193" s="3404"/>
      <c r="AO193" s="3404"/>
      <c r="AP193" s="3404"/>
      <c r="AQ193" s="3404"/>
      <c r="AR193" s="3404"/>
      <c r="AS193" s="3404"/>
      <c r="AT193" s="3404"/>
      <c r="AU193" s="3404"/>
      <c r="AV193" s="3404"/>
      <c r="AW193" s="3404"/>
      <c r="AX193" s="3404"/>
      <c r="AY193" s="3404"/>
      <c r="AZ193" s="3404"/>
      <c r="BA193" s="3404"/>
      <c r="BB193" s="3404"/>
      <c r="BC193" s="3404"/>
      <c r="BD193" s="3404"/>
      <c r="BE193" s="3404"/>
      <c r="BF193" s="3404"/>
    </row>
    <row r="194" spans="1:58" s="3400" customFormat="1" ht="57">
      <c r="A194" s="3414" t="s">
        <v>3699</v>
      </c>
      <c r="B194" s="3414" t="s">
        <v>3700</v>
      </c>
      <c r="C194" s="3414" t="s">
        <v>3701</v>
      </c>
      <c r="D194" s="3414" t="s">
        <v>3702</v>
      </c>
      <c r="E194" s="3414" t="s">
        <v>3650</v>
      </c>
      <c r="F194" s="3414" t="s">
        <v>3151</v>
      </c>
      <c r="G194" s="3413" t="s">
        <v>3152</v>
      </c>
      <c r="H194" s="3414" t="s">
        <v>3669</v>
      </c>
      <c r="I194" s="3449">
        <v>0.06</v>
      </c>
      <c r="J194" s="3450">
        <v>42892</v>
      </c>
      <c r="K194" s="3485">
        <v>42917</v>
      </c>
      <c r="L194" s="3429">
        <v>44012</v>
      </c>
      <c r="M194" s="3430">
        <v>3</v>
      </c>
      <c r="N194" s="3414"/>
      <c r="O194" s="3413" t="s">
        <v>3155</v>
      </c>
      <c r="P194" s="3414" t="s">
        <v>3703</v>
      </c>
      <c r="Q194" s="3414" t="s">
        <v>3704</v>
      </c>
      <c r="R194" s="3420">
        <v>2</v>
      </c>
      <c r="S194" s="3420">
        <v>112.98</v>
      </c>
      <c r="T194" s="3497">
        <v>112.98</v>
      </c>
      <c r="U194" s="3420">
        <v>160</v>
      </c>
      <c r="V194" s="3414" t="s">
        <v>3158</v>
      </c>
      <c r="W194" s="3496" t="s">
        <v>3218</v>
      </c>
      <c r="X194" s="3422">
        <f t="shared" si="39"/>
        <v>18077</v>
      </c>
      <c r="Y194" s="3422">
        <f t="shared" si="40"/>
        <v>5.3333923408272854</v>
      </c>
      <c r="Z194" s="3433">
        <f t="shared" si="50"/>
        <v>5.3333923408272854</v>
      </c>
      <c r="AA194" s="3423">
        <f t="shared" si="41"/>
        <v>78936.23</v>
      </c>
      <c r="AB194" s="3407">
        <f t="shared" si="52"/>
        <v>5.6533958812769232</v>
      </c>
      <c r="AC194" s="3404">
        <f t="shared" si="42"/>
        <v>233133.04</v>
      </c>
      <c r="AD194" s="3446">
        <f t="shared" si="53"/>
        <v>5.9925996341535388</v>
      </c>
      <c r="AE194" s="3404">
        <f t="shared" si="43"/>
        <v>247121.03</v>
      </c>
      <c r="AF194" s="3446">
        <f t="shared" si="54"/>
        <v>6.3521556122027514</v>
      </c>
      <c r="AG194" s="3404">
        <f t="shared" si="44"/>
        <v>261948.29</v>
      </c>
      <c r="AH194" s="3501">
        <v>2.2000000000000002</v>
      </c>
      <c r="AI194" s="3399">
        <f t="shared" si="45"/>
        <v>90722.94</v>
      </c>
      <c r="AJ194" s="3404">
        <f t="shared" si="55"/>
        <v>2.2549999999999999</v>
      </c>
      <c r="AK194" s="3404">
        <f t="shared" si="46"/>
        <v>92991.01</v>
      </c>
      <c r="AL194" s="3404">
        <f t="shared" si="56"/>
        <v>2.3113749999999995</v>
      </c>
      <c r="AM194" s="3404">
        <f t="shared" si="47"/>
        <v>95315.79</v>
      </c>
      <c r="AN194" s="3404"/>
      <c r="AO194" s="3404"/>
      <c r="AP194" s="3404"/>
      <c r="AQ194" s="3404"/>
      <c r="AR194" s="3404"/>
      <c r="AS194" s="3404"/>
      <c r="AT194" s="3404"/>
      <c r="AU194" s="3404"/>
      <c r="AV194" s="3404"/>
      <c r="AW194" s="3404"/>
      <c r="AX194" s="3404"/>
      <c r="AY194" s="3404"/>
      <c r="AZ194" s="3404"/>
      <c r="BA194" s="3404"/>
      <c r="BB194" s="3404"/>
      <c r="BC194" s="3404"/>
      <c r="BD194" s="3404"/>
      <c r="BE194" s="3404"/>
      <c r="BF194" s="3404"/>
    </row>
    <row r="195" spans="1:58" s="3400" customFormat="1" ht="57">
      <c r="A195" s="3414" t="s">
        <v>3699</v>
      </c>
      <c r="B195" s="3414" t="s">
        <v>3700</v>
      </c>
      <c r="C195" s="3414" t="s">
        <v>3701</v>
      </c>
      <c r="D195" s="3414" t="s">
        <v>3702</v>
      </c>
      <c r="E195" s="3414" t="s">
        <v>3650</v>
      </c>
      <c r="F195" s="3414" t="s">
        <v>3151</v>
      </c>
      <c r="G195" s="3413" t="s">
        <v>3152</v>
      </c>
      <c r="H195" s="3414" t="s">
        <v>3669</v>
      </c>
      <c r="I195" s="3449">
        <v>0.06</v>
      </c>
      <c r="J195" s="3450">
        <v>42892</v>
      </c>
      <c r="K195" s="3485">
        <v>42917</v>
      </c>
      <c r="L195" s="3429">
        <v>44012</v>
      </c>
      <c r="M195" s="3430">
        <v>3</v>
      </c>
      <c r="N195" s="3414"/>
      <c r="O195" s="3413" t="s">
        <v>3155</v>
      </c>
      <c r="P195" s="3414" t="s">
        <v>3703</v>
      </c>
      <c r="Q195" s="3414" t="s">
        <v>3704</v>
      </c>
      <c r="R195" s="3420">
        <v>2</v>
      </c>
      <c r="S195" s="3420">
        <v>112.98</v>
      </c>
      <c r="T195" s="3497">
        <v>112.98</v>
      </c>
      <c r="U195" s="3420">
        <v>160</v>
      </c>
      <c r="V195" s="3414" t="s">
        <v>3158</v>
      </c>
      <c r="W195" s="3496" t="s">
        <v>3159</v>
      </c>
      <c r="X195" s="3422">
        <f t="shared" si="39"/>
        <v>18077</v>
      </c>
      <c r="Y195" s="3422">
        <f t="shared" si="40"/>
        <v>5.3333923408272854</v>
      </c>
      <c r="Z195" s="3433">
        <f t="shared" si="50"/>
        <v>5.3333923408272854</v>
      </c>
      <c r="AA195" s="3423">
        <f t="shared" si="41"/>
        <v>78936.23</v>
      </c>
      <c r="AB195" s="3407">
        <f t="shared" si="52"/>
        <v>5.6533958812769232</v>
      </c>
      <c r="AC195" s="3404">
        <f t="shared" si="42"/>
        <v>233133.04</v>
      </c>
      <c r="AD195" s="3446">
        <f t="shared" si="53"/>
        <v>5.9925996341535388</v>
      </c>
      <c r="AE195" s="3404">
        <f t="shared" si="43"/>
        <v>247121.03</v>
      </c>
      <c r="AF195" s="3446">
        <f t="shared" si="54"/>
        <v>6.3521556122027514</v>
      </c>
      <c r="AG195" s="3404">
        <f t="shared" si="44"/>
        <v>261948.29</v>
      </c>
      <c r="AH195" s="3501">
        <v>2.2000000000000002</v>
      </c>
      <c r="AI195" s="3399">
        <f t="shared" si="45"/>
        <v>90722.94</v>
      </c>
      <c r="AJ195" s="3404">
        <f t="shared" si="55"/>
        <v>2.2549999999999999</v>
      </c>
      <c r="AK195" s="3404">
        <f t="shared" si="46"/>
        <v>92991.01</v>
      </c>
      <c r="AL195" s="3404">
        <f t="shared" si="56"/>
        <v>2.3113749999999995</v>
      </c>
      <c r="AM195" s="3404">
        <f t="shared" si="47"/>
        <v>95315.79</v>
      </c>
      <c r="AN195" s="3404"/>
      <c r="AO195" s="3404"/>
      <c r="AP195" s="3404"/>
      <c r="AQ195" s="3404"/>
      <c r="AR195" s="3404"/>
      <c r="AS195" s="3404"/>
      <c r="AT195" s="3404"/>
      <c r="AU195" s="3404"/>
      <c r="AV195" s="3404"/>
      <c r="AW195" s="3404"/>
      <c r="AX195" s="3404"/>
      <c r="AY195" s="3404"/>
      <c r="AZ195" s="3404"/>
      <c r="BA195" s="3404"/>
      <c r="BB195" s="3404"/>
      <c r="BC195" s="3404"/>
      <c r="BD195" s="3404"/>
      <c r="BE195" s="3404"/>
      <c r="BF195" s="3404"/>
    </row>
    <row r="196" spans="1:58" s="3400" customFormat="1" ht="42.75">
      <c r="A196" s="3414" t="s">
        <v>3705</v>
      </c>
      <c r="B196" s="3414" t="s">
        <v>3706</v>
      </c>
      <c r="C196" s="3414" t="s">
        <v>3707</v>
      </c>
      <c r="D196" s="3414" t="s">
        <v>3708</v>
      </c>
      <c r="E196" s="3414" t="s">
        <v>3200</v>
      </c>
      <c r="F196" s="3414" t="s">
        <v>3216</v>
      </c>
      <c r="G196" s="3413" t="s">
        <v>3152</v>
      </c>
      <c r="H196" s="3414" t="s">
        <v>3709</v>
      </c>
      <c r="I196" s="3449">
        <v>0.06</v>
      </c>
      <c r="J196" s="3450">
        <v>42886</v>
      </c>
      <c r="K196" s="3485">
        <v>42902</v>
      </c>
      <c r="L196" s="3429">
        <v>43997</v>
      </c>
      <c r="M196" s="3430">
        <v>10</v>
      </c>
      <c r="N196" s="3414"/>
      <c r="O196" s="3413" t="s">
        <v>3363</v>
      </c>
      <c r="P196" s="3414" t="s">
        <v>3364</v>
      </c>
      <c r="Q196" s="3489" t="s">
        <v>3710</v>
      </c>
      <c r="R196" s="3420">
        <v>1</v>
      </c>
      <c r="S196" s="3420">
        <v>76.599999999999994</v>
      </c>
      <c r="T196" s="3490">
        <v>76.599999999999994</v>
      </c>
      <c r="U196" s="3420">
        <v>45</v>
      </c>
      <c r="V196" s="3414" t="s">
        <v>3158</v>
      </c>
      <c r="W196" s="3496" t="s">
        <v>3218</v>
      </c>
      <c r="X196" s="3422">
        <f t="shared" si="39"/>
        <v>3447</v>
      </c>
      <c r="Y196" s="3422">
        <f t="shared" si="40"/>
        <v>1.5</v>
      </c>
      <c r="Z196" s="3433">
        <f t="shared" si="50"/>
        <v>1.5</v>
      </c>
      <c r="AA196" s="3423">
        <f t="shared" si="41"/>
        <v>15051.9</v>
      </c>
      <c r="AB196" s="3407">
        <f t="shared" si="52"/>
        <v>1.59</v>
      </c>
      <c r="AC196" s="3404">
        <f t="shared" si="42"/>
        <v>44454.81</v>
      </c>
      <c r="AD196" s="3446">
        <f t="shared" si="53"/>
        <v>1.6854000000000002</v>
      </c>
      <c r="AE196" s="3404">
        <f t="shared" si="43"/>
        <v>47122.1</v>
      </c>
      <c r="AF196" s="3446">
        <f t="shared" si="54"/>
        <v>1.7865240000000004</v>
      </c>
      <c r="AG196" s="3404">
        <f t="shared" si="44"/>
        <v>49949.42</v>
      </c>
      <c r="AH196" s="3501">
        <v>2.2000000000000002</v>
      </c>
      <c r="AI196" s="3399">
        <f t="shared" si="45"/>
        <v>61509.8</v>
      </c>
      <c r="AJ196" s="3404">
        <f t="shared" si="55"/>
        <v>2.2549999999999999</v>
      </c>
      <c r="AK196" s="3404">
        <f t="shared" si="46"/>
        <v>63047.55</v>
      </c>
      <c r="AL196" s="3404">
        <f t="shared" si="56"/>
        <v>2.3113749999999995</v>
      </c>
      <c r="AM196" s="3404">
        <f t="shared" si="47"/>
        <v>64623.73</v>
      </c>
      <c r="AN196" s="3404"/>
      <c r="AO196" s="3404"/>
      <c r="AP196" s="3404"/>
      <c r="AQ196" s="3404"/>
      <c r="AR196" s="3404"/>
      <c r="AS196" s="3404"/>
      <c r="AT196" s="3404"/>
      <c r="AU196" s="3404"/>
      <c r="AV196" s="3404"/>
      <c r="AW196" s="3404"/>
      <c r="AX196" s="3404"/>
      <c r="AY196" s="3404"/>
      <c r="AZ196" s="3404"/>
      <c r="BA196" s="3404"/>
      <c r="BB196" s="3404"/>
      <c r="BC196" s="3404"/>
      <c r="BD196" s="3404"/>
      <c r="BE196" s="3404"/>
      <c r="BF196" s="3404"/>
    </row>
    <row r="197" spans="1:58" s="3400" customFormat="1" ht="42.75">
      <c r="A197" s="3414" t="s">
        <v>3705</v>
      </c>
      <c r="B197" s="3414" t="s">
        <v>3706</v>
      </c>
      <c r="C197" s="3414" t="s">
        <v>3707</v>
      </c>
      <c r="D197" s="3414" t="s">
        <v>3708</v>
      </c>
      <c r="E197" s="3414" t="s">
        <v>3200</v>
      </c>
      <c r="F197" s="3414" t="s">
        <v>3216</v>
      </c>
      <c r="G197" s="3413" t="s">
        <v>3152</v>
      </c>
      <c r="H197" s="3414" t="s">
        <v>3709</v>
      </c>
      <c r="I197" s="3449">
        <v>0.06</v>
      </c>
      <c r="J197" s="3450">
        <v>42886</v>
      </c>
      <c r="K197" s="3485">
        <v>42902</v>
      </c>
      <c r="L197" s="3429">
        <v>43997</v>
      </c>
      <c r="M197" s="3430">
        <v>10</v>
      </c>
      <c r="N197" s="3414"/>
      <c r="O197" s="3413" t="s">
        <v>3363</v>
      </c>
      <c r="P197" s="3414" t="s">
        <v>3364</v>
      </c>
      <c r="Q197" s="3489" t="s">
        <v>3710</v>
      </c>
      <c r="R197" s="3420">
        <v>1</v>
      </c>
      <c r="S197" s="3420">
        <v>76.599999999999994</v>
      </c>
      <c r="T197" s="3490">
        <v>76.599999999999994</v>
      </c>
      <c r="U197" s="3420">
        <v>45</v>
      </c>
      <c r="V197" s="3414" t="s">
        <v>3158</v>
      </c>
      <c r="W197" s="3496" t="s">
        <v>3159</v>
      </c>
      <c r="X197" s="3422">
        <f t="shared" si="39"/>
        <v>3447</v>
      </c>
      <c r="Y197" s="3422">
        <f t="shared" si="40"/>
        <v>1.5</v>
      </c>
      <c r="Z197" s="3433">
        <f t="shared" si="50"/>
        <v>1.5</v>
      </c>
      <c r="AA197" s="3423">
        <f t="shared" si="41"/>
        <v>15051.9</v>
      </c>
      <c r="AB197" s="3407">
        <f t="shared" si="52"/>
        <v>1.59</v>
      </c>
      <c r="AC197" s="3404">
        <f t="shared" si="42"/>
        <v>44454.81</v>
      </c>
      <c r="AD197" s="3446">
        <f t="shared" si="53"/>
        <v>1.6854000000000002</v>
      </c>
      <c r="AE197" s="3404">
        <f t="shared" si="43"/>
        <v>47122.1</v>
      </c>
      <c r="AF197" s="3446">
        <f t="shared" si="54"/>
        <v>1.7865240000000004</v>
      </c>
      <c r="AG197" s="3404">
        <f t="shared" si="44"/>
        <v>49949.42</v>
      </c>
      <c r="AH197" s="3501">
        <v>2.2000000000000002</v>
      </c>
      <c r="AI197" s="3399">
        <f t="shared" si="45"/>
        <v>61509.8</v>
      </c>
      <c r="AJ197" s="3404">
        <f t="shared" si="55"/>
        <v>2.2549999999999999</v>
      </c>
      <c r="AK197" s="3404">
        <f t="shared" si="46"/>
        <v>63047.55</v>
      </c>
      <c r="AL197" s="3404">
        <f t="shared" si="56"/>
        <v>2.3113749999999995</v>
      </c>
      <c r="AM197" s="3404">
        <f t="shared" si="47"/>
        <v>64623.73</v>
      </c>
      <c r="AN197" s="3404"/>
      <c r="AO197" s="3404"/>
      <c r="AP197" s="3404"/>
      <c r="AQ197" s="3404"/>
      <c r="AR197" s="3404"/>
      <c r="AS197" s="3404"/>
      <c r="AT197" s="3404"/>
      <c r="AU197" s="3404"/>
      <c r="AV197" s="3404"/>
      <c r="AW197" s="3404"/>
      <c r="AX197" s="3404"/>
      <c r="AY197" s="3404"/>
      <c r="AZ197" s="3404"/>
      <c r="BA197" s="3404"/>
      <c r="BB197" s="3404"/>
      <c r="BC197" s="3404"/>
      <c r="BD197" s="3404"/>
      <c r="BE197" s="3404"/>
      <c r="BF197" s="3404"/>
    </row>
    <row r="198" spans="1:58" s="3400" customFormat="1" ht="42.75">
      <c r="A198" s="3414" t="s">
        <v>3711</v>
      </c>
      <c r="B198" s="3414" t="s">
        <v>3712</v>
      </c>
      <c r="C198" s="3414" t="s">
        <v>3713</v>
      </c>
      <c r="D198" s="3414"/>
      <c r="E198" s="3414" t="s">
        <v>3200</v>
      </c>
      <c r="F198" s="3414" t="s">
        <v>3216</v>
      </c>
      <c r="G198" s="3413" t="s">
        <v>3152</v>
      </c>
      <c r="H198" s="3414" t="s">
        <v>3686</v>
      </c>
      <c r="I198" s="3449">
        <v>0.06</v>
      </c>
      <c r="J198" s="3450">
        <v>42919</v>
      </c>
      <c r="K198" s="3485">
        <v>42948</v>
      </c>
      <c r="L198" s="3429">
        <v>44043</v>
      </c>
      <c r="M198" s="3430">
        <v>12</v>
      </c>
      <c r="N198" s="3414"/>
      <c r="O198" s="3413" t="s">
        <v>3363</v>
      </c>
      <c r="P198" s="3414" t="s">
        <v>3589</v>
      </c>
      <c r="Q198" s="3489" t="s">
        <v>3714</v>
      </c>
      <c r="R198" s="3420">
        <v>1</v>
      </c>
      <c r="S198" s="3420">
        <v>111.83</v>
      </c>
      <c r="T198" s="3490">
        <v>111.83</v>
      </c>
      <c r="U198" s="3420">
        <v>50</v>
      </c>
      <c r="V198" s="3414" t="s">
        <v>3158</v>
      </c>
      <c r="W198" s="3496" t="s">
        <v>3218</v>
      </c>
      <c r="X198" s="3422">
        <f t="shared" ref="X198:X244" si="57">ROUND(T198*U198,0)</f>
        <v>5592</v>
      </c>
      <c r="Y198" s="3422">
        <f t="shared" ref="Y198:Y244" si="58">X198/T198/30</f>
        <v>1.6668157024054369</v>
      </c>
      <c r="Z198" s="3433">
        <f t="shared" si="50"/>
        <v>1.6668157024054369</v>
      </c>
      <c r="AA198" s="3423">
        <f t="shared" ref="AA198:AA244" si="59">ROUND(Z198*T198*$AA$1,2)</f>
        <v>24418.400000000001</v>
      </c>
      <c r="AB198" s="3407">
        <f t="shared" si="52"/>
        <v>1.7668246445497631</v>
      </c>
      <c r="AC198" s="3404">
        <f t="shared" ref="AC198:AC244" si="60">ROUND(AB198*T198*$AC$1,2)</f>
        <v>72118.16</v>
      </c>
      <c r="AD198" s="3446">
        <f t="shared" si="53"/>
        <v>1.872834123222749</v>
      </c>
      <c r="AE198" s="3404">
        <f t="shared" ref="AE198:AE244" si="61">ROUND(AD198*T198*$AE$1,2)</f>
        <v>76445.25</v>
      </c>
      <c r="AF198" s="3446">
        <f t="shared" si="54"/>
        <v>1.9852041706161141</v>
      </c>
      <c r="AG198" s="3404">
        <f t="shared" ref="AG198:AG244" si="62">ROUND(AF198*T198*$AG$1,2)</f>
        <v>81031.960000000006</v>
      </c>
      <c r="AH198" s="3501">
        <v>2.2000000000000002</v>
      </c>
      <c r="AI198" s="3399">
        <f t="shared" si="45"/>
        <v>89799.49</v>
      </c>
      <c r="AJ198" s="3404">
        <f t="shared" si="55"/>
        <v>2.2549999999999999</v>
      </c>
      <c r="AK198" s="3404">
        <f t="shared" si="46"/>
        <v>92044.479999999996</v>
      </c>
      <c r="AL198" s="3404">
        <f t="shared" si="56"/>
        <v>2.3113749999999995</v>
      </c>
      <c r="AM198" s="3404">
        <f t="shared" si="47"/>
        <v>94345.59</v>
      </c>
      <c r="AN198" s="3404"/>
      <c r="AO198" s="3404"/>
      <c r="AP198" s="3404"/>
      <c r="AQ198" s="3404"/>
      <c r="AR198" s="3404"/>
      <c r="AS198" s="3404"/>
      <c r="AT198" s="3404"/>
      <c r="AU198" s="3404"/>
      <c r="AV198" s="3404"/>
      <c r="AW198" s="3404"/>
      <c r="AX198" s="3404"/>
      <c r="AY198" s="3404"/>
      <c r="AZ198" s="3404"/>
      <c r="BA198" s="3404"/>
      <c r="BB198" s="3404"/>
      <c r="BC198" s="3404"/>
      <c r="BD198" s="3404"/>
      <c r="BE198" s="3404"/>
      <c r="BF198" s="3404"/>
    </row>
    <row r="199" spans="1:58" s="3400" customFormat="1" ht="42.75">
      <c r="A199" s="3414" t="s">
        <v>3711</v>
      </c>
      <c r="B199" s="3414" t="s">
        <v>3712</v>
      </c>
      <c r="C199" s="3414" t="s">
        <v>3713</v>
      </c>
      <c r="D199" s="3414"/>
      <c r="E199" s="3414" t="s">
        <v>3200</v>
      </c>
      <c r="F199" s="3414" t="s">
        <v>3216</v>
      </c>
      <c r="G199" s="3413" t="s">
        <v>3152</v>
      </c>
      <c r="H199" s="3414" t="s">
        <v>3686</v>
      </c>
      <c r="I199" s="3449">
        <v>0.06</v>
      </c>
      <c r="J199" s="3450">
        <v>42919</v>
      </c>
      <c r="K199" s="3485">
        <v>42948</v>
      </c>
      <c r="L199" s="3429">
        <v>44043</v>
      </c>
      <c r="M199" s="3430">
        <v>12</v>
      </c>
      <c r="N199" s="3414"/>
      <c r="O199" s="3413" t="s">
        <v>3363</v>
      </c>
      <c r="P199" s="3414" t="s">
        <v>3589</v>
      </c>
      <c r="Q199" s="3489" t="s">
        <v>3714</v>
      </c>
      <c r="R199" s="3420">
        <v>1</v>
      </c>
      <c r="S199" s="3420">
        <v>111.83</v>
      </c>
      <c r="T199" s="3490">
        <v>111.83</v>
      </c>
      <c r="U199" s="3420">
        <v>50</v>
      </c>
      <c r="V199" s="3414" t="s">
        <v>3158</v>
      </c>
      <c r="W199" s="3496" t="s">
        <v>3159</v>
      </c>
      <c r="X199" s="3422">
        <f t="shared" si="57"/>
        <v>5592</v>
      </c>
      <c r="Y199" s="3422">
        <f t="shared" si="58"/>
        <v>1.6668157024054369</v>
      </c>
      <c r="Z199" s="3433">
        <f t="shared" si="50"/>
        <v>1.6668157024054369</v>
      </c>
      <c r="AA199" s="3423">
        <f t="shared" si="59"/>
        <v>24418.400000000001</v>
      </c>
      <c r="AB199" s="3407">
        <f t="shared" si="52"/>
        <v>1.7668246445497631</v>
      </c>
      <c r="AC199" s="3404">
        <f t="shared" si="60"/>
        <v>72118.16</v>
      </c>
      <c r="AD199" s="3446">
        <f t="shared" si="53"/>
        <v>1.872834123222749</v>
      </c>
      <c r="AE199" s="3404">
        <f t="shared" si="61"/>
        <v>76445.25</v>
      </c>
      <c r="AF199" s="3446">
        <f t="shared" si="54"/>
        <v>1.9852041706161141</v>
      </c>
      <c r="AG199" s="3404">
        <f t="shared" si="62"/>
        <v>81031.960000000006</v>
      </c>
      <c r="AH199" s="3501">
        <v>2.2000000000000002</v>
      </c>
      <c r="AI199" s="3399">
        <f t="shared" ref="AI199:AI244" si="63">ROUND(AH199*T199*$AI$1,2)</f>
        <v>89799.49</v>
      </c>
      <c r="AJ199" s="3404">
        <f t="shared" si="55"/>
        <v>2.2549999999999999</v>
      </c>
      <c r="AK199" s="3404">
        <f t="shared" ref="AK199:AK244" si="64">ROUND(AJ199*T199*$AK$1,2)</f>
        <v>92044.479999999996</v>
      </c>
      <c r="AL199" s="3404">
        <f t="shared" si="56"/>
        <v>2.3113749999999995</v>
      </c>
      <c r="AM199" s="3404">
        <f t="shared" ref="AM199:AM244" si="65">ROUND(AL199*T199*$AK$1,2)</f>
        <v>94345.59</v>
      </c>
      <c r="AN199" s="3404"/>
      <c r="AO199" s="3404"/>
      <c r="AP199" s="3404"/>
      <c r="AQ199" s="3404"/>
      <c r="AR199" s="3404"/>
      <c r="AS199" s="3404"/>
      <c r="AT199" s="3404"/>
      <c r="AU199" s="3404"/>
      <c r="AV199" s="3404"/>
      <c r="AW199" s="3404"/>
      <c r="AX199" s="3404"/>
      <c r="AY199" s="3404"/>
      <c r="AZ199" s="3404"/>
      <c r="BA199" s="3404"/>
      <c r="BB199" s="3404"/>
      <c r="BC199" s="3404"/>
      <c r="BD199" s="3404"/>
      <c r="BE199" s="3404"/>
      <c r="BF199" s="3404"/>
    </row>
    <row r="200" spans="1:58" s="3399" customFormat="1" ht="42.75">
      <c r="A200" s="3414" t="s">
        <v>3715</v>
      </c>
      <c r="B200" s="3414" t="s">
        <v>3716</v>
      </c>
      <c r="C200" s="3414" t="s">
        <v>3717</v>
      </c>
      <c r="D200" s="3414"/>
      <c r="E200" s="3414"/>
      <c r="F200" s="3414" t="s">
        <v>3216</v>
      </c>
      <c r="G200" s="3413" t="s">
        <v>3152</v>
      </c>
      <c r="H200" s="3414" t="s">
        <v>3690</v>
      </c>
      <c r="I200" s="3449">
        <v>0.06</v>
      </c>
      <c r="J200" s="3450">
        <v>42928</v>
      </c>
      <c r="K200" s="3485">
        <v>42932</v>
      </c>
      <c r="L200" s="3429">
        <v>44027</v>
      </c>
      <c r="M200" s="3430">
        <v>12</v>
      </c>
      <c r="N200" s="3414"/>
      <c r="O200" s="3413" t="s">
        <v>3652</v>
      </c>
      <c r="P200" s="3414" t="s">
        <v>3675</v>
      </c>
      <c r="Q200" s="3489" t="s">
        <v>3718</v>
      </c>
      <c r="R200" s="3420">
        <v>1</v>
      </c>
      <c r="S200" s="3420">
        <v>101.67</v>
      </c>
      <c r="T200" s="3490">
        <v>101.67</v>
      </c>
      <c r="U200" s="3420">
        <v>40</v>
      </c>
      <c r="V200" s="3414" t="s">
        <v>3158</v>
      </c>
      <c r="W200" s="3496" t="s">
        <v>3218</v>
      </c>
      <c r="X200" s="3422">
        <f t="shared" si="57"/>
        <v>4067</v>
      </c>
      <c r="Y200" s="3422">
        <f t="shared" si="58"/>
        <v>1.3333989049539359</v>
      </c>
      <c r="Z200" s="3433">
        <f t="shared" si="50"/>
        <v>1.3333989049539359</v>
      </c>
      <c r="AA200" s="3423">
        <f t="shared" si="59"/>
        <v>17759.23</v>
      </c>
      <c r="AB200" s="3407">
        <f t="shared" si="52"/>
        <v>1.4134028392511722</v>
      </c>
      <c r="AC200" s="3404">
        <f t="shared" si="60"/>
        <v>52450.74</v>
      </c>
      <c r="AD200" s="3446">
        <f t="shared" si="53"/>
        <v>1.4982070096062425</v>
      </c>
      <c r="AE200" s="3404">
        <f t="shared" si="61"/>
        <v>55597.79</v>
      </c>
      <c r="AF200" s="3446">
        <f t="shared" si="54"/>
        <v>1.5880994301826172</v>
      </c>
      <c r="AG200" s="3404">
        <f t="shared" si="62"/>
        <v>58933.66</v>
      </c>
      <c r="AH200" s="3501">
        <v>2.2000000000000002</v>
      </c>
      <c r="AI200" s="3399">
        <f t="shared" si="63"/>
        <v>81641.009999999995</v>
      </c>
      <c r="AJ200" s="3404">
        <f t="shared" si="55"/>
        <v>2.2549999999999999</v>
      </c>
      <c r="AK200" s="3404">
        <f t="shared" si="64"/>
        <v>83682.039999999994</v>
      </c>
      <c r="AL200" s="3404">
        <f t="shared" si="56"/>
        <v>2.3113749999999995</v>
      </c>
      <c r="AM200" s="3404">
        <f t="shared" si="65"/>
        <v>85774.09</v>
      </c>
      <c r="AN200" s="3404"/>
      <c r="AO200" s="3404"/>
      <c r="AP200" s="3404"/>
      <c r="AQ200" s="3404"/>
      <c r="AR200" s="3404"/>
      <c r="AS200" s="3404"/>
      <c r="AT200" s="3404"/>
      <c r="AU200" s="3404"/>
      <c r="AV200" s="3404"/>
      <c r="AW200" s="3404"/>
      <c r="AX200" s="3404"/>
      <c r="AY200" s="3404"/>
      <c r="AZ200" s="3404"/>
      <c r="BA200" s="3404"/>
      <c r="BB200" s="3404"/>
      <c r="BC200" s="3404"/>
      <c r="BD200" s="3404"/>
      <c r="BE200" s="3404"/>
      <c r="BF200" s="3404"/>
    </row>
    <row r="201" spans="1:58" s="3399" customFormat="1" ht="42.75">
      <c r="A201" s="3414" t="s">
        <v>3715</v>
      </c>
      <c r="B201" s="3414" t="s">
        <v>3716</v>
      </c>
      <c r="C201" s="3414" t="s">
        <v>3717</v>
      </c>
      <c r="D201" s="3414"/>
      <c r="E201" s="3414"/>
      <c r="F201" s="3414" t="s">
        <v>3216</v>
      </c>
      <c r="G201" s="3413" t="s">
        <v>3152</v>
      </c>
      <c r="H201" s="3414" t="s">
        <v>3690</v>
      </c>
      <c r="I201" s="3449">
        <v>0.06</v>
      </c>
      <c r="J201" s="3450">
        <v>42928</v>
      </c>
      <c r="K201" s="3485">
        <v>42932</v>
      </c>
      <c r="L201" s="3429">
        <v>44027</v>
      </c>
      <c r="M201" s="3430">
        <v>12</v>
      </c>
      <c r="N201" s="3414"/>
      <c r="O201" s="3413" t="s">
        <v>3652</v>
      </c>
      <c r="P201" s="3414" t="s">
        <v>3675</v>
      </c>
      <c r="Q201" s="3489" t="s">
        <v>3718</v>
      </c>
      <c r="R201" s="3420">
        <v>1</v>
      </c>
      <c r="S201" s="3420">
        <v>101.67</v>
      </c>
      <c r="T201" s="3490">
        <v>101.67</v>
      </c>
      <c r="U201" s="3420">
        <v>40</v>
      </c>
      <c r="V201" s="3414" t="s">
        <v>3158</v>
      </c>
      <c r="W201" s="3496" t="s">
        <v>3159</v>
      </c>
      <c r="X201" s="3422">
        <f t="shared" si="57"/>
        <v>4067</v>
      </c>
      <c r="Y201" s="3422">
        <f t="shared" si="58"/>
        <v>1.3333989049539359</v>
      </c>
      <c r="Z201" s="3433">
        <f t="shared" si="50"/>
        <v>1.3333989049539359</v>
      </c>
      <c r="AA201" s="3423">
        <f t="shared" si="59"/>
        <v>17759.23</v>
      </c>
      <c r="AB201" s="3407">
        <f t="shared" si="52"/>
        <v>1.4134028392511722</v>
      </c>
      <c r="AC201" s="3404">
        <f t="shared" si="60"/>
        <v>52450.74</v>
      </c>
      <c r="AD201" s="3446">
        <f t="shared" si="53"/>
        <v>1.4982070096062425</v>
      </c>
      <c r="AE201" s="3404">
        <f t="shared" si="61"/>
        <v>55597.79</v>
      </c>
      <c r="AF201" s="3446">
        <f t="shared" si="54"/>
        <v>1.5880994301826172</v>
      </c>
      <c r="AG201" s="3404">
        <f t="shared" si="62"/>
        <v>58933.66</v>
      </c>
      <c r="AH201" s="3501">
        <v>2.2000000000000002</v>
      </c>
      <c r="AI201" s="3399">
        <f t="shared" si="63"/>
        <v>81641.009999999995</v>
      </c>
      <c r="AJ201" s="3404">
        <f t="shared" si="55"/>
        <v>2.2549999999999999</v>
      </c>
      <c r="AK201" s="3404">
        <f t="shared" si="64"/>
        <v>83682.039999999994</v>
      </c>
      <c r="AL201" s="3404">
        <f t="shared" si="56"/>
        <v>2.3113749999999995</v>
      </c>
      <c r="AM201" s="3404">
        <f t="shared" si="65"/>
        <v>85774.09</v>
      </c>
      <c r="AN201" s="3404"/>
      <c r="AO201" s="3404"/>
      <c r="AP201" s="3404"/>
      <c r="AQ201" s="3404"/>
      <c r="AR201" s="3404"/>
      <c r="AS201" s="3404"/>
      <c r="AT201" s="3404"/>
      <c r="AU201" s="3404"/>
      <c r="AV201" s="3404"/>
      <c r="AW201" s="3404"/>
      <c r="AX201" s="3404"/>
      <c r="AY201" s="3404"/>
      <c r="AZ201" s="3404"/>
      <c r="BA201" s="3404"/>
      <c r="BB201" s="3404"/>
      <c r="BC201" s="3404"/>
      <c r="BD201" s="3404"/>
      <c r="BE201" s="3404"/>
      <c r="BF201" s="3404"/>
    </row>
    <row r="202" spans="1:58" s="3399" customFormat="1" ht="57">
      <c r="A202" s="3414" t="s">
        <v>3719</v>
      </c>
      <c r="B202" s="3414" t="s">
        <v>3720</v>
      </c>
      <c r="C202" s="3414" t="s">
        <v>3721</v>
      </c>
      <c r="D202" s="3414"/>
      <c r="E202" s="3414" t="s">
        <v>3200</v>
      </c>
      <c r="F202" s="3414" t="s">
        <v>3216</v>
      </c>
      <c r="G202" s="3413" t="s">
        <v>3152</v>
      </c>
      <c r="H202" s="3414" t="s">
        <v>3686</v>
      </c>
      <c r="I202" s="3449">
        <v>0.06</v>
      </c>
      <c r="J202" s="3450">
        <v>42919</v>
      </c>
      <c r="K202" s="3485">
        <v>42948</v>
      </c>
      <c r="L202" s="3429">
        <v>44773</v>
      </c>
      <c r="M202" s="3430">
        <v>12</v>
      </c>
      <c r="N202" s="3414"/>
      <c r="O202" s="3413" t="s">
        <v>3363</v>
      </c>
      <c r="P202" s="3414" t="s">
        <v>3364</v>
      </c>
      <c r="Q202" s="3489" t="s">
        <v>3722</v>
      </c>
      <c r="R202" s="3420">
        <v>4</v>
      </c>
      <c r="S202" s="3420">
        <v>439.84</v>
      </c>
      <c r="T202" s="3490">
        <v>439.84</v>
      </c>
      <c r="U202" s="3420">
        <v>20</v>
      </c>
      <c r="V202" s="3414" t="s">
        <v>3158</v>
      </c>
      <c r="W202" s="3496" t="s">
        <v>3218</v>
      </c>
      <c r="X202" s="3422">
        <f t="shared" si="57"/>
        <v>8797</v>
      </c>
      <c r="Y202" s="3422">
        <f t="shared" si="58"/>
        <v>0.66668182369346429</v>
      </c>
      <c r="Z202" s="3433">
        <f t="shared" si="50"/>
        <v>0.66668182369346429</v>
      </c>
      <c r="AA202" s="3423">
        <f t="shared" si="59"/>
        <v>38413.57</v>
      </c>
      <c r="AB202" s="3407">
        <f t="shared" si="52"/>
        <v>0.70668273311507224</v>
      </c>
      <c r="AC202" s="3404">
        <f t="shared" si="60"/>
        <v>113451.98</v>
      </c>
      <c r="AD202" s="3446">
        <f t="shared" si="53"/>
        <v>0.74908369710197664</v>
      </c>
      <c r="AE202" s="3404">
        <f t="shared" si="61"/>
        <v>120259.1</v>
      </c>
      <c r="AF202" s="3446">
        <f t="shared" si="54"/>
        <v>0.79402871892809523</v>
      </c>
      <c r="AG202" s="3404">
        <f t="shared" si="62"/>
        <v>127474.64</v>
      </c>
      <c r="AH202" s="3407">
        <f>AF202*(1+$Z$1)</f>
        <v>0.84167044206378094</v>
      </c>
      <c r="AI202" s="3399">
        <f t="shared" si="63"/>
        <v>135123.12</v>
      </c>
      <c r="AJ202" s="3407">
        <f>AH202*(1+$Z$1)</f>
        <v>0.89217066858760785</v>
      </c>
      <c r="AK202" s="3404">
        <f t="shared" si="64"/>
        <v>143230.51</v>
      </c>
      <c r="AL202" s="3407">
        <f>AJ202*(1+$Z$1)</f>
        <v>0.94570090870286438</v>
      </c>
      <c r="AM202" s="3404">
        <f t="shared" si="65"/>
        <v>151824.34</v>
      </c>
      <c r="AN202" s="3404"/>
      <c r="AO202" s="3404"/>
      <c r="AP202" s="3404"/>
      <c r="AQ202" s="3404"/>
      <c r="AR202" s="3404"/>
      <c r="AS202" s="3404"/>
      <c r="AT202" s="3404"/>
      <c r="AU202" s="3404"/>
      <c r="AV202" s="3404"/>
      <c r="AW202" s="3404"/>
      <c r="AX202" s="3404"/>
      <c r="AY202" s="3404"/>
      <c r="AZ202" s="3404"/>
      <c r="BA202" s="3404"/>
      <c r="BB202" s="3404"/>
      <c r="BC202" s="3404"/>
      <c r="BD202" s="3404"/>
      <c r="BE202" s="3404"/>
      <c r="BF202" s="3404"/>
    </row>
    <row r="203" spans="1:58" s="3399" customFormat="1" ht="57">
      <c r="A203" s="3414" t="s">
        <v>3719</v>
      </c>
      <c r="B203" s="3414" t="s">
        <v>3720</v>
      </c>
      <c r="C203" s="3414" t="s">
        <v>3721</v>
      </c>
      <c r="D203" s="3414"/>
      <c r="E203" s="3414" t="s">
        <v>3200</v>
      </c>
      <c r="F203" s="3414" t="s">
        <v>3216</v>
      </c>
      <c r="G203" s="3413" t="s">
        <v>3152</v>
      </c>
      <c r="H203" s="3414" t="s">
        <v>3686</v>
      </c>
      <c r="I203" s="3449">
        <v>0.06</v>
      </c>
      <c r="J203" s="3450">
        <v>42919</v>
      </c>
      <c r="K203" s="3485">
        <v>42948</v>
      </c>
      <c r="L203" s="3429">
        <v>44773</v>
      </c>
      <c r="M203" s="3430">
        <v>12</v>
      </c>
      <c r="N203" s="3414"/>
      <c r="O203" s="3413" t="s">
        <v>3363</v>
      </c>
      <c r="P203" s="3414" t="s">
        <v>3364</v>
      </c>
      <c r="Q203" s="3489" t="s">
        <v>3722</v>
      </c>
      <c r="R203" s="3420">
        <v>4</v>
      </c>
      <c r="S203" s="3420">
        <v>439.84</v>
      </c>
      <c r="T203" s="3490">
        <v>439.84</v>
      </c>
      <c r="U203" s="3420">
        <v>20</v>
      </c>
      <c r="V203" s="3414" t="s">
        <v>3158</v>
      </c>
      <c r="W203" s="3496" t="s">
        <v>3159</v>
      </c>
      <c r="X203" s="3422">
        <f t="shared" si="57"/>
        <v>8797</v>
      </c>
      <c r="Y203" s="3422">
        <f t="shared" si="58"/>
        <v>0.66668182369346429</v>
      </c>
      <c r="Z203" s="3433">
        <f t="shared" si="50"/>
        <v>0.66668182369346429</v>
      </c>
      <c r="AA203" s="3423">
        <f t="shared" si="59"/>
        <v>38413.57</v>
      </c>
      <c r="AB203" s="3407">
        <f t="shared" si="52"/>
        <v>0.70668273311507224</v>
      </c>
      <c r="AC203" s="3404">
        <f t="shared" si="60"/>
        <v>113451.98</v>
      </c>
      <c r="AD203" s="3446">
        <f t="shared" si="53"/>
        <v>0.74908369710197664</v>
      </c>
      <c r="AE203" s="3404">
        <f t="shared" si="61"/>
        <v>120259.1</v>
      </c>
      <c r="AF203" s="3446">
        <f t="shared" si="54"/>
        <v>0.79402871892809523</v>
      </c>
      <c r="AG203" s="3404">
        <f t="shared" si="62"/>
        <v>127474.64</v>
      </c>
      <c r="AH203" s="3407">
        <f>AF203*(1+$Z$1)</f>
        <v>0.84167044206378094</v>
      </c>
      <c r="AI203" s="3399">
        <f t="shared" si="63"/>
        <v>135123.12</v>
      </c>
      <c r="AJ203" s="3407">
        <f>AH203*(1+$Z$1)</f>
        <v>0.89217066858760785</v>
      </c>
      <c r="AK203" s="3404">
        <f t="shared" si="64"/>
        <v>143230.51</v>
      </c>
      <c r="AL203" s="3407">
        <f>AJ203*(1+$Z$1)</f>
        <v>0.94570090870286438</v>
      </c>
      <c r="AM203" s="3404">
        <f t="shared" si="65"/>
        <v>151824.34</v>
      </c>
      <c r="AN203" s="3404"/>
      <c r="AO203" s="3404"/>
      <c r="AP203" s="3404"/>
      <c r="AQ203" s="3404"/>
      <c r="AR203" s="3404"/>
      <c r="AS203" s="3404"/>
      <c r="AT203" s="3404"/>
      <c r="AU203" s="3404"/>
      <c r="AV203" s="3404"/>
      <c r="AW203" s="3404"/>
      <c r="AX203" s="3404"/>
      <c r="AY203" s="3404"/>
      <c r="AZ203" s="3404"/>
      <c r="BA203" s="3404"/>
      <c r="BB203" s="3404"/>
      <c r="BC203" s="3404"/>
      <c r="BD203" s="3404"/>
      <c r="BE203" s="3404"/>
      <c r="BF203" s="3404"/>
    </row>
    <row r="204" spans="1:58" s="3400" customFormat="1" ht="42.75">
      <c r="A204" s="3414" t="s">
        <v>3723</v>
      </c>
      <c r="B204" s="3414" t="s">
        <v>3724</v>
      </c>
      <c r="C204" s="3414" t="s">
        <v>3725</v>
      </c>
      <c r="D204" s="3414"/>
      <c r="E204" s="3414" t="s">
        <v>3726</v>
      </c>
      <c r="F204" s="3414" t="s">
        <v>3216</v>
      </c>
      <c r="G204" s="3413" t="s">
        <v>3152</v>
      </c>
      <c r="H204" s="3414" t="s">
        <v>3669</v>
      </c>
      <c r="I204" s="3449">
        <v>0.06</v>
      </c>
      <c r="J204" s="3450">
        <v>42902</v>
      </c>
      <c r="K204" s="3485">
        <v>42917</v>
      </c>
      <c r="L204" s="3429">
        <v>44012</v>
      </c>
      <c r="M204" s="3430">
        <v>8</v>
      </c>
      <c r="N204" s="3414"/>
      <c r="O204" s="3413" t="s">
        <v>3155</v>
      </c>
      <c r="P204" s="3414" t="s">
        <v>3193</v>
      </c>
      <c r="Q204" s="3489" t="s">
        <v>3727</v>
      </c>
      <c r="R204" s="3420">
        <v>1</v>
      </c>
      <c r="S204" s="3420">
        <v>241.86</v>
      </c>
      <c r="T204" s="3490">
        <v>241.86</v>
      </c>
      <c r="U204" s="3420">
        <v>17.5</v>
      </c>
      <c r="V204" s="3414" t="s">
        <v>3158</v>
      </c>
      <c r="W204" s="3496" t="s">
        <v>3218</v>
      </c>
      <c r="X204" s="3422">
        <f t="shared" si="57"/>
        <v>4233</v>
      </c>
      <c r="Y204" s="3422">
        <f t="shared" si="58"/>
        <v>0.5833953526833705</v>
      </c>
      <c r="Z204" s="3433">
        <f t="shared" si="50"/>
        <v>0.5833953526833705</v>
      </c>
      <c r="AA204" s="3423">
        <f t="shared" si="59"/>
        <v>18484.099999999999</v>
      </c>
      <c r="AB204" s="3407">
        <f t="shared" si="52"/>
        <v>0.61839907384437276</v>
      </c>
      <c r="AC204" s="3404">
        <f t="shared" si="60"/>
        <v>54591.59</v>
      </c>
      <c r="AD204" s="3446">
        <f t="shared" si="53"/>
        <v>0.65550301827503521</v>
      </c>
      <c r="AE204" s="3404">
        <f t="shared" si="61"/>
        <v>57867.09</v>
      </c>
      <c r="AF204" s="3446">
        <f t="shared" si="54"/>
        <v>0.69483319937153731</v>
      </c>
      <c r="AG204" s="3404">
        <f t="shared" si="62"/>
        <v>61339.11</v>
      </c>
      <c r="AH204" s="3404">
        <v>2.2000000000000002</v>
      </c>
      <c r="AI204" s="3399">
        <f t="shared" si="63"/>
        <v>194213.58</v>
      </c>
      <c r="AJ204" s="3404">
        <f>AH204*(1+$AH$1)</f>
        <v>2.2549999999999999</v>
      </c>
      <c r="AK204" s="3404">
        <f t="shared" si="64"/>
        <v>199068.92</v>
      </c>
      <c r="AL204" s="3404">
        <f>AJ204*(1+$AH$1)</f>
        <v>2.3113749999999995</v>
      </c>
      <c r="AM204" s="3404">
        <f t="shared" si="65"/>
        <v>204045.64</v>
      </c>
      <c r="AN204" s="3404"/>
      <c r="AO204" s="3404"/>
      <c r="AP204" s="3404"/>
      <c r="AQ204" s="3404"/>
      <c r="AR204" s="3404"/>
      <c r="AS204" s="3404"/>
      <c r="AT204" s="3404"/>
      <c r="AU204" s="3404"/>
      <c r="AV204" s="3404"/>
      <c r="AW204" s="3404"/>
      <c r="AX204" s="3404"/>
      <c r="AY204" s="3404"/>
      <c r="AZ204" s="3404"/>
      <c r="BA204" s="3404"/>
      <c r="BB204" s="3404"/>
      <c r="BC204" s="3404"/>
      <c r="BD204" s="3404"/>
      <c r="BE204" s="3404"/>
      <c r="BF204" s="3404"/>
    </row>
    <row r="205" spans="1:58" s="3400" customFormat="1" ht="42.75">
      <c r="A205" s="3414" t="s">
        <v>3723</v>
      </c>
      <c r="B205" s="3414" t="s">
        <v>3724</v>
      </c>
      <c r="C205" s="3414" t="s">
        <v>3725</v>
      </c>
      <c r="D205" s="3414"/>
      <c r="E205" s="3414" t="s">
        <v>3726</v>
      </c>
      <c r="F205" s="3414" t="s">
        <v>3216</v>
      </c>
      <c r="G205" s="3413" t="s">
        <v>3152</v>
      </c>
      <c r="H205" s="3414" t="s">
        <v>3669</v>
      </c>
      <c r="I205" s="3449">
        <v>0.06</v>
      </c>
      <c r="J205" s="3450">
        <v>42902</v>
      </c>
      <c r="K205" s="3485">
        <v>42917</v>
      </c>
      <c r="L205" s="3429">
        <v>44012</v>
      </c>
      <c r="M205" s="3430">
        <v>8</v>
      </c>
      <c r="N205" s="3414"/>
      <c r="O205" s="3413" t="s">
        <v>3155</v>
      </c>
      <c r="P205" s="3414" t="s">
        <v>3193</v>
      </c>
      <c r="Q205" s="3489" t="s">
        <v>3727</v>
      </c>
      <c r="R205" s="3420">
        <v>1</v>
      </c>
      <c r="S205" s="3420">
        <v>241.86</v>
      </c>
      <c r="T205" s="3490">
        <v>241.86</v>
      </c>
      <c r="U205" s="3420">
        <v>17.5</v>
      </c>
      <c r="V205" s="3414" t="s">
        <v>3158</v>
      </c>
      <c r="W205" s="3496" t="s">
        <v>3159</v>
      </c>
      <c r="X205" s="3422">
        <f t="shared" si="57"/>
        <v>4233</v>
      </c>
      <c r="Y205" s="3422">
        <f t="shared" si="58"/>
        <v>0.5833953526833705</v>
      </c>
      <c r="Z205" s="3433">
        <f t="shared" si="50"/>
        <v>0.5833953526833705</v>
      </c>
      <c r="AA205" s="3423">
        <f t="shared" si="59"/>
        <v>18484.099999999999</v>
      </c>
      <c r="AB205" s="3407">
        <f t="shared" si="52"/>
        <v>0.61839907384437276</v>
      </c>
      <c r="AC205" s="3404">
        <f t="shared" si="60"/>
        <v>54591.59</v>
      </c>
      <c r="AD205" s="3446">
        <f t="shared" si="53"/>
        <v>0.65550301827503521</v>
      </c>
      <c r="AE205" s="3404">
        <f t="shared" si="61"/>
        <v>57867.09</v>
      </c>
      <c r="AF205" s="3446">
        <f t="shared" si="54"/>
        <v>0.69483319937153731</v>
      </c>
      <c r="AG205" s="3404">
        <f t="shared" si="62"/>
        <v>61339.11</v>
      </c>
      <c r="AH205" s="3404">
        <v>2.2000000000000002</v>
      </c>
      <c r="AI205" s="3399">
        <f t="shared" si="63"/>
        <v>194213.58</v>
      </c>
      <c r="AJ205" s="3404">
        <f t="shared" ref="AJ205:AJ244" si="66">AH205*(1+$AH$1)</f>
        <v>2.2549999999999999</v>
      </c>
      <c r="AK205" s="3404">
        <f t="shared" si="64"/>
        <v>199068.92</v>
      </c>
      <c r="AL205" s="3404">
        <f t="shared" ref="AL205:AL244" si="67">AJ205*(1+$AH$1)</f>
        <v>2.3113749999999995</v>
      </c>
      <c r="AM205" s="3404">
        <f t="shared" si="65"/>
        <v>204045.64</v>
      </c>
      <c r="AN205" s="3404"/>
      <c r="AO205" s="3404"/>
      <c r="AP205" s="3404"/>
      <c r="AQ205" s="3404"/>
      <c r="AR205" s="3404"/>
      <c r="AS205" s="3404"/>
      <c r="AT205" s="3404"/>
      <c r="AU205" s="3404"/>
      <c r="AV205" s="3404"/>
      <c r="AW205" s="3404"/>
      <c r="AX205" s="3404"/>
      <c r="AY205" s="3404"/>
      <c r="AZ205" s="3404"/>
      <c r="BA205" s="3404"/>
      <c r="BB205" s="3404"/>
      <c r="BC205" s="3404"/>
      <c r="BD205" s="3404"/>
      <c r="BE205" s="3404"/>
      <c r="BF205" s="3404"/>
    </row>
    <row r="206" spans="1:58" s="3400" customFormat="1" ht="42.75">
      <c r="A206" s="3414" t="s">
        <v>3728</v>
      </c>
      <c r="B206" s="3414" t="s">
        <v>3729</v>
      </c>
      <c r="C206" s="3414" t="s">
        <v>3730</v>
      </c>
      <c r="D206" s="3414"/>
      <c r="E206" s="3414"/>
      <c r="F206" s="3414" t="s">
        <v>3216</v>
      </c>
      <c r="G206" s="3413" t="s">
        <v>3152</v>
      </c>
      <c r="H206" s="3414" t="s">
        <v>3686</v>
      </c>
      <c r="I206" s="3449">
        <v>0.06</v>
      </c>
      <c r="J206" s="3450">
        <v>42909</v>
      </c>
      <c r="K206" s="3485">
        <v>42948</v>
      </c>
      <c r="L206" s="3429">
        <v>44043</v>
      </c>
      <c r="M206" s="3430">
        <v>12</v>
      </c>
      <c r="N206" s="3414"/>
      <c r="O206" s="3413" t="s">
        <v>3652</v>
      </c>
      <c r="P206" s="3414" t="s">
        <v>3691</v>
      </c>
      <c r="Q206" s="3489" t="s">
        <v>3731</v>
      </c>
      <c r="R206" s="3420">
        <v>1</v>
      </c>
      <c r="S206" s="3420">
        <v>59.71</v>
      </c>
      <c r="T206" s="3490">
        <v>59.71</v>
      </c>
      <c r="U206" s="3420">
        <v>40</v>
      </c>
      <c r="V206" s="3414" t="s">
        <v>3158</v>
      </c>
      <c r="W206" s="3496" t="s">
        <v>3218</v>
      </c>
      <c r="X206" s="3422">
        <f t="shared" si="57"/>
        <v>2388</v>
      </c>
      <c r="Y206" s="3422">
        <f t="shared" si="58"/>
        <v>1.3331100318204654</v>
      </c>
      <c r="Z206" s="3433">
        <f t="shared" si="50"/>
        <v>1.3331100318204654</v>
      </c>
      <c r="AA206" s="3423">
        <f t="shared" si="59"/>
        <v>10427.6</v>
      </c>
      <c r="AB206" s="3407">
        <f t="shared" si="52"/>
        <v>1.4130966337296933</v>
      </c>
      <c r="AC206" s="3404">
        <f t="shared" si="60"/>
        <v>30797.24</v>
      </c>
      <c r="AD206" s="3446">
        <f t="shared" si="53"/>
        <v>1.4978824317534749</v>
      </c>
      <c r="AE206" s="3404">
        <f t="shared" si="61"/>
        <v>32645.07</v>
      </c>
      <c r="AF206" s="3446">
        <f t="shared" si="54"/>
        <v>1.5877553776586835</v>
      </c>
      <c r="AG206" s="3404">
        <f t="shared" si="62"/>
        <v>34603.78</v>
      </c>
      <c r="AH206" s="3404">
        <v>2.2000000000000002</v>
      </c>
      <c r="AI206" s="3399">
        <f t="shared" si="63"/>
        <v>47947.13</v>
      </c>
      <c r="AJ206" s="3404">
        <f t="shared" si="66"/>
        <v>2.2549999999999999</v>
      </c>
      <c r="AK206" s="3404">
        <f t="shared" si="64"/>
        <v>49145.81</v>
      </c>
      <c r="AL206" s="3404">
        <f t="shared" si="67"/>
        <v>2.3113749999999995</v>
      </c>
      <c r="AM206" s="3404">
        <f t="shared" si="65"/>
        <v>50374.45</v>
      </c>
      <c r="AN206" s="3404"/>
      <c r="AO206" s="3404"/>
      <c r="AP206" s="3404"/>
      <c r="AQ206" s="3404"/>
      <c r="AR206" s="3404"/>
      <c r="AS206" s="3404"/>
      <c r="AT206" s="3404"/>
      <c r="AU206" s="3404"/>
      <c r="AV206" s="3404"/>
      <c r="AW206" s="3404"/>
      <c r="AX206" s="3404"/>
      <c r="AY206" s="3404"/>
      <c r="AZ206" s="3404"/>
      <c r="BA206" s="3404"/>
      <c r="BB206" s="3404"/>
      <c r="BC206" s="3404"/>
      <c r="BD206" s="3404"/>
      <c r="BE206" s="3404"/>
      <c r="BF206" s="3404"/>
    </row>
    <row r="207" spans="1:58" s="3400" customFormat="1" ht="42.75">
      <c r="A207" s="3414" t="s">
        <v>3728</v>
      </c>
      <c r="B207" s="3414" t="s">
        <v>3729</v>
      </c>
      <c r="C207" s="3414" t="s">
        <v>3730</v>
      </c>
      <c r="D207" s="3414"/>
      <c r="E207" s="3414"/>
      <c r="F207" s="3414" t="s">
        <v>3216</v>
      </c>
      <c r="G207" s="3413" t="s">
        <v>3152</v>
      </c>
      <c r="H207" s="3414" t="s">
        <v>3686</v>
      </c>
      <c r="I207" s="3449">
        <v>0.06</v>
      </c>
      <c r="J207" s="3450">
        <v>42909</v>
      </c>
      <c r="K207" s="3485">
        <v>42948</v>
      </c>
      <c r="L207" s="3429">
        <v>44043</v>
      </c>
      <c r="M207" s="3430">
        <v>12</v>
      </c>
      <c r="N207" s="3414"/>
      <c r="O207" s="3413" t="s">
        <v>3652</v>
      </c>
      <c r="P207" s="3414" t="s">
        <v>3691</v>
      </c>
      <c r="Q207" s="3489" t="s">
        <v>3731</v>
      </c>
      <c r="R207" s="3420">
        <v>1</v>
      </c>
      <c r="S207" s="3420">
        <v>59.71</v>
      </c>
      <c r="T207" s="3490">
        <v>59.71</v>
      </c>
      <c r="U207" s="3420">
        <v>40</v>
      </c>
      <c r="V207" s="3414" t="s">
        <v>3158</v>
      </c>
      <c r="W207" s="3496" t="s">
        <v>3159</v>
      </c>
      <c r="X207" s="3422">
        <f t="shared" si="57"/>
        <v>2388</v>
      </c>
      <c r="Y207" s="3422">
        <f t="shared" si="58"/>
        <v>1.3331100318204654</v>
      </c>
      <c r="Z207" s="3433">
        <f t="shared" si="50"/>
        <v>1.3331100318204654</v>
      </c>
      <c r="AA207" s="3423">
        <f t="shared" si="59"/>
        <v>10427.6</v>
      </c>
      <c r="AB207" s="3407">
        <f t="shared" si="52"/>
        <v>1.4130966337296933</v>
      </c>
      <c r="AC207" s="3404">
        <f t="shared" si="60"/>
        <v>30797.24</v>
      </c>
      <c r="AD207" s="3446">
        <f t="shared" si="53"/>
        <v>1.4978824317534749</v>
      </c>
      <c r="AE207" s="3404">
        <f t="shared" si="61"/>
        <v>32645.07</v>
      </c>
      <c r="AF207" s="3446">
        <f t="shared" si="54"/>
        <v>1.5877553776586835</v>
      </c>
      <c r="AG207" s="3404">
        <f t="shared" si="62"/>
        <v>34603.78</v>
      </c>
      <c r="AH207" s="3404">
        <v>2.2000000000000002</v>
      </c>
      <c r="AI207" s="3399">
        <f t="shared" si="63"/>
        <v>47947.13</v>
      </c>
      <c r="AJ207" s="3404">
        <f t="shared" si="66"/>
        <v>2.2549999999999999</v>
      </c>
      <c r="AK207" s="3404">
        <f t="shared" si="64"/>
        <v>49145.81</v>
      </c>
      <c r="AL207" s="3404">
        <f t="shared" si="67"/>
        <v>2.3113749999999995</v>
      </c>
      <c r="AM207" s="3404">
        <f t="shared" si="65"/>
        <v>50374.45</v>
      </c>
      <c r="AN207" s="3404"/>
      <c r="AO207" s="3404"/>
      <c r="AP207" s="3404"/>
      <c r="AQ207" s="3404"/>
      <c r="AR207" s="3404"/>
      <c r="AS207" s="3404"/>
      <c r="AT207" s="3404"/>
      <c r="AU207" s="3404"/>
      <c r="AV207" s="3404"/>
      <c r="AW207" s="3404"/>
      <c r="AX207" s="3404"/>
      <c r="AY207" s="3404"/>
      <c r="AZ207" s="3404"/>
      <c r="BA207" s="3404"/>
      <c r="BB207" s="3404"/>
      <c r="BC207" s="3404"/>
      <c r="BD207" s="3404"/>
      <c r="BE207" s="3404"/>
      <c r="BF207" s="3404"/>
    </row>
    <row r="208" spans="1:58" s="3399" customFormat="1" ht="42.75">
      <c r="A208" s="3414" t="s">
        <v>3732</v>
      </c>
      <c r="B208" s="3414" t="s">
        <v>3733</v>
      </c>
      <c r="C208" s="3414" t="s">
        <v>3734</v>
      </c>
      <c r="D208" s="3414"/>
      <c r="E208" s="3414" t="s">
        <v>3735</v>
      </c>
      <c r="F208" s="3414" t="s">
        <v>3216</v>
      </c>
      <c r="G208" s="3413" t="s">
        <v>3152</v>
      </c>
      <c r="H208" s="3414" t="s">
        <v>3669</v>
      </c>
      <c r="I208" s="3449">
        <v>0.06</v>
      </c>
      <c r="J208" s="3450">
        <v>42908</v>
      </c>
      <c r="K208" s="3485">
        <v>42917</v>
      </c>
      <c r="L208" s="3429">
        <v>44012</v>
      </c>
      <c r="M208" s="3430">
        <v>8</v>
      </c>
      <c r="N208" s="3414"/>
      <c r="O208" s="3413" t="s">
        <v>3652</v>
      </c>
      <c r="P208" s="3414" t="s">
        <v>3736</v>
      </c>
      <c r="Q208" s="3489" t="s">
        <v>3737</v>
      </c>
      <c r="R208" s="3420">
        <v>2</v>
      </c>
      <c r="S208" s="3420">
        <v>292.13</v>
      </c>
      <c r="T208" s="3490">
        <v>292.13</v>
      </c>
      <c r="U208" s="3420">
        <v>40</v>
      </c>
      <c r="V208" s="3414" t="s">
        <v>3158</v>
      </c>
      <c r="W208" s="3496" t="s">
        <v>3218</v>
      </c>
      <c r="X208" s="3422">
        <f t="shared" si="57"/>
        <v>11685</v>
      </c>
      <c r="Y208" s="3422">
        <f t="shared" si="58"/>
        <v>1.3333105124430904</v>
      </c>
      <c r="Z208" s="3433">
        <f t="shared" ref="Z208:Z244" si="68">Y208</f>
        <v>1.3333105124430904</v>
      </c>
      <c r="AA208" s="3423">
        <f t="shared" si="59"/>
        <v>51024.5</v>
      </c>
      <c r="AB208" s="3407">
        <f t="shared" si="52"/>
        <v>1.4133091431896758</v>
      </c>
      <c r="AC208" s="3404">
        <f t="shared" si="60"/>
        <v>150697.54999999999</v>
      </c>
      <c r="AD208" s="3446">
        <f t="shared" si="53"/>
        <v>1.4981076917810565</v>
      </c>
      <c r="AE208" s="3404">
        <f t="shared" si="61"/>
        <v>159739.4</v>
      </c>
      <c r="AF208" s="3446">
        <f t="shared" si="54"/>
        <v>1.58799415328792</v>
      </c>
      <c r="AG208" s="3404">
        <f t="shared" si="62"/>
        <v>169323.77</v>
      </c>
      <c r="AH208" s="3404">
        <v>2.2000000000000002</v>
      </c>
      <c r="AI208" s="3399">
        <f t="shared" si="63"/>
        <v>234580.39</v>
      </c>
      <c r="AJ208" s="3404">
        <f t="shared" si="66"/>
        <v>2.2549999999999999</v>
      </c>
      <c r="AK208" s="3404">
        <f t="shared" si="64"/>
        <v>240444.9</v>
      </c>
      <c r="AL208" s="3404">
        <f t="shared" si="67"/>
        <v>2.3113749999999995</v>
      </c>
      <c r="AM208" s="3404">
        <f t="shared" si="65"/>
        <v>246456.02</v>
      </c>
      <c r="AN208" s="3404"/>
      <c r="AO208" s="3404"/>
      <c r="AP208" s="3404"/>
      <c r="AQ208" s="3404"/>
      <c r="AR208" s="3404"/>
      <c r="AS208" s="3404"/>
      <c r="AT208" s="3404"/>
      <c r="AU208" s="3404"/>
      <c r="AV208" s="3404"/>
      <c r="AW208" s="3404"/>
      <c r="AX208" s="3404"/>
      <c r="AY208" s="3404"/>
      <c r="AZ208" s="3404"/>
      <c r="BA208" s="3404"/>
      <c r="BB208" s="3404"/>
      <c r="BC208" s="3404"/>
      <c r="BD208" s="3404"/>
      <c r="BE208" s="3404"/>
      <c r="BF208" s="3404"/>
    </row>
    <row r="209" spans="1:58" s="3399" customFormat="1" ht="42.75">
      <c r="A209" s="3414" t="s">
        <v>3732</v>
      </c>
      <c r="B209" s="3414" t="s">
        <v>3733</v>
      </c>
      <c r="C209" s="3414" t="s">
        <v>3734</v>
      </c>
      <c r="D209" s="3414"/>
      <c r="E209" s="3414" t="s">
        <v>3735</v>
      </c>
      <c r="F209" s="3414" t="s">
        <v>3216</v>
      </c>
      <c r="G209" s="3413" t="s">
        <v>3152</v>
      </c>
      <c r="H209" s="3414" t="s">
        <v>3669</v>
      </c>
      <c r="I209" s="3449">
        <v>0.06</v>
      </c>
      <c r="J209" s="3450">
        <v>42908</v>
      </c>
      <c r="K209" s="3485">
        <v>42917</v>
      </c>
      <c r="L209" s="3429">
        <v>44012</v>
      </c>
      <c r="M209" s="3430">
        <v>8</v>
      </c>
      <c r="N209" s="3414"/>
      <c r="O209" s="3413" t="s">
        <v>3652</v>
      </c>
      <c r="P209" s="3414" t="s">
        <v>3736</v>
      </c>
      <c r="Q209" s="3489" t="s">
        <v>3737</v>
      </c>
      <c r="R209" s="3420">
        <v>2</v>
      </c>
      <c r="S209" s="3420">
        <v>292.13</v>
      </c>
      <c r="T209" s="3490">
        <v>292.13</v>
      </c>
      <c r="U209" s="3420">
        <v>40</v>
      </c>
      <c r="V209" s="3414" t="s">
        <v>3158</v>
      </c>
      <c r="W209" s="3496" t="s">
        <v>3159</v>
      </c>
      <c r="X209" s="3422">
        <f t="shared" si="57"/>
        <v>11685</v>
      </c>
      <c r="Y209" s="3422">
        <f t="shared" si="58"/>
        <v>1.3333105124430904</v>
      </c>
      <c r="Z209" s="3433">
        <f t="shared" si="68"/>
        <v>1.3333105124430904</v>
      </c>
      <c r="AA209" s="3423">
        <f t="shared" si="59"/>
        <v>51024.5</v>
      </c>
      <c r="AB209" s="3407">
        <f t="shared" si="52"/>
        <v>1.4133091431896758</v>
      </c>
      <c r="AC209" s="3404">
        <f t="shared" si="60"/>
        <v>150697.54999999999</v>
      </c>
      <c r="AD209" s="3446">
        <f t="shared" si="53"/>
        <v>1.4981076917810565</v>
      </c>
      <c r="AE209" s="3404">
        <f t="shared" si="61"/>
        <v>159739.4</v>
      </c>
      <c r="AF209" s="3446">
        <f t="shared" si="54"/>
        <v>1.58799415328792</v>
      </c>
      <c r="AG209" s="3404">
        <f t="shared" si="62"/>
        <v>169323.77</v>
      </c>
      <c r="AH209" s="3404">
        <v>2.2000000000000002</v>
      </c>
      <c r="AI209" s="3399">
        <f t="shared" si="63"/>
        <v>234580.39</v>
      </c>
      <c r="AJ209" s="3404">
        <f t="shared" si="66"/>
        <v>2.2549999999999999</v>
      </c>
      <c r="AK209" s="3404">
        <f t="shared" si="64"/>
        <v>240444.9</v>
      </c>
      <c r="AL209" s="3404">
        <f t="shared" si="67"/>
        <v>2.3113749999999995</v>
      </c>
      <c r="AM209" s="3404">
        <f t="shared" si="65"/>
        <v>246456.02</v>
      </c>
      <c r="AN209" s="3404"/>
      <c r="AO209" s="3404"/>
      <c r="AP209" s="3404"/>
      <c r="AQ209" s="3404"/>
      <c r="AR209" s="3404"/>
      <c r="AS209" s="3404"/>
      <c r="AT209" s="3404"/>
      <c r="AU209" s="3404"/>
      <c r="AV209" s="3404"/>
      <c r="AW209" s="3404"/>
      <c r="AX209" s="3404"/>
      <c r="AY209" s="3404"/>
      <c r="AZ209" s="3404"/>
      <c r="BA209" s="3404"/>
      <c r="BB209" s="3404"/>
      <c r="BC209" s="3404"/>
      <c r="BD209" s="3404"/>
      <c r="BE209" s="3404"/>
      <c r="BF209" s="3404"/>
    </row>
    <row r="210" spans="1:58" s="3400" customFormat="1" ht="42.75">
      <c r="A210" s="3414" t="s">
        <v>3738</v>
      </c>
      <c r="B210" s="3414" t="s">
        <v>3739</v>
      </c>
      <c r="C210" s="3414" t="s">
        <v>3740</v>
      </c>
      <c r="D210" s="3414"/>
      <c r="E210" s="3414"/>
      <c r="F210" s="3414" t="s">
        <v>3216</v>
      </c>
      <c r="G210" s="3413" t="s">
        <v>3152</v>
      </c>
      <c r="H210" s="3414" t="s">
        <v>3669</v>
      </c>
      <c r="I210" s="3449">
        <v>0.06</v>
      </c>
      <c r="J210" s="3450">
        <v>42909</v>
      </c>
      <c r="K210" s="3485">
        <v>42917</v>
      </c>
      <c r="L210" s="3429">
        <v>44012</v>
      </c>
      <c r="M210" s="3430">
        <v>0</v>
      </c>
      <c r="N210" s="3414"/>
      <c r="O210" s="3413" t="s">
        <v>3155</v>
      </c>
      <c r="P210" s="3414" t="s">
        <v>3232</v>
      </c>
      <c r="Q210" s="3489" t="s">
        <v>3741</v>
      </c>
      <c r="R210" s="3420">
        <v>1</v>
      </c>
      <c r="S210" s="3420">
        <v>60.97</v>
      </c>
      <c r="T210" s="3490">
        <v>60.97</v>
      </c>
      <c r="U210" s="3420">
        <v>50</v>
      </c>
      <c r="V210" s="3414" t="s">
        <v>3158</v>
      </c>
      <c r="W210" s="3496" t="s">
        <v>3218</v>
      </c>
      <c r="X210" s="3422">
        <f t="shared" si="57"/>
        <v>3049</v>
      </c>
      <c r="Y210" s="3422">
        <f t="shared" si="58"/>
        <v>1.6669400251489805</v>
      </c>
      <c r="Z210" s="3433">
        <f t="shared" si="68"/>
        <v>1.6669400251489805</v>
      </c>
      <c r="AA210" s="3423">
        <f t="shared" si="59"/>
        <v>13313.97</v>
      </c>
      <c r="AB210" s="3407">
        <f t="shared" si="52"/>
        <v>1.7669564266579194</v>
      </c>
      <c r="AC210" s="3404">
        <f t="shared" si="60"/>
        <v>39321.94</v>
      </c>
      <c r="AD210" s="3446">
        <f t="shared" si="53"/>
        <v>1.8729738122573947</v>
      </c>
      <c r="AE210" s="3404">
        <f t="shared" si="61"/>
        <v>41681.25</v>
      </c>
      <c r="AF210" s="3446">
        <f t="shared" si="54"/>
        <v>1.9853522409928384</v>
      </c>
      <c r="AG210" s="3404">
        <f t="shared" si="62"/>
        <v>44182.13</v>
      </c>
      <c r="AH210" s="3404">
        <v>2.2000000000000002</v>
      </c>
      <c r="AI210" s="3399">
        <f t="shared" si="63"/>
        <v>48958.91</v>
      </c>
      <c r="AJ210" s="3404">
        <f t="shared" si="66"/>
        <v>2.2549999999999999</v>
      </c>
      <c r="AK210" s="3404">
        <f t="shared" si="64"/>
        <v>50182.879999999997</v>
      </c>
      <c r="AL210" s="3404">
        <f t="shared" si="67"/>
        <v>2.3113749999999995</v>
      </c>
      <c r="AM210" s="3404">
        <f t="shared" si="65"/>
        <v>51437.45</v>
      </c>
      <c r="AN210" s="3404"/>
      <c r="AO210" s="3404"/>
      <c r="AP210" s="3404"/>
      <c r="AQ210" s="3404"/>
      <c r="AR210" s="3404"/>
      <c r="AS210" s="3404"/>
      <c r="AT210" s="3404"/>
      <c r="AU210" s="3404"/>
      <c r="AV210" s="3404"/>
      <c r="AW210" s="3404"/>
      <c r="AX210" s="3404"/>
      <c r="AY210" s="3404"/>
      <c r="AZ210" s="3404"/>
      <c r="BA210" s="3404"/>
      <c r="BB210" s="3404"/>
      <c r="BC210" s="3404"/>
      <c r="BD210" s="3404"/>
      <c r="BE210" s="3404"/>
      <c r="BF210" s="3404"/>
    </row>
    <row r="211" spans="1:58" s="3400" customFormat="1" ht="42.75">
      <c r="A211" s="3414" t="s">
        <v>3738</v>
      </c>
      <c r="B211" s="3414" t="s">
        <v>3739</v>
      </c>
      <c r="C211" s="3414" t="s">
        <v>3740</v>
      </c>
      <c r="D211" s="3414"/>
      <c r="E211" s="3414"/>
      <c r="F211" s="3414" t="s">
        <v>3216</v>
      </c>
      <c r="G211" s="3413" t="s">
        <v>3152</v>
      </c>
      <c r="H211" s="3414" t="s">
        <v>3669</v>
      </c>
      <c r="I211" s="3449">
        <v>0.06</v>
      </c>
      <c r="J211" s="3450">
        <v>42909</v>
      </c>
      <c r="K211" s="3485">
        <v>42917</v>
      </c>
      <c r="L211" s="3429">
        <v>44012</v>
      </c>
      <c r="M211" s="3430">
        <v>0</v>
      </c>
      <c r="N211" s="3414"/>
      <c r="O211" s="3413" t="s">
        <v>3155</v>
      </c>
      <c r="P211" s="3414" t="s">
        <v>3232</v>
      </c>
      <c r="Q211" s="3489" t="s">
        <v>3741</v>
      </c>
      <c r="R211" s="3420">
        <v>1</v>
      </c>
      <c r="S211" s="3420">
        <v>60.97</v>
      </c>
      <c r="T211" s="3490">
        <v>60.97</v>
      </c>
      <c r="U211" s="3420">
        <v>50</v>
      </c>
      <c r="V211" s="3414" t="s">
        <v>3158</v>
      </c>
      <c r="W211" s="3496" t="s">
        <v>3159</v>
      </c>
      <c r="X211" s="3422">
        <f t="shared" si="57"/>
        <v>3049</v>
      </c>
      <c r="Y211" s="3422">
        <f t="shared" si="58"/>
        <v>1.6669400251489805</v>
      </c>
      <c r="Z211" s="3433">
        <f t="shared" si="68"/>
        <v>1.6669400251489805</v>
      </c>
      <c r="AA211" s="3423">
        <f t="shared" si="59"/>
        <v>13313.97</v>
      </c>
      <c r="AB211" s="3407">
        <f t="shared" si="52"/>
        <v>1.7669564266579194</v>
      </c>
      <c r="AC211" s="3404">
        <f t="shared" si="60"/>
        <v>39321.94</v>
      </c>
      <c r="AD211" s="3446">
        <f t="shared" si="53"/>
        <v>1.8729738122573947</v>
      </c>
      <c r="AE211" s="3404">
        <f t="shared" si="61"/>
        <v>41681.25</v>
      </c>
      <c r="AF211" s="3446">
        <f t="shared" si="54"/>
        <v>1.9853522409928384</v>
      </c>
      <c r="AG211" s="3404">
        <f t="shared" si="62"/>
        <v>44182.13</v>
      </c>
      <c r="AH211" s="3404">
        <v>2.2000000000000002</v>
      </c>
      <c r="AI211" s="3399">
        <f t="shared" si="63"/>
        <v>48958.91</v>
      </c>
      <c r="AJ211" s="3404">
        <f t="shared" si="66"/>
        <v>2.2549999999999999</v>
      </c>
      <c r="AK211" s="3404">
        <f t="shared" si="64"/>
        <v>50182.879999999997</v>
      </c>
      <c r="AL211" s="3404">
        <f t="shared" si="67"/>
        <v>2.3113749999999995</v>
      </c>
      <c r="AM211" s="3404">
        <f t="shared" si="65"/>
        <v>51437.45</v>
      </c>
      <c r="AN211" s="3404"/>
      <c r="AO211" s="3404"/>
      <c r="AP211" s="3404"/>
      <c r="AQ211" s="3404"/>
      <c r="AR211" s="3404"/>
      <c r="AS211" s="3404"/>
      <c r="AT211" s="3404"/>
      <c r="AU211" s="3404"/>
      <c r="AV211" s="3404"/>
      <c r="AW211" s="3404"/>
      <c r="AX211" s="3404"/>
      <c r="AY211" s="3404"/>
      <c r="AZ211" s="3404"/>
      <c r="BA211" s="3404"/>
      <c r="BB211" s="3404"/>
      <c r="BC211" s="3404"/>
      <c r="BD211" s="3404"/>
      <c r="BE211" s="3404"/>
      <c r="BF211" s="3404"/>
    </row>
    <row r="212" spans="1:58" s="3400" customFormat="1" ht="42.75">
      <c r="A212" s="3414" t="s">
        <v>3742</v>
      </c>
      <c r="B212" s="3414" t="s">
        <v>3743</v>
      </c>
      <c r="C212" s="3414" t="s">
        <v>3744</v>
      </c>
      <c r="D212" s="3414"/>
      <c r="E212" s="3414"/>
      <c r="F212" s="3414" t="s">
        <v>3216</v>
      </c>
      <c r="G212" s="3413" t="s">
        <v>3152</v>
      </c>
      <c r="H212" s="3414" t="s">
        <v>3669</v>
      </c>
      <c r="I212" s="3449">
        <v>0.06</v>
      </c>
      <c r="J212" s="3450">
        <v>42909</v>
      </c>
      <c r="K212" s="3485">
        <v>42917</v>
      </c>
      <c r="L212" s="3429">
        <v>44012</v>
      </c>
      <c r="M212" s="3430">
        <v>4.5</v>
      </c>
      <c r="N212" s="3414"/>
      <c r="O212" s="3413" t="s">
        <v>3155</v>
      </c>
      <c r="P212" s="3414" t="s">
        <v>3232</v>
      </c>
      <c r="Q212" s="3489" t="s">
        <v>3745</v>
      </c>
      <c r="R212" s="3420">
        <v>1</v>
      </c>
      <c r="S212" s="3420">
        <v>45.17</v>
      </c>
      <c r="T212" s="3490">
        <v>45.17</v>
      </c>
      <c r="U212" s="3420">
        <v>50</v>
      </c>
      <c r="V212" s="3414" t="s">
        <v>3158</v>
      </c>
      <c r="W212" s="3496" t="s">
        <v>3218</v>
      </c>
      <c r="X212" s="3422">
        <f t="shared" si="57"/>
        <v>2259</v>
      </c>
      <c r="Y212" s="3422">
        <f t="shared" si="58"/>
        <v>1.6670356431259683</v>
      </c>
      <c r="Z212" s="3433">
        <f t="shared" si="68"/>
        <v>1.6670356431259683</v>
      </c>
      <c r="AA212" s="3423">
        <f t="shared" si="59"/>
        <v>9864.2999999999993</v>
      </c>
      <c r="AB212" s="3407">
        <f t="shared" si="52"/>
        <v>1.7670577817135265</v>
      </c>
      <c r="AC212" s="3404">
        <f t="shared" si="60"/>
        <v>29133.57</v>
      </c>
      <c r="AD212" s="3446">
        <f t="shared" si="53"/>
        <v>1.8730812486163382</v>
      </c>
      <c r="AE212" s="3404">
        <f t="shared" si="61"/>
        <v>30881.58</v>
      </c>
      <c r="AF212" s="3446">
        <f t="shared" si="54"/>
        <v>1.9854661235333186</v>
      </c>
      <c r="AG212" s="3404">
        <f t="shared" si="62"/>
        <v>32734.48</v>
      </c>
      <c r="AH212" s="3404">
        <v>2.2000000000000002</v>
      </c>
      <c r="AI212" s="3399">
        <f t="shared" si="63"/>
        <v>36271.51</v>
      </c>
      <c r="AJ212" s="3404">
        <f t="shared" si="66"/>
        <v>2.2549999999999999</v>
      </c>
      <c r="AK212" s="3404">
        <f t="shared" si="64"/>
        <v>37178.300000000003</v>
      </c>
      <c r="AL212" s="3404">
        <f t="shared" si="67"/>
        <v>2.3113749999999995</v>
      </c>
      <c r="AM212" s="3404">
        <f t="shared" si="65"/>
        <v>38107.760000000002</v>
      </c>
      <c r="AN212" s="3404"/>
      <c r="AO212" s="3404"/>
      <c r="AP212" s="3404"/>
      <c r="AQ212" s="3404"/>
      <c r="AR212" s="3404"/>
      <c r="AS212" s="3404"/>
      <c r="AT212" s="3404"/>
      <c r="AU212" s="3404"/>
      <c r="AV212" s="3404"/>
      <c r="AW212" s="3404"/>
      <c r="AX212" s="3404"/>
      <c r="AY212" s="3404"/>
      <c r="AZ212" s="3404"/>
      <c r="BA212" s="3404"/>
      <c r="BB212" s="3404"/>
      <c r="BC212" s="3404"/>
      <c r="BD212" s="3404"/>
      <c r="BE212" s="3404"/>
      <c r="BF212" s="3404"/>
    </row>
    <row r="213" spans="1:58" s="3400" customFormat="1" ht="42.75">
      <c r="A213" s="3414" t="s">
        <v>3742</v>
      </c>
      <c r="B213" s="3414" t="s">
        <v>3743</v>
      </c>
      <c r="C213" s="3414" t="s">
        <v>3744</v>
      </c>
      <c r="D213" s="3414"/>
      <c r="E213" s="3414"/>
      <c r="F213" s="3414" t="s">
        <v>3216</v>
      </c>
      <c r="G213" s="3413" t="s">
        <v>3152</v>
      </c>
      <c r="H213" s="3414" t="s">
        <v>3669</v>
      </c>
      <c r="I213" s="3449">
        <v>0.06</v>
      </c>
      <c r="J213" s="3450">
        <v>42909</v>
      </c>
      <c r="K213" s="3485">
        <v>42917</v>
      </c>
      <c r="L213" s="3429">
        <v>44012</v>
      </c>
      <c r="M213" s="3430">
        <v>4.5</v>
      </c>
      <c r="N213" s="3414"/>
      <c r="O213" s="3413" t="s">
        <v>3155</v>
      </c>
      <c r="P213" s="3414" t="s">
        <v>3232</v>
      </c>
      <c r="Q213" s="3489" t="s">
        <v>3745</v>
      </c>
      <c r="R213" s="3420">
        <v>1</v>
      </c>
      <c r="S213" s="3420">
        <v>45.17</v>
      </c>
      <c r="T213" s="3490">
        <v>45.17</v>
      </c>
      <c r="U213" s="3420">
        <v>50</v>
      </c>
      <c r="V213" s="3414" t="s">
        <v>3158</v>
      </c>
      <c r="W213" s="3496" t="s">
        <v>3159</v>
      </c>
      <c r="X213" s="3422">
        <f t="shared" si="57"/>
        <v>2259</v>
      </c>
      <c r="Y213" s="3422">
        <f t="shared" si="58"/>
        <v>1.6670356431259683</v>
      </c>
      <c r="Z213" s="3433">
        <f t="shared" si="68"/>
        <v>1.6670356431259683</v>
      </c>
      <c r="AA213" s="3423">
        <f t="shared" si="59"/>
        <v>9864.2999999999993</v>
      </c>
      <c r="AB213" s="3407">
        <f t="shared" si="52"/>
        <v>1.7670577817135265</v>
      </c>
      <c r="AC213" s="3404">
        <f t="shared" si="60"/>
        <v>29133.57</v>
      </c>
      <c r="AD213" s="3446">
        <f t="shared" si="53"/>
        <v>1.8730812486163382</v>
      </c>
      <c r="AE213" s="3404">
        <f t="shared" si="61"/>
        <v>30881.58</v>
      </c>
      <c r="AF213" s="3446">
        <f t="shared" si="54"/>
        <v>1.9854661235333186</v>
      </c>
      <c r="AG213" s="3404">
        <f t="shared" si="62"/>
        <v>32734.48</v>
      </c>
      <c r="AH213" s="3404">
        <v>2.2000000000000002</v>
      </c>
      <c r="AI213" s="3399">
        <f t="shared" si="63"/>
        <v>36271.51</v>
      </c>
      <c r="AJ213" s="3404">
        <f t="shared" si="66"/>
        <v>2.2549999999999999</v>
      </c>
      <c r="AK213" s="3404">
        <f t="shared" si="64"/>
        <v>37178.300000000003</v>
      </c>
      <c r="AL213" s="3404">
        <f t="shared" si="67"/>
        <v>2.3113749999999995</v>
      </c>
      <c r="AM213" s="3404">
        <f t="shared" si="65"/>
        <v>38107.760000000002</v>
      </c>
      <c r="AN213" s="3404"/>
      <c r="AO213" s="3404"/>
      <c r="AP213" s="3404"/>
      <c r="AQ213" s="3404"/>
      <c r="AR213" s="3404"/>
      <c r="AS213" s="3404"/>
      <c r="AT213" s="3404"/>
      <c r="AU213" s="3404"/>
      <c r="AV213" s="3404"/>
      <c r="AW213" s="3404"/>
      <c r="AX213" s="3404"/>
      <c r="AY213" s="3404"/>
      <c r="AZ213" s="3404"/>
      <c r="BA213" s="3404"/>
      <c r="BB213" s="3404"/>
      <c r="BC213" s="3404"/>
      <c r="BD213" s="3404"/>
      <c r="BE213" s="3404"/>
      <c r="BF213" s="3404"/>
    </row>
    <row r="214" spans="1:58" s="3400" customFormat="1" ht="42.75">
      <c r="A214" s="3414" t="s">
        <v>3746</v>
      </c>
      <c r="B214" s="3414" t="s">
        <v>3747</v>
      </c>
      <c r="C214" s="3414" t="s">
        <v>3748</v>
      </c>
      <c r="D214" s="3414"/>
      <c r="E214" s="3414" t="s">
        <v>3200</v>
      </c>
      <c r="F214" s="3414" t="s">
        <v>3216</v>
      </c>
      <c r="G214" s="3413" t="s">
        <v>3152</v>
      </c>
      <c r="H214" s="3414" t="s">
        <v>3749</v>
      </c>
      <c r="I214" s="3449">
        <v>0.06</v>
      </c>
      <c r="J214" s="3450">
        <v>42915</v>
      </c>
      <c r="K214" s="3485">
        <v>42963</v>
      </c>
      <c r="L214" s="3429">
        <v>44058</v>
      </c>
      <c r="M214" s="3430">
        <v>12</v>
      </c>
      <c r="N214" s="3414"/>
      <c r="O214" s="3413" t="s">
        <v>3652</v>
      </c>
      <c r="P214" s="3414" t="s">
        <v>3750</v>
      </c>
      <c r="Q214" s="3489" t="s">
        <v>3751</v>
      </c>
      <c r="R214" s="3420">
        <v>1</v>
      </c>
      <c r="S214" s="3420">
        <v>186.6</v>
      </c>
      <c r="T214" s="3490">
        <v>186.6</v>
      </c>
      <c r="U214" s="3420">
        <v>40</v>
      </c>
      <c r="V214" s="3414" t="s">
        <v>3158</v>
      </c>
      <c r="W214" s="3496" t="s">
        <v>3218</v>
      </c>
      <c r="X214" s="3422">
        <f t="shared" si="57"/>
        <v>7464</v>
      </c>
      <c r="Y214" s="3422">
        <f t="shared" si="58"/>
        <v>1.3333333333333333</v>
      </c>
      <c r="Z214" s="3433">
        <f t="shared" si="68"/>
        <v>1.3333333333333333</v>
      </c>
      <c r="AA214" s="3423">
        <f t="shared" si="59"/>
        <v>32592.799999999999</v>
      </c>
      <c r="AB214" s="3407">
        <f t="shared" si="52"/>
        <v>1.4133333333333333</v>
      </c>
      <c r="AC214" s="3404">
        <f t="shared" si="60"/>
        <v>96260.72</v>
      </c>
      <c r="AD214" s="3446">
        <f t="shared" si="53"/>
        <v>1.4981333333333333</v>
      </c>
      <c r="AE214" s="3404">
        <f t="shared" si="61"/>
        <v>102036.36</v>
      </c>
      <c r="AF214" s="3446">
        <f t="shared" si="54"/>
        <v>1.5880213333333333</v>
      </c>
      <c r="AG214" s="3404">
        <f t="shared" si="62"/>
        <v>108158.54</v>
      </c>
      <c r="AH214" s="3404">
        <v>2.2000000000000002</v>
      </c>
      <c r="AI214" s="3399">
        <f t="shared" si="63"/>
        <v>149839.79999999999</v>
      </c>
      <c r="AJ214" s="3404">
        <f t="shared" si="66"/>
        <v>2.2549999999999999</v>
      </c>
      <c r="AK214" s="3404">
        <f t="shared" si="64"/>
        <v>153585.79999999999</v>
      </c>
      <c r="AL214" s="3404">
        <f t="shared" si="67"/>
        <v>2.3113749999999995</v>
      </c>
      <c r="AM214" s="3404">
        <f t="shared" si="65"/>
        <v>157425.44</v>
      </c>
      <c r="AN214" s="3404"/>
      <c r="AO214" s="3404"/>
      <c r="AP214" s="3404"/>
      <c r="AQ214" s="3404"/>
      <c r="AR214" s="3404"/>
      <c r="AS214" s="3404"/>
      <c r="AT214" s="3404"/>
      <c r="AU214" s="3404"/>
      <c r="AV214" s="3404"/>
      <c r="AW214" s="3404"/>
      <c r="AX214" s="3404"/>
      <c r="AY214" s="3404"/>
      <c r="AZ214" s="3404"/>
      <c r="BA214" s="3404"/>
      <c r="BB214" s="3404"/>
      <c r="BC214" s="3404"/>
      <c r="BD214" s="3404"/>
      <c r="BE214" s="3404"/>
      <c r="BF214" s="3404"/>
    </row>
    <row r="215" spans="1:58" s="3400" customFormat="1" ht="42.75">
      <c r="A215" s="3414" t="s">
        <v>3746</v>
      </c>
      <c r="B215" s="3414" t="s">
        <v>3747</v>
      </c>
      <c r="C215" s="3414" t="s">
        <v>3748</v>
      </c>
      <c r="D215" s="3414"/>
      <c r="E215" s="3414" t="s">
        <v>3200</v>
      </c>
      <c r="F215" s="3414" t="s">
        <v>3216</v>
      </c>
      <c r="G215" s="3413" t="s">
        <v>3152</v>
      </c>
      <c r="H215" s="3414" t="s">
        <v>3749</v>
      </c>
      <c r="I215" s="3449">
        <v>0.06</v>
      </c>
      <c r="J215" s="3450">
        <v>42915</v>
      </c>
      <c r="K215" s="3485">
        <v>42963</v>
      </c>
      <c r="L215" s="3429">
        <v>44058</v>
      </c>
      <c r="M215" s="3430">
        <v>12</v>
      </c>
      <c r="N215" s="3414"/>
      <c r="O215" s="3413" t="s">
        <v>3652</v>
      </c>
      <c r="P215" s="3414" t="s">
        <v>3750</v>
      </c>
      <c r="Q215" s="3489" t="s">
        <v>3751</v>
      </c>
      <c r="R215" s="3420">
        <v>1</v>
      </c>
      <c r="S215" s="3420">
        <v>186.6</v>
      </c>
      <c r="T215" s="3490">
        <v>186.6</v>
      </c>
      <c r="U215" s="3420">
        <v>40</v>
      </c>
      <c r="V215" s="3414" t="s">
        <v>3158</v>
      </c>
      <c r="W215" s="3496" t="s">
        <v>3159</v>
      </c>
      <c r="X215" s="3422">
        <f t="shared" si="57"/>
        <v>7464</v>
      </c>
      <c r="Y215" s="3422">
        <f t="shared" si="58"/>
        <v>1.3333333333333333</v>
      </c>
      <c r="Z215" s="3433">
        <f t="shared" si="68"/>
        <v>1.3333333333333333</v>
      </c>
      <c r="AA215" s="3423">
        <f t="shared" si="59"/>
        <v>32592.799999999999</v>
      </c>
      <c r="AB215" s="3407">
        <f t="shared" si="52"/>
        <v>1.4133333333333333</v>
      </c>
      <c r="AC215" s="3404">
        <f t="shared" si="60"/>
        <v>96260.72</v>
      </c>
      <c r="AD215" s="3446">
        <f t="shared" si="53"/>
        <v>1.4981333333333333</v>
      </c>
      <c r="AE215" s="3404">
        <f t="shared" si="61"/>
        <v>102036.36</v>
      </c>
      <c r="AF215" s="3446">
        <f t="shared" si="54"/>
        <v>1.5880213333333333</v>
      </c>
      <c r="AG215" s="3404">
        <f t="shared" si="62"/>
        <v>108158.54</v>
      </c>
      <c r="AH215" s="3404">
        <v>2.2000000000000002</v>
      </c>
      <c r="AI215" s="3399">
        <f t="shared" si="63"/>
        <v>149839.79999999999</v>
      </c>
      <c r="AJ215" s="3404">
        <f t="shared" si="66"/>
        <v>2.2549999999999999</v>
      </c>
      <c r="AK215" s="3404">
        <f t="shared" si="64"/>
        <v>153585.79999999999</v>
      </c>
      <c r="AL215" s="3404">
        <f t="shared" si="67"/>
        <v>2.3113749999999995</v>
      </c>
      <c r="AM215" s="3404">
        <f t="shared" si="65"/>
        <v>157425.44</v>
      </c>
      <c r="AN215" s="3404"/>
      <c r="AO215" s="3404"/>
      <c r="AP215" s="3404"/>
      <c r="AQ215" s="3404"/>
      <c r="AR215" s="3404"/>
      <c r="AS215" s="3404"/>
      <c r="AT215" s="3404"/>
      <c r="AU215" s="3404"/>
      <c r="AV215" s="3404"/>
      <c r="AW215" s="3404"/>
      <c r="AX215" s="3404"/>
      <c r="AY215" s="3404"/>
      <c r="AZ215" s="3404"/>
      <c r="BA215" s="3404"/>
      <c r="BB215" s="3404"/>
      <c r="BC215" s="3404"/>
      <c r="BD215" s="3404"/>
      <c r="BE215" s="3404"/>
      <c r="BF215" s="3404"/>
    </row>
    <row r="216" spans="1:58" s="3400" customFormat="1" ht="42.75">
      <c r="A216" s="3414" t="s">
        <v>3752</v>
      </c>
      <c r="B216" s="3414" t="s">
        <v>3753</v>
      </c>
      <c r="C216" s="3414" t="s">
        <v>3754</v>
      </c>
      <c r="D216" s="3414" t="s">
        <v>3755</v>
      </c>
      <c r="E216" s="3414" t="s">
        <v>3200</v>
      </c>
      <c r="F216" s="3414" t="s">
        <v>3216</v>
      </c>
      <c r="G216" s="3413" t="s">
        <v>3152</v>
      </c>
      <c r="H216" s="3414" t="s">
        <v>3756</v>
      </c>
      <c r="I216" s="3449">
        <v>0.06</v>
      </c>
      <c r="J216" s="3450">
        <v>42925</v>
      </c>
      <c r="K216" s="3485">
        <v>42979</v>
      </c>
      <c r="L216" s="3429">
        <v>44074</v>
      </c>
      <c r="M216" s="3430">
        <v>12</v>
      </c>
      <c r="N216" s="3414"/>
      <c r="O216" s="3413" t="s">
        <v>3363</v>
      </c>
      <c r="P216" s="3414" t="s">
        <v>3589</v>
      </c>
      <c r="Q216" s="3489" t="s">
        <v>3757</v>
      </c>
      <c r="R216" s="3420">
        <v>3</v>
      </c>
      <c r="S216" s="3420">
        <v>230.6</v>
      </c>
      <c r="T216" s="3490">
        <v>230.6</v>
      </c>
      <c r="U216" s="3420">
        <v>50</v>
      </c>
      <c r="V216" s="3414" t="s">
        <v>3158</v>
      </c>
      <c r="W216" s="3496" t="s">
        <v>3218</v>
      </c>
      <c r="X216" s="3422">
        <f t="shared" si="57"/>
        <v>11530</v>
      </c>
      <c r="Y216" s="3422">
        <f t="shared" si="58"/>
        <v>1.6666666666666667</v>
      </c>
      <c r="Z216" s="3433">
        <f t="shared" si="68"/>
        <v>1.6666666666666667</v>
      </c>
      <c r="AA216" s="3423">
        <f t="shared" si="59"/>
        <v>50347.67</v>
      </c>
      <c r="AB216" s="3407">
        <f t="shared" si="52"/>
        <v>1.7666666666666668</v>
      </c>
      <c r="AC216" s="3404">
        <f t="shared" si="60"/>
        <v>148698.57</v>
      </c>
      <c r="AD216" s="3446">
        <f t="shared" si="53"/>
        <v>1.8726666666666669</v>
      </c>
      <c r="AE216" s="3404">
        <f t="shared" si="61"/>
        <v>157620.48000000001</v>
      </c>
      <c r="AF216" s="3446">
        <f t="shared" si="54"/>
        <v>1.9850266666666669</v>
      </c>
      <c r="AG216" s="3404">
        <f t="shared" si="62"/>
        <v>167077.71</v>
      </c>
      <c r="AH216" s="3404">
        <v>2.2000000000000002</v>
      </c>
      <c r="AI216" s="3399">
        <f t="shared" si="63"/>
        <v>185171.8</v>
      </c>
      <c r="AJ216" s="3404">
        <f t="shared" si="66"/>
        <v>2.2549999999999999</v>
      </c>
      <c r="AK216" s="3404">
        <f t="shared" si="64"/>
        <v>189801.1</v>
      </c>
      <c r="AL216" s="3404">
        <f t="shared" si="67"/>
        <v>2.3113749999999995</v>
      </c>
      <c r="AM216" s="3404">
        <f t="shared" si="65"/>
        <v>194546.12</v>
      </c>
      <c r="AN216" s="3404"/>
      <c r="AO216" s="3404"/>
      <c r="AP216" s="3404"/>
      <c r="AQ216" s="3404"/>
      <c r="AR216" s="3404"/>
      <c r="AS216" s="3404"/>
      <c r="AT216" s="3404"/>
      <c r="AU216" s="3404"/>
      <c r="AV216" s="3404"/>
      <c r="AW216" s="3404"/>
      <c r="AX216" s="3404"/>
      <c r="AY216" s="3404"/>
      <c r="AZ216" s="3404"/>
      <c r="BA216" s="3404"/>
      <c r="BB216" s="3404"/>
      <c r="BC216" s="3404"/>
      <c r="BD216" s="3404"/>
      <c r="BE216" s="3404"/>
      <c r="BF216" s="3404"/>
    </row>
    <row r="217" spans="1:58" s="3400" customFormat="1" ht="42.75">
      <c r="A217" s="3414" t="s">
        <v>3752</v>
      </c>
      <c r="B217" s="3414" t="s">
        <v>3753</v>
      </c>
      <c r="C217" s="3414" t="s">
        <v>3754</v>
      </c>
      <c r="D217" s="3414" t="s">
        <v>3755</v>
      </c>
      <c r="E217" s="3414" t="s">
        <v>3200</v>
      </c>
      <c r="F217" s="3414" t="s">
        <v>3216</v>
      </c>
      <c r="G217" s="3413" t="s">
        <v>3152</v>
      </c>
      <c r="H217" s="3414" t="s">
        <v>3756</v>
      </c>
      <c r="I217" s="3449">
        <v>0.06</v>
      </c>
      <c r="J217" s="3450">
        <v>42925</v>
      </c>
      <c r="K217" s="3485">
        <v>42979</v>
      </c>
      <c r="L217" s="3429">
        <v>44074</v>
      </c>
      <c r="M217" s="3430">
        <v>12</v>
      </c>
      <c r="N217" s="3414"/>
      <c r="O217" s="3413" t="s">
        <v>3363</v>
      </c>
      <c r="P217" s="3414" t="s">
        <v>3589</v>
      </c>
      <c r="Q217" s="3489" t="s">
        <v>3757</v>
      </c>
      <c r="R217" s="3420">
        <v>3</v>
      </c>
      <c r="S217" s="3420">
        <v>230.6</v>
      </c>
      <c r="T217" s="3490">
        <v>230.6</v>
      </c>
      <c r="U217" s="3420">
        <v>50</v>
      </c>
      <c r="V217" s="3414" t="s">
        <v>3158</v>
      </c>
      <c r="W217" s="3496" t="s">
        <v>3159</v>
      </c>
      <c r="X217" s="3422">
        <f t="shared" si="57"/>
        <v>11530</v>
      </c>
      <c r="Y217" s="3422">
        <f t="shared" si="58"/>
        <v>1.6666666666666667</v>
      </c>
      <c r="Z217" s="3433">
        <f t="shared" si="68"/>
        <v>1.6666666666666667</v>
      </c>
      <c r="AA217" s="3423">
        <f t="shared" si="59"/>
        <v>50347.67</v>
      </c>
      <c r="AB217" s="3407">
        <f t="shared" si="52"/>
        <v>1.7666666666666668</v>
      </c>
      <c r="AC217" s="3404">
        <f t="shared" si="60"/>
        <v>148698.57</v>
      </c>
      <c r="AD217" s="3446">
        <f t="shared" si="53"/>
        <v>1.8726666666666669</v>
      </c>
      <c r="AE217" s="3404">
        <f t="shared" si="61"/>
        <v>157620.48000000001</v>
      </c>
      <c r="AF217" s="3446">
        <f t="shared" si="54"/>
        <v>1.9850266666666669</v>
      </c>
      <c r="AG217" s="3404">
        <f t="shared" si="62"/>
        <v>167077.71</v>
      </c>
      <c r="AH217" s="3404">
        <v>2.2000000000000002</v>
      </c>
      <c r="AI217" s="3399">
        <f t="shared" si="63"/>
        <v>185171.8</v>
      </c>
      <c r="AJ217" s="3404">
        <f t="shared" si="66"/>
        <v>2.2549999999999999</v>
      </c>
      <c r="AK217" s="3404">
        <f t="shared" si="64"/>
        <v>189801.1</v>
      </c>
      <c r="AL217" s="3404">
        <f t="shared" si="67"/>
        <v>2.3113749999999995</v>
      </c>
      <c r="AM217" s="3404">
        <f t="shared" si="65"/>
        <v>194546.12</v>
      </c>
      <c r="AN217" s="3404"/>
      <c r="AO217" s="3404"/>
      <c r="AP217" s="3404"/>
      <c r="AQ217" s="3404"/>
      <c r="AR217" s="3404"/>
      <c r="AS217" s="3404"/>
      <c r="AT217" s="3404"/>
      <c r="AU217" s="3404"/>
      <c r="AV217" s="3404"/>
      <c r="AW217" s="3404"/>
      <c r="AX217" s="3404"/>
      <c r="AY217" s="3404"/>
      <c r="AZ217" s="3404"/>
      <c r="BA217" s="3404"/>
      <c r="BB217" s="3404"/>
      <c r="BC217" s="3404"/>
      <c r="BD217" s="3404"/>
      <c r="BE217" s="3404"/>
      <c r="BF217" s="3404"/>
    </row>
    <row r="218" spans="1:58" s="3400" customFormat="1" ht="42.75">
      <c r="A218" s="3414" t="s">
        <v>3758</v>
      </c>
      <c r="B218" s="3414" t="s">
        <v>3759</v>
      </c>
      <c r="C218" s="3414" t="s">
        <v>3760</v>
      </c>
      <c r="D218" s="3414"/>
      <c r="E218" s="3414"/>
      <c r="F218" s="3414" t="s">
        <v>3216</v>
      </c>
      <c r="G218" s="3413" t="s">
        <v>3152</v>
      </c>
      <c r="H218" s="3414" t="s">
        <v>3756</v>
      </c>
      <c r="I218" s="3449">
        <v>0.06</v>
      </c>
      <c r="J218" s="3450">
        <v>42921</v>
      </c>
      <c r="K218" s="3485">
        <v>42979</v>
      </c>
      <c r="L218" s="3429">
        <v>44074</v>
      </c>
      <c r="M218" s="3430">
        <v>12</v>
      </c>
      <c r="N218" s="3414"/>
      <c r="O218" s="3413" t="s">
        <v>3652</v>
      </c>
      <c r="P218" s="3414" t="s">
        <v>3691</v>
      </c>
      <c r="Q218" s="3489" t="s">
        <v>3761</v>
      </c>
      <c r="R218" s="3420">
        <v>1</v>
      </c>
      <c r="S218" s="3420">
        <v>59.71</v>
      </c>
      <c r="T218" s="3490">
        <v>59.71</v>
      </c>
      <c r="U218" s="3420">
        <v>40</v>
      </c>
      <c r="V218" s="3414" t="s">
        <v>3158</v>
      </c>
      <c r="W218" s="3496" t="s">
        <v>3218</v>
      </c>
      <c r="X218" s="3422">
        <f t="shared" si="57"/>
        <v>2388</v>
      </c>
      <c r="Y218" s="3422">
        <f t="shared" si="58"/>
        <v>1.3331100318204654</v>
      </c>
      <c r="Z218" s="3433">
        <f t="shared" si="68"/>
        <v>1.3331100318204654</v>
      </c>
      <c r="AA218" s="3423">
        <f t="shared" si="59"/>
        <v>10427.6</v>
      </c>
      <c r="AB218" s="3407">
        <f t="shared" si="52"/>
        <v>1.4130966337296933</v>
      </c>
      <c r="AC218" s="3404">
        <f t="shared" si="60"/>
        <v>30797.24</v>
      </c>
      <c r="AD218" s="3446">
        <f t="shared" si="53"/>
        <v>1.4978824317534749</v>
      </c>
      <c r="AE218" s="3404">
        <f t="shared" si="61"/>
        <v>32645.07</v>
      </c>
      <c r="AF218" s="3446">
        <f t="shared" si="54"/>
        <v>1.5877553776586835</v>
      </c>
      <c r="AG218" s="3404">
        <f t="shared" si="62"/>
        <v>34603.78</v>
      </c>
      <c r="AH218" s="3404">
        <v>2.2000000000000002</v>
      </c>
      <c r="AI218" s="3399">
        <f t="shared" si="63"/>
        <v>47947.13</v>
      </c>
      <c r="AJ218" s="3404">
        <f t="shared" si="66"/>
        <v>2.2549999999999999</v>
      </c>
      <c r="AK218" s="3404">
        <f t="shared" si="64"/>
        <v>49145.81</v>
      </c>
      <c r="AL218" s="3404">
        <f t="shared" si="67"/>
        <v>2.3113749999999995</v>
      </c>
      <c r="AM218" s="3404">
        <f t="shared" si="65"/>
        <v>50374.45</v>
      </c>
      <c r="AN218" s="3404"/>
      <c r="AO218" s="3404"/>
      <c r="AP218" s="3404"/>
      <c r="AQ218" s="3404"/>
      <c r="AR218" s="3404"/>
      <c r="AS218" s="3404"/>
      <c r="AT218" s="3404"/>
      <c r="AU218" s="3404"/>
      <c r="AV218" s="3404"/>
      <c r="AW218" s="3404"/>
      <c r="AX218" s="3404"/>
      <c r="AY218" s="3404"/>
      <c r="AZ218" s="3404"/>
      <c r="BA218" s="3404"/>
      <c r="BB218" s="3404"/>
      <c r="BC218" s="3404"/>
      <c r="BD218" s="3404"/>
      <c r="BE218" s="3404"/>
      <c r="BF218" s="3404"/>
    </row>
    <row r="219" spans="1:58" s="3400" customFormat="1" ht="42.75">
      <c r="A219" s="3414" t="s">
        <v>3758</v>
      </c>
      <c r="B219" s="3414" t="s">
        <v>3759</v>
      </c>
      <c r="C219" s="3414" t="s">
        <v>3760</v>
      </c>
      <c r="D219" s="3414"/>
      <c r="E219" s="3414"/>
      <c r="F219" s="3414" t="s">
        <v>3216</v>
      </c>
      <c r="G219" s="3413" t="s">
        <v>3152</v>
      </c>
      <c r="H219" s="3414" t="s">
        <v>3756</v>
      </c>
      <c r="I219" s="3449">
        <v>0.06</v>
      </c>
      <c r="J219" s="3450">
        <v>42921</v>
      </c>
      <c r="K219" s="3485">
        <v>42979</v>
      </c>
      <c r="L219" s="3429">
        <v>44074</v>
      </c>
      <c r="M219" s="3430">
        <v>12</v>
      </c>
      <c r="N219" s="3414"/>
      <c r="O219" s="3413" t="s">
        <v>3652</v>
      </c>
      <c r="P219" s="3414" t="s">
        <v>3691</v>
      </c>
      <c r="Q219" s="3489" t="s">
        <v>3761</v>
      </c>
      <c r="R219" s="3420">
        <v>1</v>
      </c>
      <c r="S219" s="3420">
        <v>59.71</v>
      </c>
      <c r="T219" s="3490">
        <v>59.71</v>
      </c>
      <c r="U219" s="3420">
        <v>40</v>
      </c>
      <c r="V219" s="3414" t="s">
        <v>3158</v>
      </c>
      <c r="W219" s="3496" t="s">
        <v>3159</v>
      </c>
      <c r="X219" s="3422">
        <f t="shared" si="57"/>
        <v>2388</v>
      </c>
      <c r="Y219" s="3422">
        <f t="shared" si="58"/>
        <v>1.3331100318204654</v>
      </c>
      <c r="Z219" s="3433">
        <f t="shared" si="68"/>
        <v>1.3331100318204654</v>
      </c>
      <c r="AA219" s="3423">
        <f t="shared" si="59"/>
        <v>10427.6</v>
      </c>
      <c r="AB219" s="3407">
        <f t="shared" si="52"/>
        <v>1.4130966337296933</v>
      </c>
      <c r="AC219" s="3404">
        <f t="shared" si="60"/>
        <v>30797.24</v>
      </c>
      <c r="AD219" s="3446">
        <f t="shared" si="53"/>
        <v>1.4978824317534749</v>
      </c>
      <c r="AE219" s="3404">
        <f t="shared" si="61"/>
        <v>32645.07</v>
      </c>
      <c r="AF219" s="3446">
        <f t="shared" si="54"/>
        <v>1.5877553776586835</v>
      </c>
      <c r="AG219" s="3404">
        <f t="shared" si="62"/>
        <v>34603.78</v>
      </c>
      <c r="AH219" s="3404">
        <v>2.2000000000000002</v>
      </c>
      <c r="AI219" s="3399">
        <f t="shared" si="63"/>
        <v>47947.13</v>
      </c>
      <c r="AJ219" s="3404">
        <f t="shared" si="66"/>
        <v>2.2549999999999999</v>
      </c>
      <c r="AK219" s="3404">
        <f t="shared" si="64"/>
        <v>49145.81</v>
      </c>
      <c r="AL219" s="3404">
        <f t="shared" si="67"/>
        <v>2.3113749999999995</v>
      </c>
      <c r="AM219" s="3404">
        <f t="shared" si="65"/>
        <v>50374.45</v>
      </c>
      <c r="AN219" s="3404"/>
      <c r="AO219" s="3404"/>
      <c r="AP219" s="3404"/>
      <c r="AQ219" s="3404"/>
      <c r="AR219" s="3404"/>
      <c r="AS219" s="3404"/>
      <c r="AT219" s="3404"/>
      <c r="AU219" s="3404"/>
      <c r="AV219" s="3404"/>
      <c r="AW219" s="3404"/>
      <c r="AX219" s="3404"/>
      <c r="AY219" s="3404"/>
      <c r="AZ219" s="3404"/>
      <c r="BA219" s="3404"/>
      <c r="BB219" s="3404"/>
      <c r="BC219" s="3404"/>
      <c r="BD219" s="3404"/>
      <c r="BE219" s="3404"/>
      <c r="BF219" s="3404"/>
    </row>
    <row r="220" spans="1:58" s="3400" customFormat="1" ht="42.75">
      <c r="A220" s="3414" t="s">
        <v>3762</v>
      </c>
      <c r="B220" s="3414" t="s">
        <v>3763</v>
      </c>
      <c r="C220" s="3414" t="s">
        <v>3764</v>
      </c>
      <c r="D220" s="3414"/>
      <c r="E220" s="3414"/>
      <c r="F220" s="3414" t="s">
        <v>3216</v>
      </c>
      <c r="G220" s="3413" t="s">
        <v>3152</v>
      </c>
      <c r="H220" s="3414" t="s">
        <v>3709</v>
      </c>
      <c r="I220" s="3449">
        <v>0.06</v>
      </c>
      <c r="J220" s="3450">
        <v>42929</v>
      </c>
      <c r="K220" s="3485">
        <v>42994</v>
      </c>
      <c r="L220" s="3429">
        <v>44089</v>
      </c>
      <c r="M220" s="3430">
        <v>12</v>
      </c>
      <c r="N220" s="3414"/>
      <c r="O220" s="3413" t="s">
        <v>3652</v>
      </c>
      <c r="P220" s="3414" t="s">
        <v>3736</v>
      </c>
      <c r="Q220" s="3489" t="s">
        <v>3765</v>
      </c>
      <c r="R220" s="3420">
        <v>1</v>
      </c>
      <c r="S220" s="3420">
        <v>136.05000000000001</v>
      </c>
      <c r="T220" s="3490">
        <v>136.05000000000001</v>
      </c>
      <c r="U220" s="3420">
        <v>20</v>
      </c>
      <c r="V220" s="3414" t="s">
        <v>3158</v>
      </c>
      <c r="W220" s="3496" t="s">
        <v>3218</v>
      </c>
      <c r="X220" s="3422">
        <f t="shared" si="57"/>
        <v>2721</v>
      </c>
      <c r="Y220" s="3422">
        <f t="shared" si="58"/>
        <v>0.66666666666666663</v>
      </c>
      <c r="Z220" s="3433">
        <f t="shared" si="68"/>
        <v>0.66666666666666663</v>
      </c>
      <c r="AA220" s="3423">
        <f t="shared" si="59"/>
        <v>11881.7</v>
      </c>
      <c r="AB220" s="3407">
        <f t="shared" si="52"/>
        <v>0.70666666666666667</v>
      </c>
      <c r="AC220" s="3404">
        <f t="shared" si="60"/>
        <v>35091.83</v>
      </c>
      <c r="AD220" s="3446">
        <f t="shared" si="53"/>
        <v>0.74906666666666666</v>
      </c>
      <c r="AE220" s="3404">
        <f t="shared" si="61"/>
        <v>37197.339999999997</v>
      </c>
      <c r="AF220" s="3446">
        <f t="shared" si="54"/>
        <v>0.79401066666666664</v>
      </c>
      <c r="AG220" s="3404">
        <f t="shared" si="62"/>
        <v>39429.18</v>
      </c>
      <c r="AH220" s="3404">
        <v>2.2000000000000002</v>
      </c>
      <c r="AI220" s="3399">
        <f t="shared" si="63"/>
        <v>109248.15</v>
      </c>
      <c r="AJ220" s="3404">
        <f t="shared" si="66"/>
        <v>2.2549999999999999</v>
      </c>
      <c r="AK220" s="3404">
        <f t="shared" si="64"/>
        <v>111979.35</v>
      </c>
      <c r="AL220" s="3404">
        <f t="shared" si="67"/>
        <v>2.3113749999999995</v>
      </c>
      <c r="AM220" s="3404">
        <f t="shared" si="65"/>
        <v>114778.84</v>
      </c>
      <c r="AN220" s="3404"/>
      <c r="AO220" s="3404"/>
      <c r="AP220" s="3404"/>
      <c r="AQ220" s="3404"/>
      <c r="AR220" s="3404"/>
      <c r="AS220" s="3404"/>
      <c r="AT220" s="3404"/>
      <c r="AU220" s="3404"/>
      <c r="AV220" s="3404"/>
      <c r="AW220" s="3404"/>
      <c r="AX220" s="3404"/>
      <c r="AY220" s="3404"/>
      <c r="AZ220" s="3404"/>
      <c r="BA220" s="3404"/>
      <c r="BB220" s="3404"/>
      <c r="BC220" s="3404"/>
      <c r="BD220" s="3404"/>
      <c r="BE220" s="3404"/>
      <c r="BF220" s="3404"/>
    </row>
    <row r="221" spans="1:58" s="3400" customFormat="1" ht="42.75">
      <c r="A221" s="3414" t="s">
        <v>3762</v>
      </c>
      <c r="B221" s="3414" t="s">
        <v>3763</v>
      </c>
      <c r="C221" s="3414" t="s">
        <v>3764</v>
      </c>
      <c r="D221" s="3414"/>
      <c r="E221" s="3414"/>
      <c r="F221" s="3414" t="s">
        <v>3216</v>
      </c>
      <c r="G221" s="3413" t="s">
        <v>3152</v>
      </c>
      <c r="H221" s="3414" t="s">
        <v>3709</v>
      </c>
      <c r="I221" s="3449">
        <v>0.06</v>
      </c>
      <c r="J221" s="3450">
        <v>42929</v>
      </c>
      <c r="K221" s="3485">
        <v>42994</v>
      </c>
      <c r="L221" s="3429">
        <v>44089</v>
      </c>
      <c r="M221" s="3430">
        <v>12</v>
      </c>
      <c r="N221" s="3414"/>
      <c r="O221" s="3413" t="s">
        <v>3652</v>
      </c>
      <c r="P221" s="3414" t="s">
        <v>3736</v>
      </c>
      <c r="Q221" s="3489" t="s">
        <v>3765</v>
      </c>
      <c r="R221" s="3420">
        <v>1</v>
      </c>
      <c r="S221" s="3420">
        <v>136.05000000000001</v>
      </c>
      <c r="T221" s="3490">
        <v>136.05000000000001</v>
      </c>
      <c r="U221" s="3420">
        <v>20</v>
      </c>
      <c r="V221" s="3414" t="s">
        <v>3158</v>
      </c>
      <c r="W221" s="3496" t="s">
        <v>3159</v>
      </c>
      <c r="X221" s="3422">
        <f t="shared" si="57"/>
        <v>2721</v>
      </c>
      <c r="Y221" s="3422">
        <f t="shared" si="58"/>
        <v>0.66666666666666663</v>
      </c>
      <c r="Z221" s="3433">
        <f t="shared" si="68"/>
        <v>0.66666666666666663</v>
      </c>
      <c r="AA221" s="3423">
        <f t="shared" si="59"/>
        <v>11881.7</v>
      </c>
      <c r="AB221" s="3407">
        <f t="shared" si="52"/>
        <v>0.70666666666666667</v>
      </c>
      <c r="AC221" s="3404">
        <f t="shared" si="60"/>
        <v>35091.83</v>
      </c>
      <c r="AD221" s="3446">
        <f t="shared" si="53"/>
        <v>0.74906666666666666</v>
      </c>
      <c r="AE221" s="3404">
        <f t="shared" si="61"/>
        <v>37197.339999999997</v>
      </c>
      <c r="AF221" s="3446">
        <f t="shared" si="54"/>
        <v>0.79401066666666664</v>
      </c>
      <c r="AG221" s="3404">
        <f t="shared" si="62"/>
        <v>39429.18</v>
      </c>
      <c r="AH221" s="3404">
        <v>2.2000000000000002</v>
      </c>
      <c r="AI221" s="3399">
        <f t="shared" si="63"/>
        <v>109248.15</v>
      </c>
      <c r="AJ221" s="3404">
        <f t="shared" si="66"/>
        <v>2.2549999999999999</v>
      </c>
      <c r="AK221" s="3404">
        <f t="shared" si="64"/>
        <v>111979.35</v>
      </c>
      <c r="AL221" s="3404">
        <f t="shared" si="67"/>
        <v>2.3113749999999995</v>
      </c>
      <c r="AM221" s="3404">
        <f t="shared" si="65"/>
        <v>114778.84</v>
      </c>
      <c r="AN221" s="3404"/>
      <c r="AO221" s="3404"/>
      <c r="AP221" s="3404"/>
      <c r="AQ221" s="3404"/>
      <c r="AR221" s="3404"/>
      <c r="AS221" s="3404"/>
      <c r="AT221" s="3404"/>
      <c r="AU221" s="3404"/>
      <c r="AV221" s="3404"/>
      <c r="AW221" s="3404"/>
      <c r="AX221" s="3404"/>
      <c r="AY221" s="3404"/>
      <c r="AZ221" s="3404"/>
      <c r="BA221" s="3404"/>
      <c r="BB221" s="3404"/>
      <c r="BC221" s="3404"/>
      <c r="BD221" s="3404"/>
      <c r="BE221" s="3404"/>
      <c r="BF221" s="3404"/>
    </row>
    <row r="222" spans="1:58" s="3400" customFormat="1" ht="42.75">
      <c r="A222" s="3414" t="s">
        <v>3766</v>
      </c>
      <c r="B222" s="3414" t="s">
        <v>3767</v>
      </c>
      <c r="C222" s="3414" t="s">
        <v>3768</v>
      </c>
      <c r="D222" s="3414"/>
      <c r="E222" s="3414"/>
      <c r="F222" s="3414" t="s">
        <v>3216</v>
      </c>
      <c r="G222" s="3413" t="s">
        <v>3152</v>
      </c>
      <c r="H222" s="3414" t="s">
        <v>3756</v>
      </c>
      <c r="I222" s="3449">
        <v>0.06</v>
      </c>
      <c r="J222" s="3450">
        <v>42934</v>
      </c>
      <c r="K222" s="3485">
        <v>42979</v>
      </c>
      <c r="L222" s="3429">
        <v>44074</v>
      </c>
      <c r="M222" s="3430">
        <v>12</v>
      </c>
      <c r="N222" s="3414"/>
      <c r="O222" s="3413" t="s">
        <v>3652</v>
      </c>
      <c r="P222" s="3414" t="s">
        <v>3691</v>
      </c>
      <c r="Q222" s="3489" t="s">
        <v>3769</v>
      </c>
      <c r="R222" s="3420">
        <v>1</v>
      </c>
      <c r="S222" s="3420">
        <v>117.51</v>
      </c>
      <c r="T222" s="3490">
        <v>117.51</v>
      </c>
      <c r="U222" s="3420">
        <v>40</v>
      </c>
      <c r="V222" s="3414" t="s">
        <v>3158</v>
      </c>
      <c r="W222" s="3496" t="s">
        <v>3218</v>
      </c>
      <c r="X222" s="3422">
        <f t="shared" si="57"/>
        <v>4700</v>
      </c>
      <c r="Y222" s="3422">
        <f t="shared" si="58"/>
        <v>1.3332198678126683</v>
      </c>
      <c r="Z222" s="3433">
        <f t="shared" si="68"/>
        <v>1.3332198678126683</v>
      </c>
      <c r="AA222" s="3423">
        <f t="shared" si="59"/>
        <v>20523.330000000002</v>
      </c>
      <c r="AB222" s="3407">
        <f t="shared" si="52"/>
        <v>1.4132130598814285</v>
      </c>
      <c r="AC222" s="3404">
        <f t="shared" si="60"/>
        <v>60614.33</v>
      </c>
      <c r="AD222" s="3446">
        <f t="shared" si="53"/>
        <v>1.4980058434743144</v>
      </c>
      <c r="AE222" s="3404">
        <f t="shared" si="61"/>
        <v>64251.19</v>
      </c>
      <c r="AF222" s="3446">
        <f t="shared" si="54"/>
        <v>1.5878861940827733</v>
      </c>
      <c r="AG222" s="3404">
        <f t="shared" si="62"/>
        <v>68106.259999999995</v>
      </c>
      <c r="AH222" s="3404">
        <v>2.2000000000000002</v>
      </c>
      <c r="AI222" s="3399">
        <f t="shared" si="63"/>
        <v>94360.53</v>
      </c>
      <c r="AJ222" s="3404">
        <f t="shared" si="66"/>
        <v>2.2549999999999999</v>
      </c>
      <c r="AK222" s="3404">
        <f t="shared" si="64"/>
        <v>96719.54</v>
      </c>
      <c r="AL222" s="3404">
        <f t="shared" si="67"/>
        <v>2.3113749999999995</v>
      </c>
      <c r="AM222" s="3404">
        <f t="shared" si="65"/>
        <v>99137.53</v>
      </c>
      <c r="AN222" s="3404"/>
      <c r="AO222" s="3404"/>
      <c r="AP222" s="3404"/>
      <c r="AQ222" s="3404"/>
      <c r="AR222" s="3404"/>
      <c r="AS222" s="3404"/>
      <c r="AT222" s="3404"/>
      <c r="AU222" s="3404"/>
      <c r="AV222" s="3404"/>
      <c r="AW222" s="3404"/>
      <c r="AX222" s="3404"/>
      <c r="AY222" s="3404"/>
      <c r="AZ222" s="3404"/>
      <c r="BA222" s="3404"/>
      <c r="BB222" s="3404"/>
      <c r="BC222" s="3404"/>
      <c r="BD222" s="3404"/>
      <c r="BE222" s="3404"/>
      <c r="BF222" s="3404"/>
    </row>
    <row r="223" spans="1:58" s="3400" customFormat="1" ht="42.75">
      <c r="A223" s="3414" t="s">
        <v>3766</v>
      </c>
      <c r="B223" s="3414" t="s">
        <v>3767</v>
      </c>
      <c r="C223" s="3414" t="s">
        <v>3768</v>
      </c>
      <c r="D223" s="3414"/>
      <c r="E223" s="3414"/>
      <c r="F223" s="3414" t="s">
        <v>3216</v>
      </c>
      <c r="G223" s="3413" t="s">
        <v>3152</v>
      </c>
      <c r="H223" s="3414" t="s">
        <v>3756</v>
      </c>
      <c r="I223" s="3449">
        <v>0.06</v>
      </c>
      <c r="J223" s="3450">
        <v>42934</v>
      </c>
      <c r="K223" s="3485">
        <v>42979</v>
      </c>
      <c r="L223" s="3429">
        <v>44074</v>
      </c>
      <c r="M223" s="3430">
        <v>12</v>
      </c>
      <c r="N223" s="3414"/>
      <c r="O223" s="3413" t="s">
        <v>3652</v>
      </c>
      <c r="P223" s="3414" t="s">
        <v>3691</v>
      </c>
      <c r="Q223" s="3489" t="s">
        <v>3769</v>
      </c>
      <c r="R223" s="3420">
        <v>1</v>
      </c>
      <c r="S223" s="3420">
        <v>117.51</v>
      </c>
      <c r="T223" s="3490">
        <v>117.51</v>
      </c>
      <c r="U223" s="3420">
        <v>40</v>
      </c>
      <c r="V223" s="3414" t="s">
        <v>3158</v>
      </c>
      <c r="W223" s="3496" t="s">
        <v>3159</v>
      </c>
      <c r="X223" s="3422">
        <f t="shared" si="57"/>
        <v>4700</v>
      </c>
      <c r="Y223" s="3422">
        <f t="shared" si="58"/>
        <v>1.3332198678126683</v>
      </c>
      <c r="Z223" s="3433">
        <f t="shared" si="68"/>
        <v>1.3332198678126683</v>
      </c>
      <c r="AA223" s="3423">
        <f t="shared" si="59"/>
        <v>20523.330000000002</v>
      </c>
      <c r="AB223" s="3407">
        <f t="shared" si="52"/>
        <v>1.4132130598814285</v>
      </c>
      <c r="AC223" s="3404">
        <f t="shared" si="60"/>
        <v>60614.33</v>
      </c>
      <c r="AD223" s="3446">
        <f t="shared" si="53"/>
        <v>1.4980058434743144</v>
      </c>
      <c r="AE223" s="3404">
        <f t="shared" si="61"/>
        <v>64251.19</v>
      </c>
      <c r="AF223" s="3446">
        <f t="shared" si="54"/>
        <v>1.5878861940827733</v>
      </c>
      <c r="AG223" s="3404">
        <f t="shared" si="62"/>
        <v>68106.259999999995</v>
      </c>
      <c r="AH223" s="3404">
        <v>2.2000000000000002</v>
      </c>
      <c r="AI223" s="3399">
        <f t="shared" si="63"/>
        <v>94360.53</v>
      </c>
      <c r="AJ223" s="3404">
        <f t="shared" si="66"/>
        <v>2.2549999999999999</v>
      </c>
      <c r="AK223" s="3404">
        <f t="shared" si="64"/>
        <v>96719.54</v>
      </c>
      <c r="AL223" s="3404">
        <f t="shared" si="67"/>
        <v>2.3113749999999995</v>
      </c>
      <c r="AM223" s="3404">
        <f t="shared" si="65"/>
        <v>99137.53</v>
      </c>
      <c r="AN223" s="3404"/>
      <c r="AO223" s="3404"/>
      <c r="AP223" s="3404"/>
      <c r="AQ223" s="3404"/>
      <c r="AR223" s="3404"/>
      <c r="AS223" s="3404"/>
      <c r="AT223" s="3404"/>
      <c r="AU223" s="3404"/>
      <c r="AV223" s="3404"/>
      <c r="AW223" s="3404"/>
      <c r="AX223" s="3404"/>
      <c r="AY223" s="3404"/>
      <c r="AZ223" s="3404"/>
      <c r="BA223" s="3404"/>
      <c r="BB223" s="3404"/>
      <c r="BC223" s="3404"/>
      <c r="BD223" s="3404"/>
      <c r="BE223" s="3404"/>
      <c r="BF223" s="3404"/>
    </row>
    <row r="224" spans="1:58" s="3400" customFormat="1" ht="42.75">
      <c r="A224" s="3414" t="s">
        <v>3770</v>
      </c>
      <c r="B224" s="3414" t="s">
        <v>3771</v>
      </c>
      <c r="C224" s="3414" t="s">
        <v>3772</v>
      </c>
      <c r="D224" s="3414"/>
      <c r="E224" s="3414"/>
      <c r="F224" s="3414" t="s">
        <v>3216</v>
      </c>
      <c r="G224" s="3413" t="s">
        <v>3152</v>
      </c>
      <c r="H224" s="3414" t="s">
        <v>3686</v>
      </c>
      <c r="I224" s="3449">
        <v>0.06</v>
      </c>
      <c r="J224" s="3450">
        <v>42939</v>
      </c>
      <c r="K224" s="3485">
        <v>42948</v>
      </c>
      <c r="L224" s="3429">
        <v>44043</v>
      </c>
      <c r="M224" s="3430">
        <v>0</v>
      </c>
      <c r="N224" s="3414"/>
      <c r="O224" s="3413" t="s">
        <v>3155</v>
      </c>
      <c r="P224" s="3414" t="s">
        <v>3247</v>
      </c>
      <c r="Q224" s="3489" t="s">
        <v>3773</v>
      </c>
      <c r="R224" s="3420">
        <v>1</v>
      </c>
      <c r="S224" s="3420">
        <v>40.65</v>
      </c>
      <c r="T224" s="3490">
        <v>40.65</v>
      </c>
      <c r="U224" s="3420">
        <v>60</v>
      </c>
      <c r="V224" s="3414" t="s">
        <v>3158</v>
      </c>
      <c r="W224" s="3496" t="s">
        <v>3218</v>
      </c>
      <c r="X224" s="3422">
        <f t="shared" si="57"/>
        <v>2439</v>
      </c>
      <c r="Y224" s="3422">
        <f t="shared" si="58"/>
        <v>2</v>
      </c>
      <c r="Z224" s="3433">
        <f t="shared" si="68"/>
        <v>2</v>
      </c>
      <c r="AA224" s="3423">
        <f t="shared" si="59"/>
        <v>10650.3</v>
      </c>
      <c r="AB224" s="3407">
        <f t="shared" si="52"/>
        <v>2.12</v>
      </c>
      <c r="AC224" s="3404">
        <f t="shared" si="60"/>
        <v>31454.97</v>
      </c>
      <c r="AD224" s="3446">
        <f t="shared" si="53"/>
        <v>2.2472000000000003</v>
      </c>
      <c r="AE224" s="3404">
        <f t="shared" si="61"/>
        <v>33342.269999999997</v>
      </c>
      <c r="AF224" s="3446">
        <f t="shared" si="54"/>
        <v>2.3820320000000006</v>
      </c>
      <c r="AG224" s="3404">
        <f t="shared" si="62"/>
        <v>35342.800000000003</v>
      </c>
      <c r="AH224" s="3404">
        <v>2.2000000000000002</v>
      </c>
      <c r="AI224" s="3399">
        <f t="shared" si="63"/>
        <v>32641.95</v>
      </c>
      <c r="AJ224" s="3404">
        <f t="shared" si="66"/>
        <v>2.2549999999999999</v>
      </c>
      <c r="AK224" s="3404">
        <f t="shared" si="64"/>
        <v>33458</v>
      </c>
      <c r="AL224" s="3404">
        <f t="shared" si="67"/>
        <v>2.3113749999999995</v>
      </c>
      <c r="AM224" s="3404">
        <f t="shared" si="65"/>
        <v>34294.449999999997</v>
      </c>
      <c r="AN224" s="3404"/>
      <c r="AO224" s="3404"/>
      <c r="AP224" s="3404"/>
      <c r="AQ224" s="3404"/>
      <c r="AR224" s="3404"/>
      <c r="AS224" s="3404"/>
      <c r="AT224" s="3404"/>
      <c r="AU224" s="3404"/>
      <c r="AV224" s="3404"/>
      <c r="AW224" s="3404"/>
      <c r="AX224" s="3404"/>
      <c r="AY224" s="3404"/>
      <c r="AZ224" s="3404"/>
      <c r="BA224" s="3404"/>
      <c r="BB224" s="3404"/>
      <c r="BC224" s="3404"/>
      <c r="BD224" s="3404"/>
      <c r="BE224" s="3404"/>
      <c r="BF224" s="3404"/>
    </row>
    <row r="225" spans="1:58" s="3400" customFormat="1" ht="42.75">
      <c r="A225" s="3414" t="s">
        <v>3770</v>
      </c>
      <c r="B225" s="3414" t="s">
        <v>3771</v>
      </c>
      <c r="C225" s="3414" t="s">
        <v>3772</v>
      </c>
      <c r="D225" s="3414"/>
      <c r="E225" s="3414"/>
      <c r="F225" s="3414" t="s">
        <v>3216</v>
      </c>
      <c r="G225" s="3413" t="s">
        <v>3152</v>
      </c>
      <c r="H225" s="3414" t="s">
        <v>3686</v>
      </c>
      <c r="I225" s="3449">
        <v>0.06</v>
      </c>
      <c r="J225" s="3450">
        <v>42939</v>
      </c>
      <c r="K225" s="3485">
        <v>42948</v>
      </c>
      <c r="L225" s="3429">
        <v>44043</v>
      </c>
      <c r="M225" s="3430">
        <v>0</v>
      </c>
      <c r="N225" s="3414"/>
      <c r="O225" s="3413" t="s">
        <v>3155</v>
      </c>
      <c r="P225" s="3414" t="s">
        <v>3247</v>
      </c>
      <c r="Q225" s="3489" t="s">
        <v>3773</v>
      </c>
      <c r="R225" s="3420">
        <v>1</v>
      </c>
      <c r="S225" s="3420">
        <v>40.65</v>
      </c>
      <c r="T225" s="3490">
        <v>40.65</v>
      </c>
      <c r="U225" s="3420">
        <v>60</v>
      </c>
      <c r="V225" s="3414" t="s">
        <v>3158</v>
      </c>
      <c r="W225" s="3496" t="s">
        <v>3159</v>
      </c>
      <c r="X225" s="3422">
        <f t="shared" si="57"/>
        <v>2439</v>
      </c>
      <c r="Y225" s="3422">
        <f t="shared" si="58"/>
        <v>2</v>
      </c>
      <c r="Z225" s="3433">
        <f t="shared" si="68"/>
        <v>2</v>
      </c>
      <c r="AA225" s="3423">
        <f t="shared" si="59"/>
        <v>10650.3</v>
      </c>
      <c r="AB225" s="3407">
        <f t="shared" si="52"/>
        <v>2.12</v>
      </c>
      <c r="AC225" s="3404">
        <f t="shared" si="60"/>
        <v>31454.97</v>
      </c>
      <c r="AD225" s="3446">
        <f t="shared" si="53"/>
        <v>2.2472000000000003</v>
      </c>
      <c r="AE225" s="3404">
        <f t="shared" si="61"/>
        <v>33342.269999999997</v>
      </c>
      <c r="AF225" s="3446">
        <f t="shared" si="54"/>
        <v>2.3820320000000006</v>
      </c>
      <c r="AG225" s="3404">
        <f t="shared" si="62"/>
        <v>35342.800000000003</v>
      </c>
      <c r="AH225" s="3404">
        <v>2.2000000000000002</v>
      </c>
      <c r="AI225" s="3399">
        <f t="shared" si="63"/>
        <v>32641.95</v>
      </c>
      <c r="AJ225" s="3404">
        <f t="shared" si="66"/>
        <v>2.2549999999999999</v>
      </c>
      <c r="AK225" s="3404">
        <f t="shared" si="64"/>
        <v>33458</v>
      </c>
      <c r="AL225" s="3404">
        <f t="shared" si="67"/>
        <v>2.3113749999999995</v>
      </c>
      <c r="AM225" s="3404">
        <f t="shared" si="65"/>
        <v>34294.449999999997</v>
      </c>
      <c r="AN225" s="3404"/>
      <c r="AO225" s="3404"/>
      <c r="AP225" s="3404"/>
      <c r="AQ225" s="3404"/>
      <c r="AR225" s="3404"/>
      <c r="AS225" s="3404"/>
      <c r="AT225" s="3404"/>
      <c r="AU225" s="3404"/>
      <c r="AV225" s="3404"/>
      <c r="AW225" s="3404"/>
      <c r="AX225" s="3404"/>
      <c r="AY225" s="3404"/>
      <c r="AZ225" s="3404"/>
      <c r="BA225" s="3404"/>
      <c r="BB225" s="3404"/>
      <c r="BC225" s="3404"/>
      <c r="BD225" s="3404"/>
      <c r="BE225" s="3404"/>
      <c r="BF225" s="3404"/>
    </row>
    <row r="226" spans="1:58" s="3400" customFormat="1" ht="42.75">
      <c r="A226" s="3414" t="s">
        <v>3774</v>
      </c>
      <c r="B226" s="3414" t="s">
        <v>3775</v>
      </c>
      <c r="C226" s="3414" t="s">
        <v>3776</v>
      </c>
      <c r="D226" s="3414"/>
      <c r="E226" s="3414"/>
      <c r="F226" s="3414" t="s">
        <v>3216</v>
      </c>
      <c r="G226" s="3413" t="s">
        <v>3152</v>
      </c>
      <c r="H226" s="3414" t="s">
        <v>3686</v>
      </c>
      <c r="I226" s="3449">
        <v>0.06</v>
      </c>
      <c r="J226" s="3450">
        <v>42940</v>
      </c>
      <c r="K226" s="3485">
        <v>42948</v>
      </c>
      <c r="L226" s="3429">
        <v>44043</v>
      </c>
      <c r="M226" s="3430">
        <v>6</v>
      </c>
      <c r="N226" s="3414"/>
      <c r="O226" s="3413" t="s">
        <v>3155</v>
      </c>
      <c r="P226" s="3414" t="s">
        <v>3247</v>
      </c>
      <c r="Q226" s="3489" t="s">
        <v>3777</v>
      </c>
      <c r="R226" s="3420">
        <v>1</v>
      </c>
      <c r="S226" s="3420">
        <v>81.77</v>
      </c>
      <c r="T226" s="3490">
        <v>81.77</v>
      </c>
      <c r="U226" s="3420">
        <v>20</v>
      </c>
      <c r="V226" s="3414" t="s">
        <v>3158</v>
      </c>
      <c r="W226" s="3496" t="s">
        <v>3218</v>
      </c>
      <c r="X226" s="3422">
        <f t="shared" si="57"/>
        <v>1635</v>
      </c>
      <c r="Y226" s="3422">
        <f t="shared" si="58"/>
        <v>0.66650360768007821</v>
      </c>
      <c r="Z226" s="3433">
        <f t="shared" si="68"/>
        <v>0.66650360768007821</v>
      </c>
      <c r="AA226" s="3423">
        <f t="shared" si="59"/>
        <v>7139.5</v>
      </c>
      <c r="AB226" s="3407">
        <f t="shared" si="52"/>
        <v>0.70649382414088291</v>
      </c>
      <c r="AC226" s="3404">
        <f t="shared" si="60"/>
        <v>21086.05</v>
      </c>
      <c r="AD226" s="3446">
        <f t="shared" si="53"/>
        <v>0.74888345358933595</v>
      </c>
      <c r="AE226" s="3404">
        <f t="shared" si="61"/>
        <v>22351.21</v>
      </c>
      <c r="AF226" s="3446">
        <f t="shared" si="54"/>
        <v>0.79381646080469614</v>
      </c>
      <c r="AG226" s="3404">
        <f t="shared" si="62"/>
        <v>23692.29</v>
      </c>
      <c r="AH226" s="3404">
        <v>2.2000000000000002</v>
      </c>
      <c r="AI226" s="3399">
        <f t="shared" si="63"/>
        <v>65661.31</v>
      </c>
      <c r="AJ226" s="3404">
        <f t="shared" si="66"/>
        <v>2.2549999999999999</v>
      </c>
      <c r="AK226" s="3404">
        <f t="shared" si="64"/>
        <v>67302.84</v>
      </c>
      <c r="AL226" s="3404">
        <f t="shared" si="67"/>
        <v>2.3113749999999995</v>
      </c>
      <c r="AM226" s="3404">
        <f t="shared" si="65"/>
        <v>68985.41</v>
      </c>
      <c r="AN226" s="3404"/>
      <c r="AO226" s="3404"/>
      <c r="AP226" s="3404"/>
      <c r="AQ226" s="3404"/>
      <c r="AR226" s="3404"/>
      <c r="AS226" s="3404"/>
      <c r="AT226" s="3404"/>
      <c r="AU226" s="3404"/>
      <c r="AV226" s="3404"/>
      <c r="AW226" s="3404"/>
      <c r="AX226" s="3404"/>
      <c r="AY226" s="3404"/>
      <c r="AZ226" s="3404"/>
      <c r="BA226" s="3404"/>
      <c r="BB226" s="3404"/>
      <c r="BC226" s="3404"/>
      <c r="BD226" s="3404"/>
      <c r="BE226" s="3404"/>
      <c r="BF226" s="3404"/>
    </row>
    <row r="227" spans="1:58" s="3400" customFormat="1" ht="42.75">
      <c r="A227" s="3414" t="s">
        <v>3774</v>
      </c>
      <c r="B227" s="3414" t="s">
        <v>3775</v>
      </c>
      <c r="C227" s="3414" t="s">
        <v>3776</v>
      </c>
      <c r="D227" s="3414"/>
      <c r="E227" s="3414"/>
      <c r="F227" s="3414" t="s">
        <v>3216</v>
      </c>
      <c r="G227" s="3413" t="s">
        <v>3152</v>
      </c>
      <c r="H227" s="3414" t="s">
        <v>3686</v>
      </c>
      <c r="I227" s="3449">
        <v>0.06</v>
      </c>
      <c r="J227" s="3450">
        <v>42940</v>
      </c>
      <c r="K227" s="3485">
        <v>42948</v>
      </c>
      <c r="L227" s="3429">
        <v>44043</v>
      </c>
      <c r="M227" s="3430">
        <v>6</v>
      </c>
      <c r="N227" s="3414"/>
      <c r="O227" s="3413" t="s">
        <v>3155</v>
      </c>
      <c r="P227" s="3414" t="s">
        <v>3247</v>
      </c>
      <c r="Q227" s="3489" t="s">
        <v>3777</v>
      </c>
      <c r="R227" s="3420">
        <v>1</v>
      </c>
      <c r="S227" s="3420">
        <v>81.77</v>
      </c>
      <c r="T227" s="3490">
        <v>81.77</v>
      </c>
      <c r="U227" s="3420">
        <v>20</v>
      </c>
      <c r="V227" s="3414" t="s">
        <v>3158</v>
      </c>
      <c r="W227" s="3496" t="s">
        <v>3159</v>
      </c>
      <c r="X227" s="3422">
        <f t="shared" si="57"/>
        <v>1635</v>
      </c>
      <c r="Y227" s="3422">
        <f t="shared" si="58"/>
        <v>0.66650360768007821</v>
      </c>
      <c r="Z227" s="3433">
        <f t="shared" si="68"/>
        <v>0.66650360768007821</v>
      </c>
      <c r="AA227" s="3423">
        <f t="shared" si="59"/>
        <v>7139.5</v>
      </c>
      <c r="AB227" s="3407">
        <f t="shared" si="52"/>
        <v>0.70649382414088291</v>
      </c>
      <c r="AC227" s="3404">
        <f t="shared" si="60"/>
        <v>21086.05</v>
      </c>
      <c r="AD227" s="3446">
        <f t="shared" si="53"/>
        <v>0.74888345358933595</v>
      </c>
      <c r="AE227" s="3404">
        <f t="shared" si="61"/>
        <v>22351.21</v>
      </c>
      <c r="AF227" s="3446">
        <f t="shared" si="54"/>
        <v>0.79381646080469614</v>
      </c>
      <c r="AG227" s="3404">
        <f t="shared" si="62"/>
        <v>23692.29</v>
      </c>
      <c r="AH227" s="3404">
        <v>2.2000000000000002</v>
      </c>
      <c r="AI227" s="3399">
        <f t="shared" si="63"/>
        <v>65661.31</v>
      </c>
      <c r="AJ227" s="3404">
        <f t="shared" si="66"/>
        <v>2.2549999999999999</v>
      </c>
      <c r="AK227" s="3404">
        <f t="shared" si="64"/>
        <v>67302.84</v>
      </c>
      <c r="AL227" s="3404">
        <f t="shared" si="67"/>
        <v>2.3113749999999995</v>
      </c>
      <c r="AM227" s="3404">
        <f t="shared" si="65"/>
        <v>68985.41</v>
      </c>
      <c r="AN227" s="3404"/>
      <c r="AO227" s="3404"/>
      <c r="AP227" s="3404"/>
      <c r="AQ227" s="3404"/>
      <c r="AR227" s="3404"/>
      <c r="AS227" s="3404"/>
      <c r="AT227" s="3404"/>
      <c r="AU227" s="3404"/>
      <c r="AV227" s="3404"/>
      <c r="AW227" s="3404"/>
      <c r="AX227" s="3404"/>
      <c r="AY227" s="3404"/>
      <c r="AZ227" s="3404"/>
      <c r="BA227" s="3404"/>
      <c r="BB227" s="3404"/>
      <c r="BC227" s="3404"/>
      <c r="BD227" s="3404"/>
      <c r="BE227" s="3404"/>
      <c r="BF227" s="3404"/>
    </row>
    <row r="228" spans="1:58" s="3400" customFormat="1" ht="42.75">
      <c r="A228" s="3414" t="s">
        <v>3778</v>
      </c>
      <c r="B228" s="3414" t="s">
        <v>3779</v>
      </c>
      <c r="C228" s="3414" t="s">
        <v>3780</v>
      </c>
      <c r="D228" s="3414"/>
      <c r="E228" s="3414"/>
      <c r="F228" s="3414" t="s">
        <v>3216</v>
      </c>
      <c r="G228" s="3413" t="s">
        <v>3152</v>
      </c>
      <c r="H228" s="3414" t="s">
        <v>3756</v>
      </c>
      <c r="I228" s="3449">
        <v>0.06</v>
      </c>
      <c r="J228" s="3450">
        <v>42946</v>
      </c>
      <c r="K228" s="3485">
        <v>42979</v>
      </c>
      <c r="L228" s="3429">
        <v>44074</v>
      </c>
      <c r="M228" s="3430">
        <v>12</v>
      </c>
      <c r="N228" s="3414"/>
      <c r="O228" s="3413" t="s">
        <v>3652</v>
      </c>
      <c r="P228" s="3414" t="s">
        <v>3750</v>
      </c>
      <c r="Q228" s="3489" t="s">
        <v>3781</v>
      </c>
      <c r="R228" s="3420">
        <v>1</v>
      </c>
      <c r="S228" s="3420">
        <v>148.4</v>
      </c>
      <c r="T228" s="3490">
        <v>148.4</v>
      </c>
      <c r="U228" s="3420">
        <v>20</v>
      </c>
      <c r="V228" s="3414" t="s">
        <v>3158</v>
      </c>
      <c r="W228" s="3496" t="s">
        <v>3218</v>
      </c>
      <c r="X228" s="3422">
        <f t="shared" si="57"/>
        <v>2968</v>
      </c>
      <c r="Y228" s="3422">
        <f t="shared" si="58"/>
        <v>0.66666666666666663</v>
      </c>
      <c r="Z228" s="3433">
        <f t="shared" si="68"/>
        <v>0.66666666666666663</v>
      </c>
      <c r="AA228" s="3423">
        <f t="shared" si="59"/>
        <v>12960.27</v>
      </c>
      <c r="AB228" s="3407">
        <f t="shared" si="52"/>
        <v>0.70666666666666667</v>
      </c>
      <c r="AC228" s="3404">
        <f t="shared" si="60"/>
        <v>38277.31</v>
      </c>
      <c r="AD228" s="3446">
        <f t="shared" si="53"/>
        <v>0.74906666666666666</v>
      </c>
      <c r="AE228" s="3404">
        <f t="shared" si="61"/>
        <v>40573.949999999997</v>
      </c>
      <c r="AF228" s="3446">
        <f t="shared" si="54"/>
        <v>0.79401066666666664</v>
      </c>
      <c r="AG228" s="3404">
        <f t="shared" si="62"/>
        <v>43008.38</v>
      </c>
      <c r="AH228" s="3404">
        <v>2.2000000000000002</v>
      </c>
      <c r="AI228" s="3399">
        <f t="shared" si="63"/>
        <v>119165.2</v>
      </c>
      <c r="AJ228" s="3404">
        <f t="shared" si="66"/>
        <v>2.2549999999999999</v>
      </c>
      <c r="AK228" s="3404">
        <f t="shared" si="64"/>
        <v>122144.33</v>
      </c>
      <c r="AL228" s="3404">
        <f t="shared" si="67"/>
        <v>2.3113749999999995</v>
      </c>
      <c r="AM228" s="3404">
        <f t="shared" si="65"/>
        <v>125197.94</v>
      </c>
      <c r="AN228" s="3404"/>
      <c r="AO228" s="3404"/>
      <c r="AP228" s="3404"/>
      <c r="AQ228" s="3404"/>
      <c r="AR228" s="3404"/>
      <c r="AS228" s="3404"/>
      <c r="AT228" s="3404"/>
      <c r="AU228" s="3404"/>
      <c r="AV228" s="3404"/>
      <c r="AW228" s="3404"/>
      <c r="AX228" s="3404"/>
      <c r="AY228" s="3404"/>
      <c r="AZ228" s="3404"/>
      <c r="BA228" s="3404"/>
      <c r="BB228" s="3404"/>
      <c r="BC228" s="3404"/>
      <c r="BD228" s="3404"/>
      <c r="BE228" s="3404"/>
      <c r="BF228" s="3404"/>
    </row>
    <row r="229" spans="1:58" s="3400" customFormat="1" ht="42.75">
      <c r="A229" s="3414" t="s">
        <v>3778</v>
      </c>
      <c r="B229" s="3414" t="s">
        <v>3779</v>
      </c>
      <c r="C229" s="3414" t="s">
        <v>3780</v>
      </c>
      <c r="D229" s="3414"/>
      <c r="E229" s="3414"/>
      <c r="F229" s="3414" t="s">
        <v>3216</v>
      </c>
      <c r="G229" s="3413" t="s">
        <v>3152</v>
      </c>
      <c r="H229" s="3414" t="s">
        <v>3756</v>
      </c>
      <c r="I229" s="3449">
        <v>0.06</v>
      </c>
      <c r="J229" s="3450">
        <v>42946</v>
      </c>
      <c r="K229" s="3485">
        <v>42979</v>
      </c>
      <c r="L229" s="3429">
        <v>44074</v>
      </c>
      <c r="M229" s="3430">
        <v>12</v>
      </c>
      <c r="N229" s="3414"/>
      <c r="O229" s="3413" t="s">
        <v>3652</v>
      </c>
      <c r="P229" s="3414" t="s">
        <v>3750</v>
      </c>
      <c r="Q229" s="3489" t="s">
        <v>3781</v>
      </c>
      <c r="R229" s="3420">
        <v>1</v>
      </c>
      <c r="S229" s="3420">
        <v>148.4</v>
      </c>
      <c r="T229" s="3490">
        <v>148.4</v>
      </c>
      <c r="U229" s="3420">
        <v>20</v>
      </c>
      <c r="V229" s="3414" t="s">
        <v>3158</v>
      </c>
      <c r="W229" s="3496" t="s">
        <v>3159</v>
      </c>
      <c r="X229" s="3422">
        <f t="shared" si="57"/>
        <v>2968</v>
      </c>
      <c r="Y229" s="3422">
        <f t="shared" si="58"/>
        <v>0.66666666666666663</v>
      </c>
      <c r="Z229" s="3433">
        <f t="shared" si="68"/>
        <v>0.66666666666666663</v>
      </c>
      <c r="AA229" s="3423">
        <f t="shared" si="59"/>
        <v>12960.27</v>
      </c>
      <c r="AB229" s="3407">
        <f t="shared" si="52"/>
        <v>0.70666666666666667</v>
      </c>
      <c r="AC229" s="3404">
        <f t="shared" si="60"/>
        <v>38277.31</v>
      </c>
      <c r="AD229" s="3446">
        <f t="shared" si="53"/>
        <v>0.74906666666666666</v>
      </c>
      <c r="AE229" s="3404">
        <f t="shared" si="61"/>
        <v>40573.949999999997</v>
      </c>
      <c r="AF229" s="3446">
        <f t="shared" si="54"/>
        <v>0.79401066666666664</v>
      </c>
      <c r="AG229" s="3404">
        <f t="shared" si="62"/>
        <v>43008.38</v>
      </c>
      <c r="AH229" s="3404">
        <v>2.2000000000000002</v>
      </c>
      <c r="AI229" s="3399">
        <f t="shared" si="63"/>
        <v>119165.2</v>
      </c>
      <c r="AJ229" s="3404">
        <f t="shared" si="66"/>
        <v>2.2549999999999999</v>
      </c>
      <c r="AK229" s="3404">
        <f t="shared" si="64"/>
        <v>122144.33</v>
      </c>
      <c r="AL229" s="3404">
        <f t="shared" si="67"/>
        <v>2.3113749999999995</v>
      </c>
      <c r="AM229" s="3404">
        <f t="shared" si="65"/>
        <v>125197.94</v>
      </c>
      <c r="AN229" s="3404"/>
      <c r="AO229" s="3404"/>
      <c r="AP229" s="3404"/>
      <c r="AQ229" s="3404"/>
      <c r="AR229" s="3404"/>
      <c r="AS229" s="3404"/>
      <c r="AT229" s="3404"/>
      <c r="AU229" s="3404"/>
      <c r="AV229" s="3404"/>
      <c r="AW229" s="3404"/>
      <c r="AX229" s="3404"/>
      <c r="AY229" s="3404"/>
      <c r="AZ229" s="3404"/>
      <c r="BA229" s="3404"/>
      <c r="BB229" s="3404"/>
      <c r="BC229" s="3404"/>
      <c r="BD229" s="3404"/>
      <c r="BE229" s="3404"/>
      <c r="BF229" s="3404"/>
    </row>
    <row r="230" spans="1:58" s="3400" customFormat="1" ht="42.75">
      <c r="A230" s="3414" t="s">
        <v>3782</v>
      </c>
      <c r="B230" s="3414" t="s">
        <v>3779</v>
      </c>
      <c r="C230" s="3414" t="s">
        <v>3780</v>
      </c>
      <c r="D230" s="3414"/>
      <c r="E230" s="3414"/>
      <c r="F230" s="3414" t="s">
        <v>3216</v>
      </c>
      <c r="G230" s="3413" t="s">
        <v>3152</v>
      </c>
      <c r="H230" s="3414" t="s">
        <v>3756</v>
      </c>
      <c r="I230" s="3449">
        <v>0.06</v>
      </c>
      <c r="J230" s="3450">
        <v>42946</v>
      </c>
      <c r="K230" s="3485">
        <v>42979</v>
      </c>
      <c r="L230" s="3429">
        <v>44074</v>
      </c>
      <c r="M230" s="3430">
        <v>12</v>
      </c>
      <c r="N230" s="3414"/>
      <c r="O230" s="3413" t="s">
        <v>3652</v>
      </c>
      <c r="P230" s="3414" t="s">
        <v>3750</v>
      </c>
      <c r="Q230" s="3489" t="s">
        <v>3783</v>
      </c>
      <c r="R230" s="3420">
        <v>2</v>
      </c>
      <c r="S230" s="3420">
        <v>163.62</v>
      </c>
      <c r="T230" s="3490">
        <v>163.62</v>
      </c>
      <c r="U230" s="3420">
        <v>20</v>
      </c>
      <c r="V230" s="3414" t="s">
        <v>3158</v>
      </c>
      <c r="W230" s="3496" t="s">
        <v>3218</v>
      </c>
      <c r="X230" s="3422">
        <f t="shared" si="57"/>
        <v>3272</v>
      </c>
      <c r="Y230" s="3422">
        <f t="shared" si="58"/>
        <v>0.66658517703622211</v>
      </c>
      <c r="Z230" s="3433">
        <f t="shared" si="68"/>
        <v>0.66658517703622211</v>
      </c>
      <c r="AA230" s="3423">
        <f t="shared" si="59"/>
        <v>14287.73</v>
      </c>
      <c r="AB230" s="3407">
        <f t="shared" si="52"/>
        <v>0.70658028765839542</v>
      </c>
      <c r="AC230" s="3404">
        <f t="shared" si="60"/>
        <v>42197.89</v>
      </c>
      <c r="AD230" s="3446">
        <f t="shared" si="53"/>
        <v>0.7489751049178992</v>
      </c>
      <c r="AE230" s="3404">
        <f t="shared" si="61"/>
        <v>44729.77</v>
      </c>
      <c r="AF230" s="3446">
        <f t="shared" si="54"/>
        <v>0.79391361121297321</v>
      </c>
      <c r="AG230" s="3404">
        <f t="shared" si="62"/>
        <v>47413.55</v>
      </c>
      <c r="AH230" s="3404">
        <v>2.2000000000000002</v>
      </c>
      <c r="AI230" s="3399">
        <f t="shared" si="63"/>
        <v>131386.85999999999</v>
      </c>
      <c r="AJ230" s="3404">
        <f t="shared" si="66"/>
        <v>2.2549999999999999</v>
      </c>
      <c r="AK230" s="3404">
        <f t="shared" si="64"/>
        <v>134671.53</v>
      </c>
      <c r="AL230" s="3404">
        <f t="shared" si="67"/>
        <v>2.3113749999999995</v>
      </c>
      <c r="AM230" s="3404">
        <f t="shared" si="65"/>
        <v>138038.32</v>
      </c>
      <c r="AN230" s="3404"/>
      <c r="AO230" s="3404"/>
      <c r="AP230" s="3404"/>
      <c r="AQ230" s="3404"/>
      <c r="AR230" s="3404"/>
      <c r="AS230" s="3404"/>
      <c r="AT230" s="3404"/>
      <c r="AU230" s="3404"/>
      <c r="AV230" s="3404"/>
      <c r="AW230" s="3404"/>
      <c r="AX230" s="3404"/>
      <c r="AY230" s="3404"/>
      <c r="AZ230" s="3404"/>
      <c r="BA230" s="3404"/>
      <c r="BB230" s="3404"/>
      <c r="BC230" s="3404"/>
      <c r="BD230" s="3404"/>
      <c r="BE230" s="3404"/>
      <c r="BF230" s="3404"/>
    </row>
    <row r="231" spans="1:58" s="3400" customFormat="1" ht="42.75">
      <c r="A231" s="3414" t="s">
        <v>3782</v>
      </c>
      <c r="B231" s="3414" t="s">
        <v>3779</v>
      </c>
      <c r="C231" s="3414" t="s">
        <v>3780</v>
      </c>
      <c r="D231" s="3414"/>
      <c r="E231" s="3414"/>
      <c r="F231" s="3414" t="s">
        <v>3216</v>
      </c>
      <c r="G231" s="3413" t="s">
        <v>3152</v>
      </c>
      <c r="H231" s="3414" t="s">
        <v>3756</v>
      </c>
      <c r="I231" s="3449">
        <v>0.06</v>
      </c>
      <c r="J231" s="3450">
        <v>42946</v>
      </c>
      <c r="K231" s="3485">
        <v>42979</v>
      </c>
      <c r="L231" s="3429">
        <v>44074</v>
      </c>
      <c r="M231" s="3430">
        <v>12</v>
      </c>
      <c r="N231" s="3414"/>
      <c r="O231" s="3413" t="s">
        <v>3652</v>
      </c>
      <c r="P231" s="3414" t="s">
        <v>3750</v>
      </c>
      <c r="Q231" s="3489" t="s">
        <v>3783</v>
      </c>
      <c r="R231" s="3420">
        <v>2</v>
      </c>
      <c r="S231" s="3420">
        <v>163.62</v>
      </c>
      <c r="T231" s="3490">
        <v>163.62</v>
      </c>
      <c r="U231" s="3420">
        <v>20</v>
      </c>
      <c r="V231" s="3414" t="s">
        <v>3158</v>
      </c>
      <c r="W231" s="3496" t="s">
        <v>3159</v>
      </c>
      <c r="X231" s="3422">
        <f t="shared" si="57"/>
        <v>3272</v>
      </c>
      <c r="Y231" s="3422">
        <f t="shared" si="58"/>
        <v>0.66658517703622211</v>
      </c>
      <c r="Z231" s="3433">
        <f t="shared" si="68"/>
        <v>0.66658517703622211</v>
      </c>
      <c r="AA231" s="3423">
        <f t="shared" si="59"/>
        <v>14287.73</v>
      </c>
      <c r="AB231" s="3407">
        <f t="shared" si="52"/>
        <v>0.70658028765839542</v>
      </c>
      <c r="AC231" s="3404">
        <f t="shared" si="60"/>
        <v>42197.89</v>
      </c>
      <c r="AD231" s="3446">
        <f t="shared" si="53"/>
        <v>0.7489751049178992</v>
      </c>
      <c r="AE231" s="3404">
        <f t="shared" si="61"/>
        <v>44729.77</v>
      </c>
      <c r="AF231" s="3446">
        <f t="shared" si="54"/>
        <v>0.79391361121297321</v>
      </c>
      <c r="AG231" s="3404">
        <f t="shared" si="62"/>
        <v>47413.55</v>
      </c>
      <c r="AH231" s="3404">
        <v>2.2000000000000002</v>
      </c>
      <c r="AI231" s="3399">
        <f t="shared" si="63"/>
        <v>131386.85999999999</v>
      </c>
      <c r="AJ231" s="3404">
        <f t="shared" si="66"/>
        <v>2.2549999999999999</v>
      </c>
      <c r="AK231" s="3404">
        <f t="shared" si="64"/>
        <v>134671.53</v>
      </c>
      <c r="AL231" s="3404">
        <f t="shared" si="67"/>
        <v>2.3113749999999995</v>
      </c>
      <c r="AM231" s="3404">
        <f t="shared" si="65"/>
        <v>138038.32</v>
      </c>
      <c r="AN231" s="3404"/>
      <c r="AO231" s="3404"/>
      <c r="AP231" s="3404"/>
      <c r="AQ231" s="3404"/>
      <c r="AR231" s="3404"/>
      <c r="AS231" s="3404"/>
      <c r="AT231" s="3404"/>
      <c r="AU231" s="3404"/>
      <c r="AV231" s="3404"/>
      <c r="AW231" s="3404"/>
      <c r="AX231" s="3404"/>
      <c r="AY231" s="3404"/>
      <c r="AZ231" s="3404"/>
      <c r="BA231" s="3404"/>
      <c r="BB231" s="3404"/>
      <c r="BC231" s="3404"/>
      <c r="BD231" s="3404"/>
      <c r="BE231" s="3404"/>
      <c r="BF231" s="3404"/>
    </row>
    <row r="232" spans="1:58" s="3399" customFormat="1" ht="42.75">
      <c r="A232" s="3414" t="s">
        <v>3784</v>
      </c>
      <c r="B232" s="3414" t="s">
        <v>3785</v>
      </c>
      <c r="C232" s="3414" t="s">
        <v>3786</v>
      </c>
      <c r="D232" s="3414"/>
      <c r="E232" s="3414"/>
      <c r="F232" s="3414" t="s">
        <v>3216</v>
      </c>
      <c r="G232" s="3413" t="s">
        <v>3152</v>
      </c>
      <c r="H232" s="3414" t="s">
        <v>3756</v>
      </c>
      <c r="I232" s="3449">
        <v>0.06</v>
      </c>
      <c r="J232" s="3450">
        <v>42947</v>
      </c>
      <c r="K232" s="3485">
        <v>42979</v>
      </c>
      <c r="L232" s="3429">
        <v>44074</v>
      </c>
      <c r="M232" s="3430">
        <v>12</v>
      </c>
      <c r="N232" s="3414"/>
      <c r="O232" s="3413" t="s">
        <v>3652</v>
      </c>
      <c r="P232" s="3414" t="s">
        <v>3787</v>
      </c>
      <c r="Q232" s="3489" t="s">
        <v>3788</v>
      </c>
      <c r="R232" s="3420">
        <v>1</v>
      </c>
      <c r="S232" s="3420">
        <v>49.9</v>
      </c>
      <c r="T232" s="3490">
        <v>49.9</v>
      </c>
      <c r="U232" s="3420">
        <v>40</v>
      </c>
      <c r="V232" s="3414" t="s">
        <v>3158</v>
      </c>
      <c r="W232" s="3496" t="s">
        <v>3218</v>
      </c>
      <c r="X232" s="3422">
        <f t="shared" si="57"/>
        <v>1996</v>
      </c>
      <c r="Y232" s="3422">
        <f t="shared" si="58"/>
        <v>1.3333333333333333</v>
      </c>
      <c r="Z232" s="3433">
        <f t="shared" si="68"/>
        <v>1.3333333333333333</v>
      </c>
      <c r="AA232" s="3423">
        <f t="shared" si="59"/>
        <v>8715.8700000000008</v>
      </c>
      <c r="AB232" s="3407">
        <f t="shared" si="52"/>
        <v>1.4133333333333333</v>
      </c>
      <c r="AC232" s="3404">
        <f t="shared" si="60"/>
        <v>25741.75</v>
      </c>
      <c r="AD232" s="3446">
        <f t="shared" si="53"/>
        <v>1.4981333333333333</v>
      </c>
      <c r="AE232" s="3404">
        <f t="shared" si="61"/>
        <v>27286.25</v>
      </c>
      <c r="AF232" s="3446">
        <f t="shared" si="54"/>
        <v>1.5880213333333333</v>
      </c>
      <c r="AG232" s="3404">
        <f t="shared" si="62"/>
        <v>28923.43</v>
      </c>
      <c r="AH232" s="3404">
        <v>2.2000000000000002</v>
      </c>
      <c r="AI232" s="3399">
        <f t="shared" si="63"/>
        <v>40069.699999999997</v>
      </c>
      <c r="AJ232" s="3404">
        <f t="shared" si="66"/>
        <v>2.2549999999999999</v>
      </c>
      <c r="AK232" s="3404">
        <f t="shared" si="64"/>
        <v>41071.440000000002</v>
      </c>
      <c r="AL232" s="3404">
        <f t="shared" si="67"/>
        <v>2.3113749999999995</v>
      </c>
      <c r="AM232" s="3404">
        <f t="shared" si="65"/>
        <v>42098.23</v>
      </c>
      <c r="AN232" s="3404"/>
      <c r="AO232" s="3404"/>
      <c r="AP232" s="3404"/>
      <c r="AQ232" s="3404"/>
      <c r="AR232" s="3404"/>
      <c r="AS232" s="3404"/>
      <c r="AT232" s="3404"/>
      <c r="AU232" s="3404"/>
      <c r="AV232" s="3404"/>
      <c r="AW232" s="3404"/>
      <c r="AX232" s="3404"/>
      <c r="AY232" s="3404"/>
      <c r="AZ232" s="3404"/>
      <c r="BA232" s="3404"/>
      <c r="BB232" s="3404"/>
      <c r="BC232" s="3404"/>
      <c r="BD232" s="3404"/>
      <c r="BE232" s="3404"/>
      <c r="BF232" s="3404"/>
    </row>
    <row r="233" spans="1:58" s="3399" customFormat="1" ht="42.75">
      <c r="A233" s="3414" t="s">
        <v>3784</v>
      </c>
      <c r="B233" s="3414" t="s">
        <v>3785</v>
      </c>
      <c r="C233" s="3414" t="s">
        <v>3786</v>
      </c>
      <c r="D233" s="3414"/>
      <c r="E233" s="3414"/>
      <c r="F233" s="3414" t="s">
        <v>3216</v>
      </c>
      <c r="G233" s="3413" t="s">
        <v>3152</v>
      </c>
      <c r="H233" s="3414" t="s">
        <v>3756</v>
      </c>
      <c r="I233" s="3449">
        <v>0.06</v>
      </c>
      <c r="J233" s="3450">
        <v>42947</v>
      </c>
      <c r="K233" s="3485">
        <v>42979</v>
      </c>
      <c r="L233" s="3429">
        <v>44074</v>
      </c>
      <c r="M233" s="3430">
        <v>12</v>
      </c>
      <c r="N233" s="3414"/>
      <c r="O233" s="3413" t="s">
        <v>3652</v>
      </c>
      <c r="P233" s="3414" t="s">
        <v>3787</v>
      </c>
      <c r="Q233" s="3489" t="s">
        <v>3788</v>
      </c>
      <c r="R233" s="3420">
        <v>1</v>
      </c>
      <c r="S233" s="3420">
        <v>49.9</v>
      </c>
      <c r="T233" s="3490">
        <v>49.9</v>
      </c>
      <c r="U233" s="3420">
        <v>40</v>
      </c>
      <c r="V233" s="3414" t="s">
        <v>3158</v>
      </c>
      <c r="W233" s="3496" t="s">
        <v>3159</v>
      </c>
      <c r="X233" s="3422">
        <f t="shared" si="57"/>
        <v>1996</v>
      </c>
      <c r="Y233" s="3422">
        <f t="shared" si="58"/>
        <v>1.3333333333333333</v>
      </c>
      <c r="Z233" s="3433">
        <f t="shared" si="68"/>
        <v>1.3333333333333333</v>
      </c>
      <c r="AA233" s="3423">
        <f t="shared" si="59"/>
        <v>8715.8700000000008</v>
      </c>
      <c r="AB233" s="3407">
        <f t="shared" si="52"/>
        <v>1.4133333333333333</v>
      </c>
      <c r="AC233" s="3404">
        <f t="shared" si="60"/>
        <v>25741.75</v>
      </c>
      <c r="AD233" s="3446">
        <f t="shared" si="53"/>
        <v>1.4981333333333333</v>
      </c>
      <c r="AE233" s="3404">
        <f t="shared" si="61"/>
        <v>27286.25</v>
      </c>
      <c r="AF233" s="3446">
        <f t="shared" si="54"/>
        <v>1.5880213333333333</v>
      </c>
      <c r="AG233" s="3404">
        <f t="shared" si="62"/>
        <v>28923.43</v>
      </c>
      <c r="AH233" s="3404">
        <v>2.2000000000000002</v>
      </c>
      <c r="AI233" s="3399">
        <f t="shared" si="63"/>
        <v>40069.699999999997</v>
      </c>
      <c r="AJ233" s="3404">
        <f t="shared" si="66"/>
        <v>2.2549999999999999</v>
      </c>
      <c r="AK233" s="3404">
        <f t="shared" si="64"/>
        <v>41071.440000000002</v>
      </c>
      <c r="AL233" s="3404">
        <f t="shared" si="67"/>
        <v>2.3113749999999995</v>
      </c>
      <c r="AM233" s="3404">
        <f t="shared" si="65"/>
        <v>42098.23</v>
      </c>
      <c r="AN233" s="3404"/>
      <c r="AO233" s="3404"/>
      <c r="AP233" s="3404"/>
      <c r="AQ233" s="3404"/>
      <c r="AR233" s="3404"/>
      <c r="AS233" s="3404"/>
      <c r="AT233" s="3404"/>
      <c r="AU233" s="3404"/>
      <c r="AV233" s="3404"/>
      <c r="AW233" s="3404"/>
      <c r="AX233" s="3404"/>
      <c r="AY233" s="3404"/>
      <c r="AZ233" s="3404"/>
      <c r="BA233" s="3404"/>
      <c r="BB233" s="3404"/>
      <c r="BC233" s="3404"/>
      <c r="BD233" s="3404"/>
      <c r="BE233" s="3404"/>
      <c r="BF233" s="3404"/>
    </row>
    <row r="234" spans="1:58" s="3399" customFormat="1" ht="42.75">
      <c r="A234" s="3414" t="s">
        <v>3789</v>
      </c>
      <c r="B234" s="3414" t="s">
        <v>3790</v>
      </c>
      <c r="C234" s="3414" t="s">
        <v>3791</v>
      </c>
      <c r="D234" s="3414"/>
      <c r="E234" s="3414"/>
      <c r="F234" s="3414" t="s">
        <v>3216</v>
      </c>
      <c r="G234" s="3413" t="s">
        <v>3152</v>
      </c>
      <c r="H234" s="3414" t="s">
        <v>3756</v>
      </c>
      <c r="I234" s="3449">
        <v>0.06</v>
      </c>
      <c r="J234" s="3450">
        <v>42948</v>
      </c>
      <c r="K234" s="3485">
        <v>42979</v>
      </c>
      <c r="L234" s="3429">
        <v>44074</v>
      </c>
      <c r="M234" s="3430">
        <v>8</v>
      </c>
      <c r="N234" s="3414"/>
      <c r="O234" s="3413" t="s">
        <v>3363</v>
      </c>
      <c r="P234" s="3414" t="s">
        <v>3589</v>
      </c>
      <c r="Q234" s="3489" t="s">
        <v>3792</v>
      </c>
      <c r="R234" s="3420">
        <v>2</v>
      </c>
      <c r="S234" s="3420">
        <v>150.04</v>
      </c>
      <c r="T234" s="3490">
        <v>150.04</v>
      </c>
      <c r="U234" s="3420">
        <v>50</v>
      </c>
      <c r="V234" s="3414" t="s">
        <v>3158</v>
      </c>
      <c r="W234" s="3496" t="s">
        <v>3218</v>
      </c>
      <c r="X234" s="3422">
        <f t="shared" si="57"/>
        <v>7502</v>
      </c>
      <c r="Y234" s="3422">
        <f t="shared" si="58"/>
        <v>1.6666666666666667</v>
      </c>
      <c r="Z234" s="3433">
        <f t="shared" si="68"/>
        <v>1.6666666666666667</v>
      </c>
      <c r="AA234" s="3423">
        <f t="shared" si="59"/>
        <v>32758.73</v>
      </c>
      <c r="AB234" s="3407">
        <f t="shared" si="52"/>
        <v>1.7666666666666668</v>
      </c>
      <c r="AC234" s="3404">
        <f t="shared" si="60"/>
        <v>96750.79</v>
      </c>
      <c r="AD234" s="3446">
        <f t="shared" si="53"/>
        <v>1.8726666666666669</v>
      </c>
      <c r="AE234" s="3404">
        <f t="shared" si="61"/>
        <v>102555.84</v>
      </c>
      <c r="AF234" s="3446">
        <f t="shared" si="54"/>
        <v>1.9850266666666669</v>
      </c>
      <c r="AG234" s="3404">
        <f t="shared" si="62"/>
        <v>108709.19</v>
      </c>
      <c r="AH234" s="3404">
        <v>2.2000000000000002</v>
      </c>
      <c r="AI234" s="3399">
        <f t="shared" si="63"/>
        <v>120482.12</v>
      </c>
      <c r="AJ234" s="3404">
        <f t="shared" si="66"/>
        <v>2.2549999999999999</v>
      </c>
      <c r="AK234" s="3404">
        <f t="shared" si="64"/>
        <v>123494.17</v>
      </c>
      <c r="AL234" s="3404">
        <f t="shared" si="67"/>
        <v>2.3113749999999995</v>
      </c>
      <c r="AM234" s="3404">
        <f t="shared" si="65"/>
        <v>126581.53</v>
      </c>
      <c r="AN234" s="3404"/>
      <c r="AO234" s="3404"/>
      <c r="AP234" s="3404"/>
      <c r="AQ234" s="3404"/>
      <c r="AR234" s="3404"/>
      <c r="AS234" s="3404"/>
      <c r="AT234" s="3404"/>
      <c r="AU234" s="3404"/>
      <c r="AV234" s="3404"/>
      <c r="AW234" s="3404"/>
      <c r="AX234" s="3404"/>
      <c r="AY234" s="3404"/>
      <c r="AZ234" s="3404"/>
      <c r="BA234" s="3404"/>
      <c r="BB234" s="3404"/>
      <c r="BC234" s="3404"/>
      <c r="BD234" s="3404"/>
      <c r="BE234" s="3404"/>
      <c r="BF234" s="3404"/>
    </row>
    <row r="235" spans="1:58" s="3399" customFormat="1" ht="42.75">
      <c r="A235" s="3414" t="s">
        <v>3789</v>
      </c>
      <c r="B235" s="3414" t="s">
        <v>3790</v>
      </c>
      <c r="C235" s="3414" t="s">
        <v>3791</v>
      </c>
      <c r="D235" s="3414"/>
      <c r="E235" s="3414"/>
      <c r="F235" s="3414" t="s">
        <v>3216</v>
      </c>
      <c r="G235" s="3413" t="s">
        <v>3152</v>
      </c>
      <c r="H235" s="3414" t="s">
        <v>3756</v>
      </c>
      <c r="I235" s="3449">
        <v>0.06</v>
      </c>
      <c r="J235" s="3450">
        <v>42948</v>
      </c>
      <c r="K235" s="3485">
        <v>42979</v>
      </c>
      <c r="L235" s="3429">
        <v>44074</v>
      </c>
      <c r="M235" s="3430">
        <v>8</v>
      </c>
      <c r="N235" s="3414"/>
      <c r="O235" s="3413" t="s">
        <v>3363</v>
      </c>
      <c r="P235" s="3414" t="s">
        <v>3589</v>
      </c>
      <c r="Q235" s="3489" t="s">
        <v>3792</v>
      </c>
      <c r="R235" s="3420">
        <v>2</v>
      </c>
      <c r="S235" s="3420">
        <v>150.04</v>
      </c>
      <c r="T235" s="3490">
        <v>150.04</v>
      </c>
      <c r="U235" s="3420">
        <v>50</v>
      </c>
      <c r="V235" s="3414" t="s">
        <v>3158</v>
      </c>
      <c r="W235" s="3496" t="s">
        <v>3218</v>
      </c>
      <c r="X235" s="3422">
        <f t="shared" si="57"/>
        <v>7502</v>
      </c>
      <c r="Y235" s="3422">
        <f t="shared" si="58"/>
        <v>1.6666666666666667</v>
      </c>
      <c r="Z235" s="3433">
        <f t="shared" si="68"/>
        <v>1.6666666666666667</v>
      </c>
      <c r="AA235" s="3423">
        <f t="shared" si="59"/>
        <v>32758.73</v>
      </c>
      <c r="AB235" s="3407">
        <f t="shared" si="52"/>
        <v>1.7666666666666668</v>
      </c>
      <c r="AC235" s="3404">
        <f t="shared" si="60"/>
        <v>96750.79</v>
      </c>
      <c r="AD235" s="3446">
        <f t="shared" si="53"/>
        <v>1.8726666666666669</v>
      </c>
      <c r="AE235" s="3404">
        <f t="shared" si="61"/>
        <v>102555.84</v>
      </c>
      <c r="AF235" s="3446">
        <f t="shared" si="54"/>
        <v>1.9850266666666669</v>
      </c>
      <c r="AG235" s="3404">
        <f t="shared" si="62"/>
        <v>108709.19</v>
      </c>
      <c r="AH235" s="3404">
        <v>2.2000000000000002</v>
      </c>
      <c r="AI235" s="3399">
        <f t="shared" si="63"/>
        <v>120482.12</v>
      </c>
      <c r="AJ235" s="3404">
        <f t="shared" si="66"/>
        <v>2.2549999999999999</v>
      </c>
      <c r="AK235" s="3404">
        <f t="shared" si="64"/>
        <v>123494.17</v>
      </c>
      <c r="AL235" s="3404">
        <f t="shared" si="67"/>
        <v>2.3113749999999995</v>
      </c>
      <c r="AM235" s="3404">
        <f t="shared" si="65"/>
        <v>126581.53</v>
      </c>
      <c r="AN235" s="3404"/>
      <c r="AO235" s="3404"/>
      <c r="AP235" s="3404"/>
      <c r="AQ235" s="3404"/>
      <c r="AR235" s="3404"/>
      <c r="AS235" s="3404"/>
      <c r="AT235" s="3404"/>
      <c r="AU235" s="3404"/>
      <c r="AV235" s="3404"/>
      <c r="AW235" s="3404"/>
      <c r="AX235" s="3404"/>
      <c r="AY235" s="3404"/>
      <c r="AZ235" s="3404"/>
      <c r="BA235" s="3404"/>
      <c r="BB235" s="3404"/>
      <c r="BC235" s="3404"/>
      <c r="BD235" s="3404"/>
      <c r="BE235" s="3404"/>
      <c r="BF235" s="3404"/>
    </row>
    <row r="236" spans="1:58" s="3399" customFormat="1" ht="16.5" customHeight="1">
      <c r="A236" s="3414" t="s">
        <v>3789</v>
      </c>
      <c r="B236" s="3414" t="s">
        <v>3790</v>
      </c>
      <c r="C236" s="3414" t="s">
        <v>3791</v>
      </c>
      <c r="D236" s="3414"/>
      <c r="E236" s="3414"/>
      <c r="F236" s="3414" t="s">
        <v>3216</v>
      </c>
      <c r="G236" s="3413" t="s">
        <v>3152</v>
      </c>
      <c r="H236" s="3414" t="s">
        <v>3756</v>
      </c>
      <c r="I236" s="3449">
        <v>0.06</v>
      </c>
      <c r="J236" s="3450">
        <v>42948</v>
      </c>
      <c r="K236" s="3485">
        <v>42979</v>
      </c>
      <c r="L236" s="3429">
        <v>44074</v>
      </c>
      <c r="M236" s="3430">
        <v>8</v>
      </c>
      <c r="N236" s="3414"/>
      <c r="O236" s="3413" t="s">
        <v>3363</v>
      </c>
      <c r="P236" s="3414" t="s">
        <v>3589</v>
      </c>
      <c r="Q236" s="3489" t="s">
        <v>3792</v>
      </c>
      <c r="R236" s="3420">
        <v>2</v>
      </c>
      <c r="S236" s="3420">
        <v>150.04</v>
      </c>
      <c r="T236" s="3490">
        <v>150.04</v>
      </c>
      <c r="U236" s="3420">
        <v>50</v>
      </c>
      <c r="V236" s="3414" t="s">
        <v>3158</v>
      </c>
      <c r="W236" s="3496" t="s">
        <v>3159</v>
      </c>
      <c r="X236" s="3422">
        <f t="shared" si="57"/>
        <v>7502</v>
      </c>
      <c r="Y236" s="3422">
        <f t="shared" si="58"/>
        <v>1.6666666666666667</v>
      </c>
      <c r="Z236" s="3433">
        <f t="shared" si="68"/>
        <v>1.6666666666666667</v>
      </c>
      <c r="AA236" s="3423">
        <f t="shared" si="59"/>
        <v>32758.73</v>
      </c>
      <c r="AB236" s="3407">
        <f t="shared" si="52"/>
        <v>1.7666666666666668</v>
      </c>
      <c r="AC236" s="3404">
        <f t="shared" si="60"/>
        <v>96750.79</v>
      </c>
      <c r="AD236" s="3446">
        <f t="shared" si="53"/>
        <v>1.8726666666666669</v>
      </c>
      <c r="AE236" s="3404">
        <f t="shared" si="61"/>
        <v>102555.84</v>
      </c>
      <c r="AF236" s="3446">
        <f t="shared" si="54"/>
        <v>1.9850266666666669</v>
      </c>
      <c r="AG236" s="3404">
        <f t="shared" si="62"/>
        <v>108709.19</v>
      </c>
      <c r="AH236" s="3404">
        <v>2.2000000000000002</v>
      </c>
      <c r="AI236" s="3399">
        <f t="shared" si="63"/>
        <v>120482.12</v>
      </c>
      <c r="AJ236" s="3404">
        <f t="shared" si="66"/>
        <v>2.2549999999999999</v>
      </c>
      <c r="AK236" s="3404">
        <f t="shared" si="64"/>
        <v>123494.17</v>
      </c>
      <c r="AL236" s="3404">
        <f t="shared" si="67"/>
        <v>2.3113749999999995</v>
      </c>
      <c r="AM236" s="3404">
        <f t="shared" si="65"/>
        <v>126581.53</v>
      </c>
      <c r="AN236" s="3404"/>
      <c r="AO236" s="3404"/>
      <c r="AP236" s="3404"/>
      <c r="AQ236" s="3404"/>
      <c r="AR236" s="3404"/>
      <c r="AS236" s="3404"/>
      <c r="AT236" s="3404"/>
      <c r="AU236" s="3404"/>
      <c r="AV236" s="3404"/>
      <c r="AW236" s="3404"/>
      <c r="AX236" s="3404"/>
      <c r="AY236" s="3404"/>
      <c r="AZ236" s="3404"/>
      <c r="BA236" s="3404"/>
      <c r="BB236" s="3404"/>
      <c r="BC236" s="3404"/>
      <c r="BD236" s="3404"/>
      <c r="BE236" s="3404"/>
      <c r="BF236" s="3404"/>
    </row>
    <row r="237" spans="1:58" s="3399" customFormat="1" ht="71.25">
      <c r="A237" s="3414" t="s">
        <v>3793</v>
      </c>
      <c r="B237" s="3414" t="s">
        <v>3794</v>
      </c>
      <c r="C237" s="3414" t="s">
        <v>3795</v>
      </c>
      <c r="D237" s="3414" t="s">
        <v>3794</v>
      </c>
      <c r="E237" s="3414" t="s">
        <v>3215</v>
      </c>
      <c r="F237" s="3414" t="s">
        <v>3151</v>
      </c>
      <c r="G237" s="3414" t="s">
        <v>3152</v>
      </c>
      <c r="H237" s="3414" t="s">
        <v>3796</v>
      </c>
      <c r="I237" s="3449">
        <v>0.06</v>
      </c>
      <c r="J237" s="3450">
        <v>42186</v>
      </c>
      <c r="K237" s="3416">
        <v>42186</v>
      </c>
      <c r="L237" s="3417">
        <v>44012</v>
      </c>
      <c r="M237" s="3418">
        <v>0</v>
      </c>
      <c r="N237" s="3414" t="s">
        <v>3154</v>
      </c>
      <c r="O237" s="3413" t="s">
        <v>3155</v>
      </c>
      <c r="P237" s="3414" t="s">
        <v>3703</v>
      </c>
      <c r="Q237" s="3414" t="s">
        <v>3797</v>
      </c>
      <c r="R237" s="3420">
        <v>8</v>
      </c>
      <c r="S237" s="3419">
        <v>629.58000000000004</v>
      </c>
      <c r="T237" s="3420">
        <v>629.58000000000004</v>
      </c>
      <c r="U237" s="3419">
        <v>5</v>
      </c>
      <c r="V237" s="3414" t="s">
        <v>3158</v>
      </c>
      <c r="W237" s="3432" t="s">
        <v>3159</v>
      </c>
      <c r="X237" s="3422">
        <f t="shared" si="57"/>
        <v>3148</v>
      </c>
      <c r="Y237" s="3422">
        <f t="shared" si="58"/>
        <v>0.16667196120164765</v>
      </c>
      <c r="Z237" s="3433">
        <f t="shared" si="68"/>
        <v>0.16667196120164765</v>
      </c>
      <c r="AA237" s="3423">
        <f t="shared" si="59"/>
        <v>13746.27</v>
      </c>
      <c r="AB237" s="3407">
        <f t="shared" si="52"/>
        <v>0.17667227887374651</v>
      </c>
      <c r="AC237" s="3404">
        <f t="shared" si="60"/>
        <v>40598.71</v>
      </c>
      <c r="AD237" s="3446">
        <f t="shared" si="53"/>
        <v>0.18727261560617131</v>
      </c>
      <c r="AE237" s="3404">
        <f t="shared" si="61"/>
        <v>43034.63</v>
      </c>
      <c r="AF237" s="3446">
        <f t="shared" si="54"/>
        <v>0.1985089725425416</v>
      </c>
      <c r="AG237" s="3404">
        <f t="shared" si="62"/>
        <v>45616.71</v>
      </c>
      <c r="AH237" s="3404">
        <v>2.2000000000000002</v>
      </c>
      <c r="AI237" s="3399">
        <f t="shared" si="63"/>
        <v>505552.74</v>
      </c>
      <c r="AJ237" s="3404">
        <f t="shared" si="66"/>
        <v>2.2549999999999999</v>
      </c>
      <c r="AK237" s="3404">
        <f t="shared" si="64"/>
        <v>518191.56</v>
      </c>
      <c r="AL237" s="3404">
        <f t="shared" si="67"/>
        <v>2.3113749999999995</v>
      </c>
      <c r="AM237" s="3404">
        <f t="shared" si="65"/>
        <v>531146.35</v>
      </c>
      <c r="AN237" s="3404"/>
      <c r="AO237" s="3404"/>
      <c r="AP237" s="3404"/>
      <c r="AQ237" s="3404"/>
      <c r="AR237" s="3404"/>
      <c r="AS237" s="3404"/>
      <c r="AT237" s="3404"/>
      <c r="AU237" s="3404"/>
      <c r="AV237" s="3404"/>
      <c r="AW237" s="3404"/>
      <c r="AX237" s="3404"/>
      <c r="AY237" s="3404"/>
      <c r="AZ237" s="3404"/>
      <c r="BA237" s="3404"/>
      <c r="BB237" s="3404"/>
      <c r="BC237" s="3404"/>
      <c r="BD237" s="3404"/>
      <c r="BE237" s="3404"/>
      <c r="BF237" s="3404"/>
    </row>
    <row r="238" spans="1:58" s="3507" customFormat="1" ht="42.75">
      <c r="A238" s="3414" t="s">
        <v>3798</v>
      </c>
      <c r="B238" s="3414" t="s">
        <v>3799</v>
      </c>
      <c r="C238" s="3414" t="s">
        <v>3800</v>
      </c>
      <c r="D238" s="3414" t="s">
        <v>3801</v>
      </c>
      <c r="E238" s="3414" t="s">
        <v>3200</v>
      </c>
      <c r="F238" s="3414" t="s">
        <v>3216</v>
      </c>
      <c r="G238" s="3413" t="s">
        <v>3152</v>
      </c>
      <c r="H238" s="3414" t="s">
        <v>3381</v>
      </c>
      <c r="I238" s="3449">
        <v>0.06</v>
      </c>
      <c r="J238" s="3450">
        <v>42436</v>
      </c>
      <c r="K238" s="3485">
        <v>42461</v>
      </c>
      <c r="L238" s="3429">
        <v>43555</v>
      </c>
      <c r="M238" s="3430" t="s">
        <v>3382</v>
      </c>
      <c r="N238" s="3414" t="s">
        <v>3154</v>
      </c>
      <c r="O238" s="3414" t="s">
        <v>3363</v>
      </c>
      <c r="P238" s="3414" t="s">
        <v>3589</v>
      </c>
      <c r="Q238" s="3414" t="s">
        <v>3802</v>
      </c>
      <c r="R238" s="3420">
        <v>4</v>
      </c>
      <c r="S238" s="3419">
        <v>382.82</v>
      </c>
      <c r="T238" s="3420">
        <v>382.82</v>
      </c>
      <c r="U238" s="3419">
        <v>40</v>
      </c>
      <c r="V238" s="3414" t="s">
        <v>3158</v>
      </c>
      <c r="W238" s="3505" t="s">
        <v>3218</v>
      </c>
      <c r="X238" s="3422">
        <f t="shared" si="57"/>
        <v>15313</v>
      </c>
      <c r="Y238" s="3422">
        <f t="shared" si="58"/>
        <v>1.3333507479581352</v>
      </c>
      <c r="Z238" s="3433">
        <f t="shared" si="68"/>
        <v>1.3333507479581352</v>
      </c>
      <c r="AA238" s="3423">
        <f t="shared" si="59"/>
        <v>66866.77</v>
      </c>
      <c r="AB238" s="3407">
        <f t="shared" si="52"/>
        <v>1.4133517928356234</v>
      </c>
      <c r="AC238" s="3404">
        <f t="shared" si="60"/>
        <v>197486.66</v>
      </c>
      <c r="AD238" s="3446">
        <f t="shared" si="53"/>
        <v>1.4981529004057608</v>
      </c>
      <c r="AE238" s="3404">
        <f t="shared" si="61"/>
        <v>209335.86</v>
      </c>
      <c r="AF238" s="3446">
        <v>2.2000000000000002</v>
      </c>
      <c r="AG238" s="3404">
        <f t="shared" si="62"/>
        <v>307404.46000000002</v>
      </c>
      <c r="AH238" s="3404">
        <f>AF238*(1+$AH$1)</f>
        <v>2.2549999999999999</v>
      </c>
      <c r="AI238" s="3399">
        <f t="shared" si="63"/>
        <v>315089.57</v>
      </c>
      <c r="AJ238" s="3404">
        <f t="shared" si="66"/>
        <v>2.3113749999999995</v>
      </c>
      <c r="AK238" s="3404">
        <f t="shared" si="64"/>
        <v>322966.81</v>
      </c>
      <c r="AL238" s="3404">
        <f t="shared" si="67"/>
        <v>2.3691593749999993</v>
      </c>
      <c r="AM238" s="3404">
        <f t="shared" si="65"/>
        <v>331040.98</v>
      </c>
      <c r="AN238" s="3506"/>
      <c r="AO238" s="3506"/>
      <c r="AP238" s="3506"/>
      <c r="AQ238" s="3506"/>
      <c r="AR238" s="3506"/>
      <c r="AS238" s="3506"/>
      <c r="AT238" s="3506"/>
      <c r="AU238" s="3506"/>
      <c r="AV238" s="3506"/>
      <c r="AW238" s="3506"/>
      <c r="AX238" s="3506"/>
      <c r="AY238" s="3506"/>
      <c r="AZ238" s="3506"/>
      <c r="BA238" s="3506"/>
      <c r="BB238" s="3506"/>
      <c r="BC238" s="3506"/>
      <c r="BD238" s="3506"/>
      <c r="BE238" s="3506"/>
      <c r="BF238" s="3506"/>
    </row>
    <row r="239" spans="1:58" s="3399" customFormat="1" ht="42.75">
      <c r="A239" s="3414" t="s">
        <v>3798</v>
      </c>
      <c r="B239" s="3414" t="s">
        <v>3803</v>
      </c>
      <c r="C239" s="3414" t="s">
        <v>3800</v>
      </c>
      <c r="D239" s="3414" t="s">
        <v>3801</v>
      </c>
      <c r="E239" s="3414" t="s">
        <v>3200</v>
      </c>
      <c r="F239" s="3414" t="s">
        <v>3216</v>
      </c>
      <c r="G239" s="3413" t="s">
        <v>3152</v>
      </c>
      <c r="H239" s="3414" t="s">
        <v>3381</v>
      </c>
      <c r="I239" s="3449">
        <v>0.06</v>
      </c>
      <c r="J239" s="3450">
        <v>42436</v>
      </c>
      <c r="K239" s="3485">
        <v>42461</v>
      </c>
      <c r="L239" s="3429">
        <v>43555</v>
      </c>
      <c r="M239" s="3430">
        <v>0</v>
      </c>
      <c r="N239" s="3414" t="s">
        <v>3154</v>
      </c>
      <c r="O239" s="3414" t="s">
        <v>3363</v>
      </c>
      <c r="P239" s="3414" t="s">
        <v>3589</v>
      </c>
      <c r="Q239" s="3414" t="s">
        <v>3802</v>
      </c>
      <c r="R239" s="3420">
        <v>4</v>
      </c>
      <c r="S239" s="3419">
        <v>382.82</v>
      </c>
      <c r="T239" s="3420">
        <v>382.82</v>
      </c>
      <c r="U239" s="3419">
        <v>56.5</v>
      </c>
      <c r="V239" s="3414" t="s">
        <v>3158</v>
      </c>
      <c r="W239" s="3432" t="s">
        <v>3159</v>
      </c>
      <c r="X239" s="3422">
        <f t="shared" si="57"/>
        <v>21629</v>
      </c>
      <c r="Y239" s="3422">
        <f t="shared" si="58"/>
        <v>1.8833045992024102</v>
      </c>
      <c r="Z239" s="3433">
        <f t="shared" si="68"/>
        <v>1.8833045992024102</v>
      </c>
      <c r="AA239" s="3423">
        <f t="shared" si="59"/>
        <v>94446.63</v>
      </c>
      <c r="AB239" s="3407">
        <f t="shared" si="52"/>
        <v>1.9963028751545548</v>
      </c>
      <c r="AC239" s="3404">
        <f t="shared" si="60"/>
        <v>278942</v>
      </c>
      <c r="AD239" s="3446">
        <f t="shared" si="53"/>
        <v>2.1160810476638283</v>
      </c>
      <c r="AE239" s="3404">
        <f t="shared" si="61"/>
        <v>295678.52</v>
      </c>
      <c r="AF239" s="3446">
        <v>2.2000000000000002</v>
      </c>
      <c r="AG239" s="3404">
        <f t="shared" si="62"/>
        <v>307404.46000000002</v>
      </c>
      <c r="AH239" s="3404">
        <f t="shared" ref="AH239:AH244" si="69">AF239*(1+$AH$1)</f>
        <v>2.2549999999999999</v>
      </c>
      <c r="AI239" s="3399">
        <f t="shared" si="63"/>
        <v>315089.57</v>
      </c>
      <c r="AJ239" s="3404">
        <f t="shared" si="66"/>
        <v>2.3113749999999995</v>
      </c>
      <c r="AK239" s="3404">
        <f t="shared" si="64"/>
        <v>322966.81</v>
      </c>
      <c r="AL239" s="3404">
        <f t="shared" si="67"/>
        <v>2.3691593749999993</v>
      </c>
      <c r="AM239" s="3404">
        <f t="shared" si="65"/>
        <v>331040.98</v>
      </c>
      <c r="AN239" s="3404"/>
      <c r="AO239" s="3404"/>
      <c r="AP239" s="3404"/>
      <c r="AQ239" s="3404"/>
      <c r="AR239" s="3404"/>
      <c r="AS239" s="3404"/>
      <c r="AT239" s="3404"/>
      <c r="AU239" s="3404"/>
      <c r="AV239" s="3404"/>
      <c r="AW239" s="3404"/>
      <c r="AX239" s="3404"/>
      <c r="AY239" s="3404"/>
      <c r="AZ239" s="3404"/>
      <c r="BA239" s="3404"/>
      <c r="BB239" s="3404"/>
      <c r="BC239" s="3404"/>
      <c r="BD239" s="3404"/>
      <c r="BE239" s="3404"/>
      <c r="BF239" s="3404"/>
    </row>
    <row r="240" spans="1:58" s="3399" customFormat="1" ht="42.75">
      <c r="A240" s="3414" t="s">
        <v>3804</v>
      </c>
      <c r="B240" s="3414" t="s">
        <v>3799</v>
      </c>
      <c r="C240" s="3414" t="s">
        <v>3800</v>
      </c>
      <c r="D240" s="3414" t="s">
        <v>3801</v>
      </c>
      <c r="E240" s="3414" t="s">
        <v>3200</v>
      </c>
      <c r="F240" s="3414" t="s">
        <v>3216</v>
      </c>
      <c r="G240" s="3413" t="s">
        <v>3152</v>
      </c>
      <c r="H240" s="3414" t="s">
        <v>3381</v>
      </c>
      <c r="I240" s="3449">
        <v>0.06</v>
      </c>
      <c r="J240" s="3450">
        <v>42478</v>
      </c>
      <c r="K240" s="3485">
        <v>42491</v>
      </c>
      <c r="L240" s="3429">
        <v>43585</v>
      </c>
      <c r="M240" s="3430">
        <v>12</v>
      </c>
      <c r="N240" s="3414" t="s">
        <v>3154</v>
      </c>
      <c r="O240" s="3414" t="s">
        <v>3363</v>
      </c>
      <c r="P240" s="3414" t="s">
        <v>3589</v>
      </c>
      <c r="Q240" s="3414" t="s">
        <v>3805</v>
      </c>
      <c r="R240" s="3420">
        <v>1</v>
      </c>
      <c r="S240" s="3419">
        <v>72.94</v>
      </c>
      <c r="T240" s="3420">
        <v>72.94</v>
      </c>
      <c r="U240" s="3419">
        <v>40</v>
      </c>
      <c r="V240" s="3414" t="s">
        <v>3158</v>
      </c>
      <c r="W240" s="3432" t="s">
        <v>3218</v>
      </c>
      <c r="X240" s="3422">
        <f t="shared" si="57"/>
        <v>2918</v>
      </c>
      <c r="Y240" s="3422">
        <f t="shared" si="58"/>
        <v>1.3335161319806235</v>
      </c>
      <c r="Z240" s="3433">
        <f t="shared" si="68"/>
        <v>1.3335161319806235</v>
      </c>
      <c r="AA240" s="3423">
        <f t="shared" si="59"/>
        <v>12741.93</v>
      </c>
      <c r="AB240" s="3407">
        <f t="shared" si="52"/>
        <v>1.4135270998994609</v>
      </c>
      <c r="AC240" s="3404">
        <f t="shared" si="60"/>
        <v>37632.47</v>
      </c>
      <c r="AD240" s="3446">
        <f t="shared" si="53"/>
        <v>1.4983387258934286</v>
      </c>
      <c r="AE240" s="3404">
        <f t="shared" si="61"/>
        <v>39890.42</v>
      </c>
      <c r="AF240" s="3446">
        <v>2.2000000000000002</v>
      </c>
      <c r="AG240" s="3404">
        <f t="shared" si="62"/>
        <v>58570.82</v>
      </c>
      <c r="AH240" s="3404">
        <f t="shared" si="69"/>
        <v>2.2549999999999999</v>
      </c>
      <c r="AI240" s="3399">
        <f t="shared" si="63"/>
        <v>60035.09</v>
      </c>
      <c r="AJ240" s="3404">
        <f t="shared" si="66"/>
        <v>2.3113749999999995</v>
      </c>
      <c r="AK240" s="3404">
        <f t="shared" si="64"/>
        <v>61535.97</v>
      </c>
      <c r="AL240" s="3404">
        <f t="shared" si="67"/>
        <v>2.3691593749999993</v>
      </c>
      <c r="AM240" s="3404">
        <f t="shared" si="65"/>
        <v>63074.37</v>
      </c>
      <c r="AN240" s="3404"/>
      <c r="AO240" s="3404"/>
      <c r="AP240" s="3404"/>
      <c r="AQ240" s="3404"/>
      <c r="AR240" s="3404"/>
      <c r="AS240" s="3404"/>
      <c r="AT240" s="3404"/>
      <c r="AU240" s="3404"/>
      <c r="AV240" s="3404"/>
      <c r="AW240" s="3404"/>
      <c r="AX240" s="3404"/>
      <c r="AY240" s="3404"/>
      <c r="AZ240" s="3404"/>
      <c r="BA240" s="3404"/>
      <c r="BB240" s="3404"/>
      <c r="BC240" s="3404"/>
      <c r="BD240" s="3404"/>
      <c r="BE240" s="3404"/>
      <c r="BF240" s="3404"/>
    </row>
    <row r="241" spans="1:58" s="3399" customFormat="1" ht="42.75">
      <c r="A241" s="3414" t="s">
        <v>3804</v>
      </c>
      <c r="B241" s="3414" t="s">
        <v>3799</v>
      </c>
      <c r="C241" s="3414" t="s">
        <v>3800</v>
      </c>
      <c r="D241" s="3414" t="s">
        <v>3801</v>
      </c>
      <c r="E241" s="3414" t="s">
        <v>3200</v>
      </c>
      <c r="F241" s="3414" t="s">
        <v>3216</v>
      </c>
      <c r="G241" s="3413" t="s">
        <v>3152</v>
      </c>
      <c r="H241" s="3414" t="s">
        <v>3381</v>
      </c>
      <c r="I241" s="3449">
        <v>0.06</v>
      </c>
      <c r="J241" s="3450">
        <v>42478</v>
      </c>
      <c r="K241" s="3485">
        <v>42491</v>
      </c>
      <c r="L241" s="3429">
        <v>43585</v>
      </c>
      <c r="M241" s="3430">
        <v>12</v>
      </c>
      <c r="N241" s="3414" t="s">
        <v>3154</v>
      </c>
      <c r="O241" s="3414" t="s">
        <v>3363</v>
      </c>
      <c r="P241" s="3414" t="s">
        <v>3589</v>
      </c>
      <c r="Q241" s="3414" t="s">
        <v>3805</v>
      </c>
      <c r="R241" s="3420">
        <v>1</v>
      </c>
      <c r="S241" s="3419">
        <v>72.94</v>
      </c>
      <c r="T241" s="3420">
        <v>72.94</v>
      </c>
      <c r="U241" s="3419">
        <v>56.5</v>
      </c>
      <c r="V241" s="3414" t="s">
        <v>3158</v>
      </c>
      <c r="W241" s="3432" t="s">
        <v>3159</v>
      </c>
      <c r="X241" s="3422">
        <f t="shared" si="57"/>
        <v>4121</v>
      </c>
      <c r="Y241" s="3422">
        <f t="shared" si="58"/>
        <v>1.8832830637053286</v>
      </c>
      <c r="Z241" s="3433">
        <f t="shared" si="68"/>
        <v>1.8832830637053286</v>
      </c>
      <c r="AA241" s="3423">
        <f t="shared" si="59"/>
        <v>17995.03</v>
      </c>
      <c r="AB241" s="3407">
        <f t="shared" si="52"/>
        <v>1.9962800475276483</v>
      </c>
      <c r="AC241" s="3404">
        <f t="shared" si="60"/>
        <v>53147.16</v>
      </c>
      <c r="AD241" s="3446">
        <f t="shared" si="53"/>
        <v>2.1160568503793074</v>
      </c>
      <c r="AE241" s="3404">
        <f t="shared" si="61"/>
        <v>56335.99</v>
      </c>
      <c r="AF241" s="3446">
        <v>2.2000000000000002</v>
      </c>
      <c r="AG241" s="3404">
        <f t="shared" si="62"/>
        <v>58570.82</v>
      </c>
      <c r="AH241" s="3404">
        <f t="shared" si="69"/>
        <v>2.2549999999999999</v>
      </c>
      <c r="AI241" s="3399">
        <f t="shared" si="63"/>
        <v>60035.09</v>
      </c>
      <c r="AJ241" s="3404">
        <f t="shared" si="66"/>
        <v>2.3113749999999995</v>
      </c>
      <c r="AK241" s="3404">
        <f t="shared" si="64"/>
        <v>61535.97</v>
      </c>
      <c r="AL241" s="3404">
        <f t="shared" si="67"/>
        <v>2.3691593749999993</v>
      </c>
      <c r="AM241" s="3404">
        <f t="shared" si="65"/>
        <v>63074.37</v>
      </c>
      <c r="AN241" s="3404"/>
      <c r="AO241" s="3404"/>
      <c r="AP241" s="3404"/>
      <c r="AQ241" s="3404"/>
      <c r="AR241" s="3404"/>
      <c r="AS241" s="3404"/>
      <c r="AT241" s="3404"/>
      <c r="AU241" s="3404"/>
      <c r="AV241" s="3404"/>
      <c r="AW241" s="3404"/>
      <c r="AX241" s="3404"/>
      <c r="AY241" s="3404"/>
      <c r="AZ241" s="3404"/>
      <c r="BA241" s="3404"/>
      <c r="BB241" s="3404"/>
      <c r="BC241" s="3404"/>
      <c r="BD241" s="3404"/>
      <c r="BE241" s="3404"/>
      <c r="BF241" s="3404"/>
    </row>
    <row r="242" spans="1:58" s="3399" customFormat="1" ht="57">
      <c r="A242" s="3425" t="s">
        <v>3806</v>
      </c>
      <c r="B242" s="3413" t="s">
        <v>3807</v>
      </c>
      <c r="C242" s="3425" t="s">
        <v>3808</v>
      </c>
      <c r="D242" s="3413" t="s">
        <v>3807</v>
      </c>
      <c r="E242" s="3414" t="s">
        <v>139</v>
      </c>
      <c r="F242" s="3425" t="s">
        <v>3151</v>
      </c>
      <c r="G242" s="3426" t="s">
        <v>3152</v>
      </c>
      <c r="H242" s="3425" t="s">
        <v>3809</v>
      </c>
      <c r="I242" s="3449">
        <v>0.06</v>
      </c>
      <c r="J242" s="3428">
        <v>42490</v>
      </c>
      <c r="K242" s="3428">
        <v>42491</v>
      </c>
      <c r="L242" s="3429">
        <v>43585</v>
      </c>
      <c r="M242" s="3430">
        <v>3</v>
      </c>
      <c r="N242" s="3414" t="s">
        <v>3154</v>
      </c>
      <c r="O242" s="3425" t="s">
        <v>3164</v>
      </c>
      <c r="P242" s="3425" t="s">
        <v>3164</v>
      </c>
      <c r="Q242" s="3425" t="s">
        <v>3810</v>
      </c>
      <c r="R242" s="3431">
        <v>1</v>
      </c>
      <c r="S242" s="3431">
        <v>304.02999999999997</v>
      </c>
      <c r="T242" s="3431">
        <v>304.02999999999997</v>
      </c>
      <c r="U242" s="3431">
        <v>30</v>
      </c>
      <c r="V242" s="3425" t="s">
        <v>3158</v>
      </c>
      <c r="W242" s="3432" t="s">
        <v>3159</v>
      </c>
      <c r="X242" s="3435">
        <f t="shared" si="57"/>
        <v>9121</v>
      </c>
      <c r="Y242" s="3422">
        <f t="shared" si="58"/>
        <v>1.0000109638303238</v>
      </c>
      <c r="Z242" s="3433">
        <f t="shared" si="68"/>
        <v>1.0000109638303238</v>
      </c>
      <c r="AA242" s="3423">
        <f t="shared" si="59"/>
        <v>39828.370000000003</v>
      </c>
      <c r="AB242" s="3407">
        <f t="shared" si="52"/>
        <v>1.0600116216601434</v>
      </c>
      <c r="AC242" s="3404">
        <f t="shared" si="60"/>
        <v>117630.5</v>
      </c>
      <c r="AD242" s="3446">
        <f t="shared" si="53"/>
        <v>1.123612318959752</v>
      </c>
      <c r="AE242" s="3404">
        <f t="shared" si="61"/>
        <v>124688.33</v>
      </c>
      <c r="AF242" s="3446">
        <v>4.5</v>
      </c>
      <c r="AG242" s="3404">
        <f t="shared" si="62"/>
        <v>499369.28</v>
      </c>
      <c r="AH242" s="3404">
        <f t="shared" si="69"/>
        <v>4.6124999999999998</v>
      </c>
      <c r="AI242" s="3399">
        <f t="shared" si="63"/>
        <v>511853.51</v>
      </c>
      <c r="AJ242" s="3404">
        <f t="shared" si="66"/>
        <v>4.7278124999999998</v>
      </c>
      <c r="AK242" s="3404">
        <f t="shared" si="64"/>
        <v>524649.84</v>
      </c>
      <c r="AL242" s="3404">
        <f t="shared" si="67"/>
        <v>4.846007812499999</v>
      </c>
      <c r="AM242" s="3404">
        <f t="shared" si="65"/>
        <v>537766.09</v>
      </c>
      <c r="AN242" s="3404"/>
      <c r="AO242" s="3404"/>
      <c r="AP242" s="3404"/>
      <c r="AQ242" s="3404"/>
      <c r="AR242" s="3404"/>
      <c r="AS242" s="3404"/>
      <c r="AT242" s="3404"/>
      <c r="AU242" s="3404"/>
      <c r="AV242" s="3404"/>
      <c r="AW242" s="3404"/>
      <c r="AX242" s="3404"/>
      <c r="AY242" s="3404"/>
      <c r="AZ242" s="3404"/>
      <c r="BA242" s="3404"/>
      <c r="BB242" s="3404"/>
      <c r="BC242" s="3404"/>
      <c r="BD242" s="3404"/>
      <c r="BE242" s="3404"/>
      <c r="BF242" s="3404"/>
    </row>
    <row r="243" spans="1:58" s="3399" customFormat="1" ht="42.75">
      <c r="A243" s="3414" t="s">
        <v>3811</v>
      </c>
      <c r="B243" s="3414" t="s">
        <v>3812</v>
      </c>
      <c r="C243" s="3414" t="s">
        <v>3813</v>
      </c>
      <c r="D243" s="3414" t="s">
        <v>3814</v>
      </c>
      <c r="E243" s="3414" t="s">
        <v>3200</v>
      </c>
      <c r="F243" s="3414" t="s">
        <v>3216</v>
      </c>
      <c r="G243" s="3413" t="s">
        <v>3152</v>
      </c>
      <c r="H243" s="3414" t="s">
        <v>3396</v>
      </c>
      <c r="I243" s="3449">
        <v>0.06</v>
      </c>
      <c r="J243" s="3450">
        <v>42513</v>
      </c>
      <c r="K243" s="3485">
        <v>42566</v>
      </c>
      <c r="L243" s="3429">
        <v>43660</v>
      </c>
      <c r="M243" s="3430">
        <v>0</v>
      </c>
      <c r="N243" s="3414" t="s">
        <v>3154</v>
      </c>
      <c r="O243" s="3414" t="s">
        <v>3363</v>
      </c>
      <c r="P243" s="3414" t="s">
        <v>3589</v>
      </c>
      <c r="Q243" s="3414" t="s">
        <v>3815</v>
      </c>
      <c r="R243" s="3420">
        <v>1</v>
      </c>
      <c r="S243" s="3419">
        <v>75.02</v>
      </c>
      <c r="T243" s="3420">
        <v>75.02</v>
      </c>
      <c r="U243" s="3419">
        <v>40</v>
      </c>
      <c r="V243" s="3414" t="s">
        <v>3158</v>
      </c>
      <c r="W243" s="3432" t="s">
        <v>3218</v>
      </c>
      <c r="X243" s="3422">
        <f t="shared" si="57"/>
        <v>3001</v>
      </c>
      <c r="Y243" s="3422">
        <f t="shared" si="58"/>
        <v>1.3334221985248378</v>
      </c>
      <c r="Z243" s="3433">
        <f t="shared" si="68"/>
        <v>1.3334221985248378</v>
      </c>
      <c r="AA243" s="3423">
        <f t="shared" si="59"/>
        <v>13104.37</v>
      </c>
      <c r="AB243" s="3407">
        <f t="shared" si="52"/>
        <v>1.4134275304363282</v>
      </c>
      <c r="AC243" s="3404">
        <f t="shared" si="60"/>
        <v>38702.9</v>
      </c>
      <c r="AD243" s="3446">
        <f t="shared" si="53"/>
        <v>1.4982331822625079</v>
      </c>
      <c r="AE243" s="3404">
        <f t="shared" si="61"/>
        <v>41025.07</v>
      </c>
      <c r="AF243" s="3446">
        <v>2.2000000000000002</v>
      </c>
      <c r="AG243" s="3404">
        <f t="shared" si="62"/>
        <v>60241.06</v>
      </c>
      <c r="AH243" s="3404">
        <f t="shared" si="69"/>
        <v>2.2549999999999999</v>
      </c>
      <c r="AI243" s="3399">
        <f t="shared" si="63"/>
        <v>61747.09</v>
      </c>
      <c r="AJ243" s="3404">
        <f t="shared" si="66"/>
        <v>2.3113749999999995</v>
      </c>
      <c r="AK243" s="3404">
        <f t="shared" si="64"/>
        <v>63290.76</v>
      </c>
      <c r="AL243" s="3404">
        <f t="shared" si="67"/>
        <v>2.3691593749999993</v>
      </c>
      <c r="AM243" s="3404">
        <f t="shared" si="65"/>
        <v>64873.03</v>
      </c>
      <c r="AN243" s="3404"/>
      <c r="AO243" s="3404"/>
      <c r="AP243" s="3404"/>
      <c r="AQ243" s="3404"/>
      <c r="AR243" s="3404"/>
      <c r="AS243" s="3404"/>
      <c r="AT243" s="3404"/>
      <c r="AU243" s="3404"/>
      <c r="AV243" s="3404"/>
      <c r="AW243" s="3404"/>
      <c r="AX243" s="3404"/>
      <c r="AY243" s="3404"/>
      <c r="AZ243" s="3404"/>
      <c r="BA243" s="3404"/>
      <c r="BB243" s="3404"/>
      <c r="BC243" s="3404"/>
      <c r="BD243" s="3404"/>
      <c r="BE243" s="3404"/>
      <c r="BF243" s="3404"/>
    </row>
    <row r="244" spans="1:58" s="3399" customFormat="1" ht="42.75">
      <c r="A244" s="3414" t="s">
        <v>3811</v>
      </c>
      <c r="B244" s="3414" t="s">
        <v>3812</v>
      </c>
      <c r="C244" s="3414" t="s">
        <v>3813</v>
      </c>
      <c r="D244" s="3414" t="s">
        <v>3814</v>
      </c>
      <c r="E244" s="3414" t="s">
        <v>3200</v>
      </c>
      <c r="F244" s="3414" t="s">
        <v>3216</v>
      </c>
      <c r="G244" s="3413" t="s">
        <v>3152</v>
      </c>
      <c r="H244" s="3414" t="s">
        <v>3396</v>
      </c>
      <c r="I244" s="3449">
        <v>0.06</v>
      </c>
      <c r="J244" s="3450">
        <v>42513</v>
      </c>
      <c r="K244" s="3485">
        <v>42566</v>
      </c>
      <c r="L244" s="3429">
        <v>43660</v>
      </c>
      <c r="M244" s="3430">
        <v>12</v>
      </c>
      <c r="N244" s="3414" t="s">
        <v>3154</v>
      </c>
      <c r="O244" s="3414" t="s">
        <v>3363</v>
      </c>
      <c r="P244" s="3414" t="s">
        <v>3589</v>
      </c>
      <c r="Q244" s="3414" t="s">
        <v>3815</v>
      </c>
      <c r="R244" s="3420">
        <v>1</v>
      </c>
      <c r="S244" s="3419">
        <v>75.02</v>
      </c>
      <c r="T244" s="3420">
        <v>75.02</v>
      </c>
      <c r="U244" s="3419">
        <v>60</v>
      </c>
      <c r="V244" s="3414" t="s">
        <v>3158</v>
      </c>
      <c r="W244" s="3505" t="s">
        <v>3159</v>
      </c>
      <c r="X244" s="3422">
        <f t="shared" si="57"/>
        <v>4501</v>
      </c>
      <c r="Y244" s="3422">
        <f t="shared" si="58"/>
        <v>1.9999111348084957</v>
      </c>
      <c r="Z244" s="3433">
        <f t="shared" si="68"/>
        <v>1.9999111348084957</v>
      </c>
      <c r="AA244" s="3423">
        <f t="shared" si="59"/>
        <v>19654.37</v>
      </c>
      <c r="AB244" s="3407">
        <f t="shared" si="52"/>
        <v>2.1199058028970055</v>
      </c>
      <c r="AC244" s="3404">
        <f t="shared" si="60"/>
        <v>58047.9</v>
      </c>
      <c r="AD244" s="3446">
        <f t="shared" si="53"/>
        <v>2.2471001510708257</v>
      </c>
      <c r="AE244" s="3404">
        <f t="shared" si="61"/>
        <v>61530.77</v>
      </c>
      <c r="AF244" s="3446">
        <v>2.2000000000000002</v>
      </c>
      <c r="AG244" s="3404">
        <f t="shared" si="62"/>
        <v>60241.06</v>
      </c>
      <c r="AH244" s="3404">
        <f t="shared" si="69"/>
        <v>2.2549999999999999</v>
      </c>
      <c r="AI244" s="3399">
        <f t="shared" si="63"/>
        <v>61747.09</v>
      </c>
      <c r="AJ244" s="3404">
        <f t="shared" si="66"/>
        <v>2.3113749999999995</v>
      </c>
      <c r="AK244" s="3404">
        <f t="shared" si="64"/>
        <v>63290.76</v>
      </c>
      <c r="AL244" s="3404">
        <f t="shared" si="67"/>
        <v>2.3691593749999993</v>
      </c>
      <c r="AM244" s="3404">
        <f t="shared" si="65"/>
        <v>64873.03</v>
      </c>
      <c r="AN244" s="3404"/>
      <c r="AO244" s="3404"/>
      <c r="AP244" s="3404"/>
      <c r="AQ244" s="3404"/>
      <c r="AR244" s="3404"/>
      <c r="AS244" s="3404"/>
      <c r="AT244" s="3404"/>
      <c r="AU244" s="3404"/>
      <c r="AV244" s="3404"/>
      <c r="AW244" s="3404"/>
      <c r="AX244" s="3404"/>
      <c r="AY244" s="3404"/>
      <c r="AZ244" s="3404"/>
      <c r="BA244" s="3404"/>
      <c r="BB244" s="3404"/>
      <c r="BC244" s="3404"/>
      <c r="BD244" s="3404"/>
      <c r="BE244" s="3404"/>
      <c r="BF244" s="3404"/>
    </row>
    <row r="245" spans="1:58" s="3509" customFormat="1" ht="71.25">
      <c r="A245" s="3508" t="s">
        <v>3793</v>
      </c>
      <c r="B245" s="3508" t="s">
        <v>3794</v>
      </c>
      <c r="C245" s="3414" t="s">
        <v>3794</v>
      </c>
      <c r="E245" s="3508" t="s">
        <v>3215</v>
      </c>
      <c r="F245" s="3508" t="s">
        <v>3151</v>
      </c>
      <c r="G245" s="3508" t="s">
        <v>3152</v>
      </c>
      <c r="H245" s="3508" t="s">
        <v>3796</v>
      </c>
      <c r="I245" s="3510">
        <v>0.06</v>
      </c>
      <c r="J245" s="3511">
        <v>42186</v>
      </c>
      <c r="K245" s="3512">
        <v>42186</v>
      </c>
      <c r="L245" s="3417">
        <v>44012</v>
      </c>
      <c r="N245" s="3508" t="s">
        <v>3154</v>
      </c>
      <c r="O245" s="3513" t="s">
        <v>3155</v>
      </c>
      <c r="P245" s="3508" t="s">
        <v>3703</v>
      </c>
      <c r="Q245" s="3508" t="s">
        <v>3797</v>
      </c>
      <c r="R245" s="3514">
        <v>8</v>
      </c>
      <c r="S245" s="3515">
        <v>629.58000000000004</v>
      </c>
      <c r="T245" s="3514">
        <v>629.58000000000004</v>
      </c>
      <c r="U245" s="3515">
        <v>5</v>
      </c>
      <c r="V245" s="3508" t="s">
        <v>3158</v>
      </c>
      <c r="W245" s="3516" t="s">
        <v>3159</v>
      </c>
      <c r="X245" s="3517">
        <v>3148</v>
      </c>
      <c r="Y245" s="3518"/>
      <c r="Z245" s="3519"/>
      <c r="AA245" s="3520"/>
      <c r="AB245" s="3520"/>
      <c r="AC245" s="3520"/>
      <c r="AD245" s="3520"/>
      <c r="AE245" s="3520"/>
      <c r="AF245" s="3520"/>
      <c r="AG245" s="3520"/>
      <c r="AH245" s="3520"/>
      <c r="AI245" s="3520"/>
      <c r="AJ245" s="3520"/>
      <c r="AK245" s="3520"/>
      <c r="AL245" s="3520"/>
      <c r="AM245" s="3520"/>
      <c r="AN245" s="3520"/>
      <c r="AO245" s="3520"/>
      <c r="AP245" s="3520"/>
      <c r="AQ245" s="3520"/>
      <c r="AR245" s="3520"/>
      <c r="AS245" s="3520"/>
      <c r="AT245" s="3520"/>
      <c r="AU245" s="3520"/>
      <c r="AV245" s="3520"/>
      <c r="AW245" s="3520"/>
      <c r="AX245" s="3520"/>
      <c r="AY245" s="3520"/>
      <c r="AZ245" s="3520"/>
      <c r="BA245" s="3520"/>
      <c r="BB245" s="3520"/>
      <c r="BC245" s="3520"/>
      <c r="BD245" s="3520"/>
      <c r="BE245" s="3520"/>
      <c r="BF245" s="3520"/>
    </row>
    <row r="246" spans="1:58" s="3399" customFormat="1" ht="57">
      <c r="A246" s="3508" t="s">
        <v>3816</v>
      </c>
      <c r="B246" s="3508" t="s">
        <v>3817</v>
      </c>
      <c r="C246" s="3508" t="s">
        <v>3818</v>
      </c>
      <c r="D246" s="3508" t="s">
        <v>3819</v>
      </c>
      <c r="E246" s="3508" t="s">
        <v>3200</v>
      </c>
      <c r="F246" s="3508" t="s">
        <v>3151</v>
      </c>
      <c r="G246" s="3508" t="s">
        <v>3820</v>
      </c>
      <c r="H246" s="3508"/>
      <c r="I246" s="3510"/>
      <c r="J246" s="3511">
        <v>42374</v>
      </c>
      <c r="K246" s="3521">
        <v>42339</v>
      </c>
      <c r="L246" s="3429">
        <v>45626</v>
      </c>
      <c r="M246" s="3522">
        <v>0</v>
      </c>
      <c r="N246" s="3508" t="s">
        <v>3154</v>
      </c>
      <c r="O246" s="3508" t="s">
        <v>3155</v>
      </c>
      <c r="P246" s="3508" t="s">
        <v>3202</v>
      </c>
      <c r="Q246" s="3508" t="s">
        <v>3821</v>
      </c>
      <c r="R246" s="3514">
        <v>17</v>
      </c>
      <c r="S246" s="3514">
        <v>2236.84</v>
      </c>
      <c r="T246" s="3514">
        <v>2236.84</v>
      </c>
      <c r="U246" s="3514"/>
      <c r="V246" s="3508" t="s">
        <v>3158</v>
      </c>
      <c r="W246" s="3508"/>
      <c r="X246" s="3517"/>
      <c r="Y246" s="3517"/>
      <c r="Z246" s="3519"/>
      <c r="AA246" s="3404"/>
      <c r="AB246" s="3404"/>
      <c r="AC246" s="3404"/>
      <c r="AD246" s="3404"/>
      <c r="AE246" s="3404"/>
      <c r="AF246" s="3404"/>
      <c r="AG246" s="3404"/>
      <c r="AH246" s="3404"/>
      <c r="AI246" s="3404"/>
      <c r="AJ246" s="3404"/>
      <c r="AK246" s="3404"/>
      <c r="AL246" s="3404"/>
      <c r="AM246" s="3404"/>
      <c r="AN246" s="3404"/>
      <c r="AO246" s="3404"/>
      <c r="AP246" s="3404"/>
      <c r="AQ246" s="3404"/>
      <c r="AR246" s="3404"/>
      <c r="AS246" s="3404"/>
      <c r="AT246" s="3404"/>
      <c r="AU246" s="3404"/>
      <c r="AV246" s="3404"/>
      <c r="AW246" s="3404"/>
      <c r="AX246" s="3404"/>
      <c r="AY246" s="3404"/>
      <c r="AZ246" s="3404"/>
      <c r="BA246" s="3404"/>
      <c r="BB246" s="3404"/>
      <c r="BC246" s="3404"/>
      <c r="BD246" s="3404"/>
      <c r="BE246" s="3404"/>
      <c r="BF246" s="3404"/>
    </row>
    <row r="247" spans="1:58" s="3399" customFormat="1" ht="42.75">
      <c r="A247" s="3508" t="s">
        <v>3822</v>
      </c>
      <c r="B247" s="3508" t="s">
        <v>3823</v>
      </c>
      <c r="C247" s="3508" t="s">
        <v>3824</v>
      </c>
      <c r="D247" s="3508" t="s">
        <v>3825</v>
      </c>
      <c r="E247" s="3508" t="s">
        <v>3215</v>
      </c>
      <c r="F247" s="3508" t="s">
        <v>3151</v>
      </c>
      <c r="G247" s="3508" t="s">
        <v>3820</v>
      </c>
      <c r="H247" s="3508"/>
      <c r="I247" s="3510"/>
      <c r="J247" s="3511">
        <v>42268</v>
      </c>
      <c r="K247" s="3521">
        <v>42278</v>
      </c>
      <c r="L247" s="3429">
        <v>47756</v>
      </c>
      <c r="M247" s="3522">
        <v>12</v>
      </c>
      <c r="N247" s="3508" t="s">
        <v>3154</v>
      </c>
      <c r="O247" s="3508" t="s">
        <v>3155</v>
      </c>
      <c r="P247" s="3508" t="s">
        <v>3253</v>
      </c>
      <c r="Q247" s="3508" t="s">
        <v>3826</v>
      </c>
      <c r="R247" s="3514">
        <v>15</v>
      </c>
      <c r="S247" s="3514">
        <v>1680</v>
      </c>
      <c r="T247" s="3514">
        <v>1586.5</v>
      </c>
      <c r="U247" s="3514"/>
      <c r="V247" s="3508" t="s">
        <v>3158</v>
      </c>
      <c r="W247" s="3508"/>
      <c r="X247" s="3517"/>
      <c r="Y247" s="3517"/>
      <c r="Z247" s="3519"/>
      <c r="AA247" s="3404"/>
      <c r="AB247" s="3404"/>
      <c r="AC247" s="3404"/>
      <c r="AD247" s="3404"/>
      <c r="AE247" s="3404"/>
      <c r="AF247" s="3404"/>
      <c r="AG247" s="3404"/>
      <c r="AH247" s="3404"/>
      <c r="AI247" s="3404"/>
      <c r="AJ247" s="3404"/>
      <c r="AK247" s="3404"/>
      <c r="AL247" s="3404"/>
      <c r="AM247" s="3404"/>
      <c r="AN247" s="3404"/>
      <c r="AO247" s="3404"/>
      <c r="AP247" s="3404"/>
      <c r="AQ247" s="3404"/>
      <c r="AR247" s="3404"/>
      <c r="AS247" s="3404"/>
      <c r="AT247" s="3404"/>
      <c r="AU247" s="3404"/>
      <c r="AV247" s="3404"/>
      <c r="AW247" s="3404"/>
      <c r="AX247" s="3404"/>
      <c r="AY247" s="3404"/>
      <c r="AZ247" s="3404"/>
      <c r="BA247" s="3404"/>
      <c r="BB247" s="3404"/>
      <c r="BC247" s="3404"/>
      <c r="BD247" s="3404"/>
      <c r="BE247" s="3404"/>
      <c r="BF247" s="3404"/>
    </row>
    <row r="248" spans="1:58" s="3399" customFormat="1" ht="71.25">
      <c r="A248" s="3508" t="s">
        <v>3827</v>
      </c>
      <c r="B248" s="3508" t="s">
        <v>3828</v>
      </c>
      <c r="C248" s="3508" t="s">
        <v>3829</v>
      </c>
      <c r="D248" s="3508" t="s">
        <v>3830</v>
      </c>
      <c r="E248" s="3508" t="s">
        <v>3238</v>
      </c>
      <c r="F248" s="3508" t="s">
        <v>3151</v>
      </c>
      <c r="G248" s="3508" t="s">
        <v>3820</v>
      </c>
      <c r="H248" s="3508" t="s">
        <v>3831</v>
      </c>
      <c r="I248" s="3510"/>
      <c r="J248" s="3511">
        <v>42346</v>
      </c>
      <c r="K248" s="3521">
        <v>42348</v>
      </c>
      <c r="L248" s="3429">
        <v>45269</v>
      </c>
      <c r="M248" s="3522">
        <v>0</v>
      </c>
      <c r="N248" s="3508" t="s">
        <v>3154</v>
      </c>
      <c r="O248" s="3508" t="s">
        <v>3155</v>
      </c>
      <c r="P248" s="3508" t="s">
        <v>3253</v>
      </c>
      <c r="Q248" s="3508" t="s">
        <v>3832</v>
      </c>
      <c r="R248" s="3514">
        <v>7</v>
      </c>
      <c r="S248" s="3514">
        <v>3208.32</v>
      </c>
      <c r="T248" s="3514">
        <v>3300.41</v>
      </c>
      <c r="U248" s="3514"/>
      <c r="V248" s="3508" t="s">
        <v>3158</v>
      </c>
      <c r="W248" s="3523"/>
      <c r="X248" s="3524"/>
      <c r="Y248" s="3524"/>
      <c r="Z248" s="3525"/>
      <c r="AA248" s="3404"/>
      <c r="AB248" s="3404"/>
      <c r="AC248" s="3404"/>
      <c r="AD248" s="3404"/>
      <c r="AE248" s="3404"/>
      <c r="AF248" s="3404"/>
      <c r="AG248" s="3404"/>
      <c r="AH248" s="3404"/>
      <c r="AI248" s="3404"/>
      <c r="AJ248" s="3404"/>
      <c r="AK248" s="3404"/>
      <c r="AL248" s="3404"/>
      <c r="AM248" s="3404"/>
      <c r="AN248" s="3404"/>
      <c r="AO248" s="3404"/>
      <c r="AP248" s="3404"/>
      <c r="AQ248" s="3404"/>
      <c r="AR248" s="3404"/>
      <c r="AS248" s="3404"/>
      <c r="AT248" s="3404"/>
      <c r="AU248" s="3404"/>
      <c r="AV248" s="3404"/>
      <c r="AW248" s="3404"/>
      <c r="AX248" s="3404"/>
      <c r="AY248" s="3404"/>
      <c r="AZ248" s="3404"/>
      <c r="BA248" s="3404"/>
      <c r="BB248" s="3404"/>
      <c r="BC248" s="3404"/>
      <c r="BD248" s="3404"/>
      <c r="BE248" s="3404"/>
      <c r="BF248" s="3404"/>
    </row>
    <row r="249" spans="1:58" s="3399" customFormat="1" ht="42.75">
      <c r="A249" s="3526" t="s">
        <v>3833</v>
      </c>
      <c r="B249" s="3508" t="s">
        <v>3834</v>
      </c>
      <c r="C249" s="3508" t="s">
        <v>3835</v>
      </c>
      <c r="D249" s="3508" t="s">
        <v>3836</v>
      </c>
      <c r="E249" s="3508" t="s">
        <v>3238</v>
      </c>
      <c r="F249" s="3508" t="s">
        <v>3151</v>
      </c>
      <c r="G249" s="3508" t="s">
        <v>3820</v>
      </c>
      <c r="H249" s="3508" t="s">
        <v>3345</v>
      </c>
      <c r="I249" s="3510"/>
      <c r="J249" s="3511">
        <v>42346</v>
      </c>
      <c r="K249" s="3521">
        <v>42348</v>
      </c>
      <c r="L249" s="3429">
        <v>44174</v>
      </c>
      <c r="M249" s="3522">
        <v>0</v>
      </c>
      <c r="N249" s="3508" t="s">
        <v>3154</v>
      </c>
      <c r="O249" s="3508" t="s">
        <v>3155</v>
      </c>
      <c r="P249" s="3508" t="s">
        <v>3253</v>
      </c>
      <c r="Q249" s="3508" t="s">
        <v>3837</v>
      </c>
      <c r="R249" s="3514">
        <v>3</v>
      </c>
      <c r="S249" s="3514">
        <v>1041.21</v>
      </c>
      <c r="T249" s="3514">
        <v>1041.21</v>
      </c>
      <c r="U249" s="3527"/>
      <c r="V249" s="3508" t="s">
        <v>3158</v>
      </c>
      <c r="W249" s="3523"/>
      <c r="X249" s="3517"/>
      <c r="Y249" s="3517"/>
      <c r="Z249" s="3519"/>
      <c r="AA249" s="3404"/>
      <c r="AB249" s="3404"/>
      <c r="AC249" s="3404"/>
      <c r="AD249" s="3404"/>
      <c r="AE249" s="3404"/>
      <c r="AF249" s="3404"/>
      <c r="AG249" s="3404"/>
      <c r="AH249" s="3404"/>
      <c r="AI249" s="3404"/>
      <c r="AJ249" s="3404"/>
      <c r="AK249" s="3404"/>
      <c r="AL249" s="3404"/>
      <c r="AM249" s="3404"/>
      <c r="AN249" s="3404"/>
      <c r="AO249" s="3404"/>
      <c r="AP249" s="3404"/>
      <c r="AQ249" s="3404"/>
      <c r="AR249" s="3404"/>
      <c r="AS249" s="3404"/>
      <c r="AT249" s="3404"/>
      <c r="AU249" s="3404"/>
      <c r="AV249" s="3404"/>
      <c r="AW249" s="3404"/>
      <c r="AX249" s="3404"/>
      <c r="AY249" s="3404"/>
      <c r="AZ249" s="3404"/>
      <c r="BA249" s="3404"/>
      <c r="BB249" s="3404"/>
      <c r="BC249" s="3404"/>
      <c r="BD249" s="3404"/>
      <c r="BE249" s="3404"/>
      <c r="BF249" s="3404"/>
    </row>
    <row r="250" spans="1:58" s="3399" customFormat="1" ht="42.75">
      <c r="A250" s="3508" t="s">
        <v>3838</v>
      </c>
      <c r="B250" s="3508" t="s">
        <v>3839</v>
      </c>
      <c r="C250" s="3508" t="s">
        <v>3840</v>
      </c>
      <c r="D250" s="3508" t="s">
        <v>3841</v>
      </c>
      <c r="E250" s="3508" t="s">
        <v>3215</v>
      </c>
      <c r="F250" s="3508" t="s">
        <v>3151</v>
      </c>
      <c r="G250" s="3508" t="s">
        <v>3820</v>
      </c>
      <c r="H250" s="3508" t="s">
        <v>3345</v>
      </c>
      <c r="I250" s="3510"/>
      <c r="J250" s="3511">
        <v>42460</v>
      </c>
      <c r="K250" s="3521">
        <v>42430</v>
      </c>
      <c r="L250" s="3429">
        <v>44255</v>
      </c>
      <c r="M250" s="3522" t="s">
        <v>3842</v>
      </c>
      <c r="N250" s="3508" t="s">
        <v>3154</v>
      </c>
      <c r="O250" s="3513" t="s">
        <v>3155</v>
      </c>
      <c r="P250" s="3513" t="s">
        <v>3253</v>
      </c>
      <c r="Q250" s="3508" t="s">
        <v>3843</v>
      </c>
      <c r="R250" s="3514">
        <v>3</v>
      </c>
      <c r="S250" s="3515">
        <v>854.04</v>
      </c>
      <c r="T250" s="3514">
        <v>854.04</v>
      </c>
      <c r="U250" s="3515"/>
      <c r="V250" s="3508" t="s">
        <v>3158</v>
      </c>
      <c r="W250" s="3516"/>
      <c r="X250" s="3517"/>
      <c r="Y250" s="3517"/>
      <c r="Z250" s="3519"/>
      <c r="AA250" s="3404"/>
      <c r="AB250" s="3404"/>
      <c r="AC250" s="3404"/>
      <c r="AD250" s="3404"/>
      <c r="AE250" s="3404"/>
      <c r="AF250" s="3404"/>
      <c r="AG250" s="3404"/>
      <c r="AH250" s="3404"/>
      <c r="AI250" s="3404"/>
      <c r="AJ250" s="3404"/>
      <c r="AK250" s="3404"/>
      <c r="AL250" s="3404"/>
      <c r="AM250" s="3404"/>
      <c r="AN250" s="3404"/>
      <c r="AO250" s="3404"/>
      <c r="AP250" s="3404"/>
      <c r="AQ250" s="3404"/>
      <c r="AR250" s="3404"/>
      <c r="AS250" s="3404"/>
      <c r="AT250" s="3404"/>
      <c r="AU250" s="3404"/>
      <c r="AV250" s="3404"/>
      <c r="AW250" s="3404"/>
      <c r="AX250" s="3404"/>
      <c r="AY250" s="3404"/>
      <c r="AZ250" s="3404"/>
      <c r="BA250" s="3404"/>
      <c r="BB250" s="3404"/>
      <c r="BC250" s="3404"/>
      <c r="BD250" s="3404"/>
      <c r="BE250" s="3404"/>
      <c r="BF250" s="3404"/>
    </row>
    <row r="251" spans="1:58" s="3399" customFormat="1" ht="28.5">
      <c r="A251" s="3528" t="s">
        <v>3844</v>
      </c>
      <c r="B251" s="3528" t="s">
        <v>3845</v>
      </c>
      <c r="C251" s="3528"/>
      <c r="D251" s="3528" t="s">
        <v>3846</v>
      </c>
      <c r="E251" s="3528" t="s">
        <v>3402</v>
      </c>
      <c r="F251" s="3528" t="s">
        <v>3151</v>
      </c>
      <c r="G251" s="3529" t="s">
        <v>3847</v>
      </c>
      <c r="H251" s="3528"/>
      <c r="I251" s="3530"/>
      <c r="J251" s="3531">
        <v>42522</v>
      </c>
      <c r="K251" s="3532">
        <v>42522</v>
      </c>
      <c r="L251" s="3429">
        <v>43616</v>
      </c>
      <c r="M251" s="3533">
        <v>0</v>
      </c>
      <c r="N251" s="3528" t="s">
        <v>3154</v>
      </c>
      <c r="O251" s="3528" t="s">
        <v>3155</v>
      </c>
      <c r="P251" s="3528" t="s">
        <v>3247</v>
      </c>
      <c r="Q251" s="3528" t="s">
        <v>3848</v>
      </c>
      <c r="R251" s="3534">
        <v>1</v>
      </c>
      <c r="S251" s="3534">
        <v>77.180000000000007</v>
      </c>
      <c r="T251" s="3534">
        <v>77.180000000000007</v>
      </c>
      <c r="U251" s="3534"/>
      <c r="V251" s="3528" t="s">
        <v>3158</v>
      </c>
      <c r="W251" s="3535" t="s">
        <v>3849</v>
      </c>
      <c r="X251" s="3536"/>
      <c r="Y251" s="3536"/>
      <c r="Z251" s="3537"/>
      <c r="AA251" s="3404"/>
      <c r="AB251" s="3404"/>
      <c r="AC251" s="3404"/>
      <c r="AD251" s="3404"/>
      <c r="AE251" s="3404"/>
      <c r="AF251" s="3404"/>
      <c r="AG251" s="3404"/>
      <c r="AH251" s="3404"/>
      <c r="AI251" s="3404"/>
      <c r="AJ251" s="3404"/>
      <c r="AK251" s="3404"/>
      <c r="AL251" s="3404"/>
      <c r="AM251" s="3404"/>
      <c r="AN251" s="3404"/>
      <c r="AO251" s="3404"/>
      <c r="AP251" s="3404"/>
      <c r="AQ251" s="3404"/>
      <c r="AR251" s="3404"/>
      <c r="AS251" s="3404"/>
      <c r="AT251" s="3404"/>
      <c r="AU251" s="3404"/>
      <c r="AV251" s="3404"/>
      <c r="AW251" s="3404"/>
      <c r="AX251" s="3404"/>
      <c r="AY251" s="3404"/>
      <c r="AZ251" s="3404"/>
      <c r="BA251" s="3404"/>
      <c r="BB251" s="3404"/>
      <c r="BC251" s="3404"/>
      <c r="BD251" s="3404"/>
      <c r="BE251" s="3404"/>
      <c r="BF251" s="3404"/>
    </row>
    <row r="252" spans="1:58" s="3399" customFormat="1" ht="28.5">
      <c r="A252" s="3528" t="s">
        <v>3844</v>
      </c>
      <c r="B252" s="3528" t="s">
        <v>3845</v>
      </c>
      <c r="C252" s="3528"/>
      <c r="D252" s="3528" t="s">
        <v>3846</v>
      </c>
      <c r="E252" s="3528" t="s">
        <v>3402</v>
      </c>
      <c r="F252" s="3528" t="s">
        <v>3151</v>
      </c>
      <c r="G252" s="3529" t="s">
        <v>3847</v>
      </c>
      <c r="H252" s="3528"/>
      <c r="I252" s="3530"/>
      <c r="J252" s="3531">
        <v>42522</v>
      </c>
      <c r="K252" s="3532">
        <v>42522</v>
      </c>
      <c r="L252" s="3429">
        <v>43616</v>
      </c>
      <c r="M252" s="3533">
        <v>0</v>
      </c>
      <c r="N252" s="3528" t="s">
        <v>3154</v>
      </c>
      <c r="O252" s="3528" t="s">
        <v>3155</v>
      </c>
      <c r="P252" s="3528" t="s">
        <v>3247</v>
      </c>
      <c r="Q252" s="3528" t="s">
        <v>3848</v>
      </c>
      <c r="R252" s="3534">
        <v>1</v>
      </c>
      <c r="S252" s="3534">
        <v>77.180000000000007</v>
      </c>
      <c r="T252" s="3534">
        <v>77.180000000000007</v>
      </c>
      <c r="U252" s="3534"/>
      <c r="V252" s="3528" t="s">
        <v>3158</v>
      </c>
      <c r="W252" s="3535" t="s">
        <v>3159</v>
      </c>
      <c r="X252" s="3536"/>
      <c r="Y252" s="3536"/>
      <c r="Z252" s="3537"/>
      <c r="AA252" s="3404"/>
      <c r="AB252" s="3404"/>
      <c r="AC252" s="3404"/>
      <c r="AD252" s="3404"/>
      <c r="AE252" s="3404"/>
      <c r="AF252" s="3404"/>
      <c r="AG252" s="3404"/>
      <c r="AH252" s="3404"/>
      <c r="AI252" s="3404"/>
      <c r="AJ252" s="3404"/>
      <c r="AK252" s="3404"/>
      <c r="AL252" s="3404"/>
      <c r="AM252" s="3404"/>
      <c r="AN252" s="3404"/>
      <c r="AO252" s="3404"/>
      <c r="AP252" s="3404"/>
      <c r="AQ252" s="3404"/>
      <c r="AR252" s="3404"/>
      <c r="AS252" s="3404"/>
      <c r="AT252" s="3404"/>
      <c r="AU252" s="3404"/>
      <c r="AV252" s="3404"/>
      <c r="AW252" s="3404"/>
      <c r="AX252" s="3404"/>
      <c r="AY252" s="3404"/>
      <c r="AZ252" s="3404"/>
      <c r="BA252" s="3404"/>
      <c r="BB252" s="3404"/>
      <c r="BC252" s="3404"/>
      <c r="BD252" s="3404"/>
      <c r="BE252" s="3404"/>
      <c r="BF252" s="3404"/>
    </row>
  </sheetData>
  <mergeCells count="1">
    <mergeCell ref="AA3:AM3"/>
  </mergeCells>
  <phoneticPr fontId="205" type="noConversion"/>
  <dataValidations count="8">
    <dataValidation type="list" allowBlank="1" showInputMessage="1" showErrorMessage="1" sqref="W6:W252">
      <formula1>"租金,运营费,管理费"</formula1>
    </dataValidation>
    <dataValidation type="list" allowBlank="1" showInputMessage="1" showErrorMessage="1" sqref="F6:F252">
      <formula1>"悦创代签,租金+管理费,租金+运营费+管理费"</formula1>
    </dataValidation>
    <dataValidation type="list" allowBlank="1" showInputMessage="1" showErrorMessage="1" sqref="G6:G252">
      <formula1>"对外出租,合营项目,自用,待出租"</formula1>
    </dataValidation>
    <dataValidation type="date" allowBlank="1" showInputMessage="1" showErrorMessage="1" error="请输入日期格式“YYYY/MM/DD”!" sqref="J244:L244 J238:L238">
      <formula1>40179</formula1>
      <formula2>73050</formula2>
    </dataValidation>
    <dataValidation type="list" allowBlank="1" showInputMessage="1" showErrorMessage="1" sqref="V174:V175 V182:V252 V6:V167">
      <formula1>"含税,不含税"</formula1>
    </dataValidation>
    <dataValidation type="list" allowBlank="1" showInputMessage="1" showErrorMessage="1" sqref="N124:N187 N232:N252 N6:N122">
      <formula1>"筹备,报装,装修,开业,退租"</formula1>
    </dataValidation>
    <dataValidation type="list" allowBlank="1" showInputMessage="1" showErrorMessage="1" sqref="O165:O252 O45:O160 O6:O43">
      <formula1>"一期,二期,三期,悦创天地(三至九楼)"</formula1>
    </dataValidation>
    <dataValidation type="list" allowBlank="1" showInputMessage="1" showErrorMessage="1" sqref="P157:P252 P101:P155 P6:P98">
      <formula1>"1幢,2幢,3幢,4幢,5幢,6幢1座,6幢2座,7幢,8幢,9幢,10幢,11幢1座,11幢2座,12幢1座,12幢2座,13幢,14幢,15幢,16幢,17幢,18幢,19幢,20幢,悦盈商业中心,悦创天地(一至二楼),悦创天地(三至九楼)"</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583" t="s">
        <v>2848</v>
      </c>
      <c r="B1" s="3583"/>
      <c r="C1" s="3583"/>
      <c r="D1" s="3583"/>
    </row>
    <row r="2" spans="1:4" ht="18.75">
      <c r="A2" s="3584" t="s">
        <v>2109</v>
      </c>
      <c r="B2" s="3584"/>
      <c r="C2" s="3584"/>
      <c r="D2" s="3584"/>
    </row>
    <row r="3" spans="1:4" ht="18.75">
      <c r="A3" s="2608" t="s">
        <v>2110</v>
      </c>
      <c r="B3" s="2608" t="s">
        <v>2111</v>
      </c>
      <c r="C3" s="2608" t="s">
        <v>2112</v>
      </c>
      <c r="D3" s="2608" t="s">
        <v>2113</v>
      </c>
    </row>
    <row r="4" spans="1:4" ht="56.25" customHeight="1">
      <c r="A4" s="2614" t="str">
        <f>项目基本情况!B4</f>
        <v>梁津</v>
      </c>
      <c r="B4" s="2609">
        <f ca="1">项目基本情况!C4</f>
        <v>1119970066</v>
      </c>
      <c r="C4" s="2612"/>
      <c r="D4" s="2610" t="s">
        <v>2114</v>
      </c>
    </row>
    <row r="5" spans="1:4" ht="56.25" customHeight="1">
      <c r="A5" s="2614" t="str">
        <f>项目基本情况!D4</f>
        <v>郑燚</v>
      </c>
      <c r="B5" s="2609">
        <f ca="1">项目基本情况!E4</f>
        <v>1120070131</v>
      </c>
      <c r="C5" s="2613"/>
      <c r="D5" s="2610" t="s">
        <v>2114</v>
      </c>
    </row>
    <row r="6" spans="1:4" ht="18.75">
      <c r="A6" s="3584" t="s">
        <v>2611</v>
      </c>
      <c r="B6" s="3584"/>
      <c r="C6" s="3584"/>
      <c r="D6" s="3584"/>
    </row>
    <row r="7" spans="1:4" ht="18.75">
      <c r="A7" s="2608" t="s">
        <v>2110</v>
      </c>
      <c r="B7" s="2609" t="s">
        <v>2115</v>
      </c>
      <c r="C7" s="2608" t="s">
        <v>2112</v>
      </c>
      <c r="D7" s="2608" t="s">
        <v>2113</v>
      </c>
    </row>
    <row r="8" spans="1:4" ht="56.25" customHeight="1">
      <c r="A8" s="2611" t="s">
        <v>2116</v>
      </c>
      <c r="B8" s="2611" t="s">
        <v>23</v>
      </c>
      <c r="C8" s="2612"/>
      <c r="D8" s="2610" t="s">
        <v>2114</v>
      </c>
    </row>
    <row r="9" spans="1:4">
      <c r="A9" s="1493"/>
      <c r="B9" s="1493"/>
      <c r="C9" s="1493"/>
      <c r="D9" s="1493"/>
    </row>
    <row r="10" spans="1:4" ht="18.75">
      <c r="A10" s="2090" t="s">
        <v>2117</v>
      </c>
      <c r="B10" s="1493"/>
      <c r="C10" s="1493"/>
      <c r="D10" s="1493"/>
    </row>
    <row r="11" spans="1:4" ht="30" customHeight="1">
      <c r="A11" s="3585" t="s">
        <v>2703</v>
      </c>
      <c r="B11" s="3586"/>
      <c r="C11" s="3586"/>
      <c r="D11" s="3586"/>
    </row>
    <row r="12" spans="1:4" ht="14.25">
      <c r="A12" s="35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7"/>
      <c r="C12" s="3587"/>
      <c r="D12" s="3587"/>
    </row>
    <row r="13" spans="1:4" ht="30" customHeight="1">
      <c r="A13" s="3586" t="str">
        <f>IF(项目基本情况!B8="抵押","3.抵押双方在办理抵押登记手续时，应使用本公司出具的正式《房地产评估报告》，特提醒报告使用者注意。","——")</f>
        <v>——</v>
      </c>
      <c r="B13" s="3587"/>
      <c r="C13" s="3587"/>
      <c r="D13" s="3587"/>
    </row>
    <row r="14" spans="1:4" ht="15.75" customHeight="1">
      <c r="A14" s="3586" t="str">
        <f>IF(项目基本情况!B8="抵押","4.本次评估估价师所知悉的法定优先受偿款情况说明如下：","——")</f>
        <v>——</v>
      </c>
      <c r="B14" s="3587"/>
      <c r="C14" s="3587"/>
      <c r="D14" s="3587"/>
    </row>
    <row r="15" spans="1:4" ht="42" customHeight="1">
      <c r="A15" s="3586" t="str">
        <f>IF(项目基本情况!B8="抵押","（1）"&amp;CONCATENATE(项目基本情况!L20,项目基本情况!L21,项目基本情况!L22),"——")</f>
        <v>——</v>
      </c>
      <c r="B15" s="3586"/>
      <c r="C15" s="3586"/>
      <c r="D15" s="3586"/>
    </row>
    <row r="16" spans="1:4" ht="30" customHeight="1">
      <c r="A16" s="3589" t="s">
        <v>2121</v>
      </c>
      <c r="B16" s="3589"/>
      <c r="C16" s="3589"/>
      <c r="D16" s="3589"/>
    </row>
    <row r="17" spans="1:4" ht="144" customHeight="1">
      <c r="A17" s="3589" t="s">
        <v>2122</v>
      </c>
      <c r="B17" s="3589"/>
      <c r="C17" s="3589"/>
      <c r="D17" s="3589"/>
    </row>
    <row r="18" spans="1:4" ht="15.75" customHeight="1">
      <c r="A18" s="3586" t="str">
        <f>IF(项目基本情况!B8="抵押",结果表!K120,"——")</f>
        <v>——</v>
      </c>
      <c r="B18" s="3586"/>
      <c r="C18" s="3586"/>
      <c r="D18" s="3586"/>
    </row>
    <row r="19" spans="1:4" ht="46.5" customHeight="1">
      <c r="A19" s="35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6"/>
      <c r="C19" s="3586"/>
      <c r="D19" s="3586"/>
    </row>
    <row r="20" spans="1:4" ht="57.75" customHeight="1">
      <c r="A20" s="35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6"/>
      <c r="C20" s="3586"/>
      <c r="D20" s="3586"/>
    </row>
    <row r="21" spans="1:4" ht="57.75" customHeight="1">
      <c r="A21" s="35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0"/>
      <c r="C21" s="3590"/>
      <c r="D21" s="3590"/>
    </row>
    <row r="22" spans="1:4" ht="18.75" customHeight="1">
      <c r="A22" s="3591" t="s">
        <v>2869</v>
      </c>
      <c r="B22" s="3591"/>
      <c r="C22" s="3591"/>
      <c r="D22" s="3591"/>
    </row>
    <row r="23" spans="1:4">
      <c r="A23" s="1980"/>
      <c r="B23" s="1989"/>
      <c r="C23" s="1989"/>
      <c r="D23" s="1989"/>
    </row>
    <row r="24" spans="1:4">
      <c r="A24" s="1980"/>
      <c r="B24" s="1989"/>
      <c r="C24" s="1989"/>
      <c r="D24" s="1989"/>
    </row>
    <row r="25" spans="1:4" ht="18.75">
      <c r="A25" s="1978" t="s">
        <v>2118</v>
      </c>
    </row>
    <row r="26" spans="1:4" ht="18.75">
      <c r="A26" s="1950"/>
    </row>
    <row r="27" spans="1:4" ht="18.75">
      <c r="A27" s="1950" t="s">
        <v>2119</v>
      </c>
    </row>
    <row r="30" spans="1:4" ht="18.75">
      <c r="D30" s="1978" t="s">
        <v>2120</v>
      </c>
    </row>
    <row r="31" spans="1:4" ht="13.5" customHeight="1">
      <c r="C31" s="3588">
        <v>42551</v>
      </c>
      <c r="D31" s="358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2125</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1134</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597" t="s">
        <v>555</v>
      </c>
      <c r="B15" s="3592" t="s">
        <v>1135</v>
      </c>
      <c r="C15" s="3593"/>
    </row>
    <row r="16" spans="1:7" ht="13.5">
      <c r="A16" s="3598"/>
      <c r="B16" s="3592" t="s">
        <v>528</v>
      </c>
      <c r="C16" s="3593"/>
    </row>
    <row r="17" spans="1:3" ht="13.5">
      <c r="A17" s="3598"/>
      <c r="B17" s="3595" t="s">
        <v>556</v>
      </c>
      <c r="C17" s="1149" t="s">
        <v>555</v>
      </c>
    </row>
    <row r="18" spans="1:3" ht="13.5">
      <c r="A18" s="3598"/>
      <c r="B18" s="3595"/>
      <c r="C18" s="1149" t="s">
        <v>557</v>
      </c>
    </row>
    <row r="19" spans="1:3" ht="13.5">
      <c r="A19" s="3598"/>
      <c r="B19" s="3595"/>
      <c r="C19" s="1149" t="s">
        <v>558</v>
      </c>
    </row>
    <row r="20" spans="1:3" ht="13.5">
      <c r="A20" s="3599"/>
      <c r="B20" s="3594" t="s">
        <v>559</v>
      </c>
      <c r="C20" s="3593"/>
    </row>
    <row r="21" spans="1:3" ht="13.5">
      <c r="A21" s="1150" t="s">
        <v>560</v>
      </c>
      <c r="B21" s="1151"/>
      <c r="C21" s="1152"/>
    </row>
    <row r="22" spans="1:3" ht="13.5">
      <c r="A22" s="3596" t="s">
        <v>561</v>
      </c>
      <c r="B22" s="3594" t="s">
        <v>562</v>
      </c>
      <c r="C22" s="3593"/>
    </row>
    <row r="23" spans="1:3" ht="13.5">
      <c r="A23" s="3596"/>
      <c r="B23" s="3594" t="s">
        <v>563</v>
      </c>
      <c r="C23" s="3593"/>
    </row>
    <row r="24" spans="1:3" ht="13.5">
      <c r="A24" s="3596"/>
      <c r="B24" s="3594" t="s">
        <v>564</v>
      </c>
      <c r="C24" s="3593"/>
    </row>
    <row r="25" spans="1:3" ht="13.5">
      <c r="A25" s="3596"/>
      <c r="B25" s="3595" t="s">
        <v>565</v>
      </c>
      <c r="C25" s="1149" t="s">
        <v>566</v>
      </c>
    </row>
    <row r="26" spans="1:3" ht="13.5">
      <c r="A26" s="3596"/>
      <c r="B26" s="3595"/>
      <c r="C26" s="1149" t="s">
        <v>567</v>
      </c>
    </row>
    <row r="27" spans="1:3" ht="13.5">
      <c r="A27" s="3596"/>
      <c r="B27" s="3595"/>
      <c r="C27" s="1149" t="s">
        <v>568</v>
      </c>
    </row>
    <row r="28" spans="1:3" ht="13.5">
      <c r="A28" s="3596"/>
      <c r="B28" s="3595"/>
      <c r="C28" s="1149" t="s">
        <v>569</v>
      </c>
    </row>
    <row r="29" spans="1:3" ht="13.5">
      <c r="A29" s="3596"/>
      <c r="B29" s="3595"/>
      <c r="C29" s="1149" t="s">
        <v>570</v>
      </c>
    </row>
    <row r="30" spans="1:3" ht="13.5">
      <c r="A30" s="3596"/>
      <c r="B30" s="3595"/>
      <c r="C30" s="1149" t="s">
        <v>571</v>
      </c>
    </row>
    <row r="31" spans="1:3" ht="13.5">
      <c r="A31" s="3596"/>
      <c r="B31" s="3595"/>
      <c r="C31" s="1149" t="s">
        <v>572</v>
      </c>
    </row>
    <row r="32" spans="1:3" ht="13.5">
      <c r="A32" s="3596"/>
      <c r="B32" s="3595"/>
      <c r="C32" s="1149" t="s">
        <v>573</v>
      </c>
    </row>
    <row r="33" spans="1:3" ht="13.5">
      <c r="A33" s="3596"/>
      <c r="B33" s="3595"/>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1969</v>
      </c>
      <c r="B2" s="1888">
        <f ca="1">TODAY()</f>
        <v>42989</v>
      </c>
      <c r="C2" s="1889" t="s">
        <v>1970</v>
      </c>
      <c r="D2" s="1889"/>
    </row>
    <row r="3" spans="1:6" ht="24" customHeight="1">
      <c r="A3" s="1890" t="s">
        <v>1971</v>
      </c>
      <c r="B3" s="1891" t="s">
        <v>1972</v>
      </c>
      <c r="C3" s="1891" t="s">
        <v>1973</v>
      </c>
      <c r="D3" s="1892" t="s">
        <v>1974</v>
      </c>
      <c r="E3" s="1893" t="s">
        <v>1975</v>
      </c>
      <c r="F3" s="1891" t="s">
        <v>1973</v>
      </c>
    </row>
    <row r="4" spans="1:6" ht="24" customHeight="1">
      <c r="A4" s="3201" t="s">
        <v>1976</v>
      </c>
      <c r="B4" s="1893">
        <f ca="1">IF(C4&lt;B2,"已过期",1119970066)</f>
        <v>1119970066</v>
      </c>
      <c r="C4" s="3202">
        <v>43849</v>
      </c>
      <c r="D4" s="3201" t="s">
        <v>1976</v>
      </c>
      <c r="E4" s="1893">
        <f ca="1">IF(F4&lt;B2,"已过期",96010014)</f>
        <v>96010014</v>
      </c>
      <c r="F4" s="1902">
        <v>47118</v>
      </c>
    </row>
    <row r="5" spans="1:6" ht="24" customHeight="1">
      <c r="A5" s="3201" t="s">
        <v>1977</v>
      </c>
      <c r="B5" s="1893">
        <f ca="1">IF(C5&lt;B2,"已过期",1119970074)</f>
        <v>1119970074</v>
      </c>
      <c r="C5" s="3202">
        <v>43849</v>
      </c>
      <c r="D5" s="3201" t="s">
        <v>1977</v>
      </c>
      <c r="E5" s="1893">
        <f ca="1">IF(F5&lt;B2,"已过期",2002110027)</f>
        <v>2002110027</v>
      </c>
      <c r="F5" s="1902">
        <v>46752</v>
      </c>
    </row>
    <row r="6" spans="1:6" ht="24" customHeight="1">
      <c r="A6" s="3201" t="s">
        <v>1978</v>
      </c>
      <c r="B6" s="1893">
        <f ca="1">IF(C6&lt;B2,"已过期",1119970111)</f>
        <v>1119970111</v>
      </c>
      <c r="C6" s="3202">
        <v>43849</v>
      </c>
      <c r="D6" s="3201" t="s">
        <v>1978</v>
      </c>
      <c r="E6" s="1893">
        <f ca="1">IF(F6&lt;B2,"已过期",94010078)</f>
        <v>94010078</v>
      </c>
      <c r="F6" s="1902">
        <v>46387</v>
      </c>
    </row>
    <row r="7" spans="1:6" ht="24" customHeight="1">
      <c r="A7" s="3201" t="s">
        <v>1979</v>
      </c>
      <c r="B7" s="1893">
        <f ca="1">IF(C7&lt;B2,"已过期",1120050019)</f>
        <v>1120050019</v>
      </c>
      <c r="C7" s="3202">
        <v>43359</v>
      </c>
      <c r="D7" s="3201" t="s">
        <v>1979</v>
      </c>
      <c r="E7" s="1893">
        <f ca="1">IF(F7&lt;B2,"已过期",2002110030)</f>
        <v>2002110030</v>
      </c>
      <c r="F7" s="1902">
        <v>46387</v>
      </c>
    </row>
    <row r="8" spans="1:6" ht="24" customHeight="1">
      <c r="A8" s="3201" t="s">
        <v>1980</v>
      </c>
      <c r="B8" s="1893">
        <f ca="1">IF(C8&lt;B2,"已过期",1120000080)</f>
        <v>1120000080</v>
      </c>
      <c r="C8" s="3202">
        <v>43849</v>
      </c>
      <c r="D8" s="3201" t="s">
        <v>1980</v>
      </c>
      <c r="E8" s="1893">
        <f ca="1">IF(F8&lt;B2,"已过期",2000110082)</f>
        <v>2000110082</v>
      </c>
      <c r="F8" s="1902">
        <v>46387</v>
      </c>
    </row>
    <row r="9" spans="1:6" ht="24" customHeight="1">
      <c r="A9" s="3201" t="s">
        <v>1981</v>
      </c>
      <c r="B9" s="1893">
        <f ca="1">IF(C9&lt;B2,"已过期",1419970001)</f>
        <v>1419970001</v>
      </c>
      <c r="C9" s="3202">
        <v>43867</v>
      </c>
      <c r="D9" s="3201" t="s">
        <v>1981</v>
      </c>
      <c r="E9" s="1893">
        <f ca="1">IF(F9&lt;B2,"已过期",2002110125)</f>
        <v>2002110125</v>
      </c>
      <c r="F9" s="1902">
        <v>47118</v>
      </c>
    </row>
    <row r="10" spans="1:6" ht="24" customHeight="1">
      <c r="A10" s="3201" t="s">
        <v>1982</v>
      </c>
      <c r="B10" s="1893">
        <f ca="1">IF(C10&lt;B2,"已过期",1120060040)</f>
        <v>1120060040</v>
      </c>
      <c r="C10" s="3202">
        <v>43483</v>
      </c>
      <c r="D10" s="3201" t="s">
        <v>1982</v>
      </c>
      <c r="E10" s="1893">
        <f ca="1">IF(F10&lt;B2,"已过期",2004110096)</f>
        <v>2004110096</v>
      </c>
      <c r="F10" s="1902">
        <v>47118</v>
      </c>
    </row>
    <row r="11" spans="1:6" ht="24" customHeight="1">
      <c r="A11" s="3201" t="s">
        <v>1983</v>
      </c>
      <c r="B11" s="1893">
        <f ca="1">IF(C11&lt;B2,"已过期",1120100036)</f>
        <v>1120100036</v>
      </c>
      <c r="C11" s="3202">
        <v>43622</v>
      </c>
      <c r="D11" s="3201" t="s">
        <v>1983</v>
      </c>
      <c r="E11" s="1893">
        <f ca="1">IF(F11&lt;B2,"已过期",2010110070)</f>
        <v>2010110070</v>
      </c>
      <c r="F11" s="1902">
        <v>47907</v>
      </c>
    </row>
    <row r="12" spans="1:6" ht="24" customHeight="1">
      <c r="A12" s="3201"/>
      <c r="B12" s="1893"/>
      <c r="C12" s="3202"/>
      <c r="D12" s="3201"/>
      <c r="E12" s="1893"/>
      <c r="F12" s="1893"/>
    </row>
    <row r="13" spans="1:6" ht="24" customHeight="1">
      <c r="A13" s="3201" t="s">
        <v>1984</v>
      </c>
      <c r="B13" s="1893">
        <f ca="1">IF(C13&lt;B2,"已过期",1120070131)</f>
        <v>1120070131</v>
      </c>
      <c r="C13" s="3202">
        <v>43814</v>
      </c>
      <c r="D13" s="3201" t="s">
        <v>1984</v>
      </c>
      <c r="E13" s="1893">
        <v>2014110011</v>
      </c>
      <c r="F13" s="1902">
        <v>49302</v>
      </c>
    </row>
    <row r="14" spans="1:6" ht="24" customHeight="1">
      <c r="A14" s="3201" t="s">
        <v>1985</v>
      </c>
      <c r="B14" s="1893">
        <f ca="1">IF(C14&lt;B2,"已过期",1120130020)</f>
        <v>1120130020</v>
      </c>
      <c r="C14" s="3202">
        <v>43622</v>
      </c>
      <c r="D14" s="3201"/>
      <c r="E14" s="1893"/>
      <c r="F14" s="1893"/>
    </row>
    <row r="15" spans="1:6" ht="24" customHeight="1">
      <c r="A15" s="3203" t="s">
        <v>2701</v>
      </c>
      <c r="B15" s="1893">
        <v>1120070085</v>
      </c>
      <c r="C15" s="3202">
        <v>43814</v>
      </c>
      <c r="D15" s="3203" t="s">
        <v>2701</v>
      </c>
      <c r="E15" s="1893">
        <v>2004110128</v>
      </c>
      <c r="F15" s="1894">
        <v>47118</v>
      </c>
    </row>
    <row r="16" spans="1:6" ht="24" customHeight="1">
      <c r="A16" s="3201" t="s">
        <v>1986</v>
      </c>
      <c r="B16" s="1893">
        <f ca="1">IF(C16&lt;B2,"已过期",1120140022)</f>
        <v>1120140022</v>
      </c>
      <c r="C16" s="3202">
        <v>44029</v>
      </c>
      <c r="D16" s="3201" t="s">
        <v>1986</v>
      </c>
      <c r="E16" s="1893">
        <f ca="1">IF(F16&lt;B2,"已过期",2008110059)</f>
        <v>2008110059</v>
      </c>
      <c r="F16" s="1902">
        <v>47177</v>
      </c>
    </row>
    <row r="17" spans="1:7" ht="24" customHeight="1">
      <c r="A17" s="3201"/>
      <c r="B17" s="1893"/>
      <c r="C17" s="3202"/>
      <c r="D17" s="3201"/>
      <c r="E17" s="1893"/>
      <c r="F17" s="1902"/>
    </row>
    <row r="18" spans="1:7" ht="24" customHeight="1">
      <c r="A18" s="3201"/>
      <c r="B18" s="1893"/>
      <c r="C18" s="3202"/>
      <c r="D18" s="3201"/>
      <c r="E18" s="1893"/>
      <c r="F18" s="1902"/>
    </row>
    <row r="19" spans="1:7" ht="24" customHeight="1">
      <c r="A19" s="3201"/>
      <c r="B19" s="1893"/>
      <c r="C19" s="3202"/>
      <c r="D19" s="3201"/>
      <c r="E19" s="1893"/>
      <c r="F19" s="1893"/>
    </row>
    <row r="20" spans="1:7" ht="24" customHeight="1">
      <c r="A20" s="3201"/>
      <c r="B20" s="1893"/>
      <c r="C20" s="3202"/>
      <c r="D20" s="3201"/>
      <c r="E20" s="1893"/>
      <c r="F20" s="1893"/>
    </row>
    <row r="21" spans="1:7" ht="24" customHeight="1">
      <c r="A21" s="3201"/>
      <c r="B21" s="1893"/>
      <c r="C21" s="3202"/>
      <c r="D21" s="3201" t="s">
        <v>1987</v>
      </c>
      <c r="E21" s="1893">
        <f ca="1">IF(F21&lt;B2,"已过期",2011110090)</f>
        <v>2011110090</v>
      </c>
      <c r="F21" s="1902">
        <v>48302</v>
      </c>
    </row>
    <row r="22" spans="1:7" ht="24" customHeight="1">
      <c r="A22" s="3201" t="s">
        <v>1988</v>
      </c>
      <c r="B22" s="1893">
        <f ca="1">IF(C22&lt;B2,"已过期",1120020033)</f>
        <v>1120020033</v>
      </c>
      <c r="C22" s="3202">
        <v>43304</v>
      </c>
      <c r="D22" s="3201" t="s">
        <v>1988</v>
      </c>
      <c r="E22" s="1893">
        <f ca="1">IF(F22&lt;B2,"已过期",2000110137)</f>
        <v>2000110137</v>
      </c>
      <c r="F22" s="1902">
        <v>46387</v>
      </c>
    </row>
    <row r="23" spans="1:7" ht="24" customHeight="1">
      <c r="A23" s="3201" t="s">
        <v>1989</v>
      </c>
      <c r="B23" s="1893">
        <f ca="1">IF(C23&lt;B2,"已过期",1120130048)</f>
        <v>1120130048</v>
      </c>
      <c r="C23" s="3202">
        <v>43686</v>
      </c>
      <c r="D23" s="3201"/>
      <c r="E23" s="1893"/>
      <c r="F23" s="1893"/>
    </row>
    <row r="24" spans="1:7" s="1895" customFormat="1" ht="24" customHeight="1">
      <c r="A24" s="3203" t="s">
        <v>2935</v>
      </c>
      <c r="B24" s="3203" t="s">
        <v>2935</v>
      </c>
      <c r="C24" s="3203" t="s">
        <v>2935</v>
      </c>
      <c r="D24" s="3203" t="s">
        <v>2935</v>
      </c>
      <c r="E24" s="3203" t="s">
        <v>2935</v>
      </c>
      <c r="F24" s="3203" t="s">
        <v>2935</v>
      </c>
    </row>
    <row r="25" spans="1:7" ht="24" customHeight="1">
      <c r="A25" s="3600" t="s">
        <v>1990</v>
      </c>
      <c r="B25" s="3600"/>
      <c r="C25" s="3600"/>
      <c r="D25" s="3600"/>
      <c r="E25" s="3600"/>
      <c r="F25" s="3600"/>
      <c r="G25" s="3600"/>
    </row>
    <row r="26" spans="1:7" s="1897" customFormat="1" ht="24" customHeight="1">
      <c r="A26" s="3601" t="s">
        <v>1991</v>
      </c>
      <c r="B26" s="3601"/>
      <c r="C26" s="3601"/>
      <c r="D26" s="1896"/>
      <c r="E26" s="3601" t="s">
        <v>1992</v>
      </c>
      <c r="F26" s="3601"/>
      <c r="G26" s="3601"/>
    </row>
    <row r="27" spans="1:7" s="1899" customFormat="1" ht="24" customHeight="1">
      <c r="A27" s="1898" t="s">
        <v>1993</v>
      </c>
      <c r="B27" s="1891" t="s">
        <v>1994</v>
      </c>
      <c r="C27" s="1891" t="s">
        <v>1995</v>
      </c>
      <c r="D27" s="1891"/>
      <c r="E27" s="1893" t="s">
        <v>1993</v>
      </c>
      <c r="F27" s="1891" t="s">
        <v>1994</v>
      </c>
      <c r="G27" s="1891" t="s">
        <v>1995</v>
      </c>
    </row>
    <row r="28" spans="1:7" s="1899" customFormat="1" ht="24" customHeight="1">
      <c r="A28" s="1900" t="s">
        <v>1996</v>
      </c>
      <c r="B28" s="1901" t="s">
        <v>1997</v>
      </c>
      <c r="C28" s="1902">
        <v>43725</v>
      </c>
      <c r="D28" s="1902"/>
      <c r="E28" s="1900" t="s">
        <v>1998</v>
      </c>
      <c r="F28" s="1900" t="s">
        <v>1999</v>
      </c>
      <c r="G28" s="2109">
        <v>44377</v>
      </c>
    </row>
    <row r="29" spans="1:7" s="1899" customFormat="1" ht="24" customHeight="1">
      <c r="A29" s="1900"/>
      <c r="B29" s="1900"/>
      <c r="C29" s="1903"/>
      <c r="D29" s="1903"/>
      <c r="E29" s="1900" t="s">
        <v>2000</v>
      </c>
      <c r="F29" s="2435" t="s">
        <v>3044</v>
      </c>
      <c r="G29" s="2436">
        <v>43281</v>
      </c>
    </row>
    <row r="30" spans="1:7" ht="24" customHeight="1">
      <c r="C30" s="1904"/>
      <c r="D30" s="1904"/>
    </row>
  </sheetData>
  <sheetProtection sheet="1" objects="1" scenarios="1"/>
  <mergeCells count="3">
    <mergeCell ref="A25:G25"/>
    <mergeCell ref="A26:C26"/>
    <mergeCell ref="E26:G26"/>
  </mergeCells>
  <phoneticPr fontId="116" type="noConversion"/>
  <conditionalFormatting sqref="C28:D28">
    <cfRule type="expression" dxfId="226" priority="55">
      <formula>AND($C28-TODAY()&lt;30,TODAY()&lt;$C28)</formula>
    </cfRule>
  </conditionalFormatting>
  <conditionalFormatting sqref="C28:D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G28">
    <cfRule type="expression" dxfId="190" priority="12">
      <formula>AND($F28-TODAY()&lt;30,TODAY()&lt;$F28)</formula>
    </cfRule>
  </conditionalFormatting>
  <conditionalFormatting sqref="G28">
    <cfRule type="cellIs" dxfId="189" priority="13" stopIfTrue="1" operator="lessThan">
      <formula>$B$2</formula>
    </cfRule>
  </conditionalFormatting>
  <conditionalFormatting sqref="G29">
    <cfRule type="expression" dxfId="188" priority="8" stopIfTrue="1">
      <formula>AND($F29-TODAY()&lt;30,TODAY()&lt;$F29)</formula>
    </cfRule>
  </conditionalFormatting>
  <conditionalFormatting sqref="G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138</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(2)</vt:lpstr>
      <vt:lpstr>酒店收入计算</vt:lpstr>
      <vt:lpstr>比较法-住宅</vt:lpstr>
      <vt:lpstr>比较法-商业</vt:lpstr>
      <vt:lpstr>收益法 (元)</vt:lpstr>
      <vt:lpstr>典型户型修正</vt:lpstr>
      <vt:lpstr>结果表 (2)</vt:lpstr>
      <vt:lpstr>比较法-办公</vt:lpstr>
      <vt:lpstr>比较法-工业</vt:lpstr>
      <vt:lpstr>收益法 (3)</vt:lpstr>
      <vt:lpstr>收益法 (元) (2)</vt:lpstr>
      <vt:lpstr>结果表 (3)</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 (3)</vt:lpstr>
      <vt:lpstr>收益法 (4)</vt:lpstr>
      <vt:lpstr>商业</vt:lpstr>
      <vt:lpstr>Sheet1</vt:lpstr>
      <vt:lpstr>收益法!Print_Area</vt:lpstr>
      <vt:lpstr>'收益法 (2)'!Print_Area</vt:lpstr>
      <vt:lpstr>'收益法 (3)'!Print_Area</vt:lpstr>
      <vt:lpstr>'收益法 (4)'!Print_Area</vt:lpstr>
      <vt:lpstr>'收益法 (元)'!Print_Area</vt:lpstr>
      <vt:lpstr>'收益法 (元) (2)'!Print_Area</vt:lpstr>
      <vt:lpstr>'收益法 (元) (3)'!Print_Area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2017-09-11T07:45:38Z</dcterms:modified>
</cp:coreProperties>
</file>