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37" i="34" l="1"/>
  <c r="G37" i="34"/>
  <c r="E37" i="34"/>
  <c r="C37" i="34"/>
  <c r="I48" i="34"/>
  <c r="G48" i="34"/>
  <c r="E48" i="34"/>
  <c r="I34" i="34"/>
  <c r="G34" i="34"/>
  <c r="E34" i="34"/>
  <c r="I27" i="34"/>
  <c r="G27" i="34"/>
  <c r="E27" i="34"/>
  <c r="I7" i="34"/>
  <c r="G7" i="34"/>
  <c r="E7" i="34"/>
  <c r="I5" i="34"/>
  <c r="G5" i="34"/>
  <c r="E5" i="34"/>
  <c r="E230" i="64"/>
  <c r="E229" i="64"/>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s="1"/>
  <c r="AD24" i="59"/>
  <c r="AH25" i="59"/>
  <c r="AG25" i="59"/>
  <c r="AE25" i="59"/>
  <c r="AF25" i="59"/>
  <c r="AD25" i="59"/>
  <c r="Q25" i="59"/>
  <c r="P25" i="59"/>
  <c r="O25" i="59"/>
  <c r="N25" i="59"/>
  <c r="Q26" i="59"/>
  <c r="P26" i="59"/>
  <c r="O26" i="59"/>
  <c r="N26" i="59"/>
  <c r="D26" i="59"/>
  <c r="E25" i="59"/>
  <c r="E24" i="59" s="1"/>
  <c r="E23" i="59" s="1"/>
  <c r="E22" i="59" s="1"/>
  <c r="E21" i="59" s="1"/>
  <c r="E20" i="59" s="1"/>
  <c r="E19" i="59" s="1"/>
  <c r="E18" i="59" s="1"/>
  <c r="E17" i="59" s="1"/>
  <c r="A2" i="50"/>
  <c r="K60"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D36" i="59"/>
  <c r="AE36" i="59"/>
  <c r="AF36" i="59" s="1"/>
  <c r="AG36" i="59"/>
  <c r="AH36" i="59"/>
  <c r="AD37" i="59"/>
  <c r="AE37" i="59"/>
  <c r="AF37" i="59"/>
  <c r="AG37" i="59"/>
  <c r="AH37" i="59"/>
  <c r="AD38" i="59"/>
  <c r="AE38" i="59"/>
  <c r="AF38" i="59" s="1"/>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C10" i="43"/>
  <c r="AE10" i="43"/>
  <c r="AG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c r="E83" i="59" s="1"/>
  <c r="C85" i="59"/>
  <c r="D85" i="59" s="1"/>
  <c r="B85" i="59"/>
  <c r="B84" i="59" s="1"/>
  <c r="B83" i="59" s="1"/>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T73" i="59" s="1"/>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T69" i="59" s="1"/>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E64" i="59" s="1"/>
  <c r="O62" i="59"/>
  <c r="C63" i="59" s="1"/>
  <c r="D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D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D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c r="U45" i="59" s="1"/>
  <c r="O42" i="59"/>
  <c r="C43" i="59" s="1"/>
  <c r="C44" i="59" s="1"/>
  <c r="N42" i="59"/>
  <c r="B43" i="59" s="1"/>
  <c r="B44" i="59" s="1"/>
  <c r="B45" i="59" s="1"/>
  <c r="S45" i="59" s="1"/>
  <c r="D42" i="59"/>
  <c r="Q41" i="59"/>
  <c r="P41" i="59"/>
  <c r="O41" i="59"/>
  <c r="N41" i="59"/>
  <c r="AB40" i="59"/>
  <c r="Q40" i="59"/>
  <c r="P40" i="59"/>
  <c r="O40" i="59"/>
  <c r="N40" i="59"/>
  <c r="X40" i="59"/>
  <c r="Q39" i="59"/>
  <c r="AB39" i="59" s="1"/>
  <c r="P39" i="59"/>
  <c r="AA39" i="59" s="1"/>
  <c r="O39" i="59"/>
  <c r="Y39" i="59" s="1"/>
  <c r="Z39" i="59" s="1"/>
  <c r="N39" i="59"/>
  <c r="X39" i="59" s="1"/>
  <c r="Q38" i="59"/>
  <c r="AB38" i="59" s="1"/>
  <c r="P38" i="59"/>
  <c r="E39" i="59"/>
  <c r="E40" i="59" s="1"/>
  <c r="E41" i="59"/>
  <c r="O38" i="59"/>
  <c r="N38" i="59"/>
  <c r="D38" i="59"/>
  <c r="Q37" i="59"/>
  <c r="AB37" i="59" s="1"/>
  <c r="P37" i="59"/>
  <c r="O37" i="59"/>
  <c r="Y37" i="59" s="1"/>
  <c r="Z37" i="59" s="1"/>
  <c r="N37" i="59"/>
  <c r="Q36" i="59"/>
  <c r="AB36" i="59" s="1"/>
  <c r="P36" i="59"/>
  <c r="O36" i="59"/>
  <c r="Y36" i="59" s="1"/>
  <c r="Z36" i="59" s="1"/>
  <c r="N36" i="59"/>
  <c r="Q35" i="59"/>
  <c r="AB35" i="59" s="1"/>
  <c r="P35" i="59"/>
  <c r="O35" i="59"/>
  <c r="Y35" i="59" s="1"/>
  <c r="Z35" i="59" s="1"/>
  <c r="N35" i="59"/>
  <c r="Q34" i="59"/>
  <c r="AB34" i="59" s="1"/>
  <c r="P34" i="59"/>
  <c r="E35" i="59"/>
  <c r="E36" i="59" s="1"/>
  <c r="E37" i="59" s="1"/>
  <c r="U37" i="59" s="1"/>
  <c r="O34" i="59"/>
  <c r="N34" i="59"/>
  <c r="D34" i="59"/>
  <c r="Q33" i="59"/>
  <c r="P33" i="59"/>
  <c r="AA33" i="59" s="1"/>
  <c r="O33" i="59"/>
  <c r="N33" i="59"/>
  <c r="Q32" i="59"/>
  <c r="P32" i="59"/>
  <c r="O32" i="59"/>
  <c r="N32" i="59"/>
  <c r="X32" i="59" s="1"/>
  <c r="Q31" i="59"/>
  <c r="P31" i="59"/>
  <c r="AA31" i="59" s="1"/>
  <c r="O31" i="59"/>
  <c r="N31" i="59"/>
  <c r="Q30" i="59"/>
  <c r="P30" i="59"/>
  <c r="E31" i="59"/>
  <c r="E32" i="59" s="1"/>
  <c r="E33" i="59"/>
  <c r="U33" i="59" s="1"/>
  <c r="O30" i="59"/>
  <c r="N30" i="59"/>
  <c r="X27" i="59" s="1"/>
  <c r="D30" i="59"/>
  <c r="O29" i="59"/>
  <c r="Y25" i="59" s="1"/>
  <c r="Z25" i="59" s="1"/>
  <c r="N29" i="59"/>
  <c r="C29" i="59"/>
  <c r="C28" i="59" s="1"/>
  <c r="Y27" i="59"/>
  <c r="Z27" i="59" s="1"/>
  <c r="Y28" i="59"/>
  <c r="Z28" i="59" s="1"/>
  <c r="B29" i="59"/>
  <c r="X28" i="59"/>
  <c r="D43" i="59"/>
  <c r="C52" i="59"/>
  <c r="C53" i="59" s="1"/>
  <c r="P29" i="59"/>
  <c r="AA28" i="59" s="1"/>
  <c r="E57" i="59"/>
  <c r="U57" i="59" s="1"/>
  <c r="E60" i="59"/>
  <c r="E61" i="59" s="1"/>
  <c r="U61" i="59" s="1"/>
  <c r="E65" i="59"/>
  <c r="U65" i="59" s="1"/>
  <c r="Q66" i="59"/>
  <c r="U73" i="59"/>
  <c r="E72" i="59"/>
  <c r="E71" i="59"/>
  <c r="Q29" i="59"/>
  <c r="C56" i="59"/>
  <c r="C57" i="59" s="1"/>
  <c r="C60" i="59"/>
  <c r="D60" i="59" s="1"/>
  <c r="C64" i="59"/>
  <c r="D64" i="59" s="1"/>
  <c r="N68" i="59"/>
  <c r="B67" i="59"/>
  <c r="Q68" i="59"/>
  <c r="O69" i="59"/>
  <c r="C68" i="59"/>
  <c r="D73" i="59"/>
  <c r="Q69" i="59"/>
  <c r="C76" i="59"/>
  <c r="E76" i="59"/>
  <c r="E75" i="59" s="1"/>
  <c r="D77" i="59"/>
  <c r="C80" i="59"/>
  <c r="E80" i="59"/>
  <c r="E79" i="59" s="1"/>
  <c r="D81" i="59"/>
  <c r="C84" i="59"/>
  <c r="C88" i="59"/>
  <c r="D88" i="59" s="1"/>
  <c r="F29" i="59"/>
  <c r="AB26" i="59"/>
  <c r="E29" i="59"/>
  <c r="AA3" i="59"/>
  <c r="D84" i="59"/>
  <c r="C83" i="59"/>
  <c r="D83" i="59"/>
  <c r="D76" i="59"/>
  <c r="C75" i="59"/>
  <c r="D75" i="59" s="1"/>
  <c r="D52" i="59"/>
  <c r="C87" i="59"/>
  <c r="D87" i="59" s="1"/>
  <c r="D80" i="59"/>
  <c r="C79" i="59"/>
  <c r="D79" i="59"/>
  <c r="O68" i="59"/>
  <c r="C61" i="59"/>
  <c r="T61" i="59" s="1"/>
  <c r="D56" i="59"/>
  <c r="N66" i="59"/>
  <c r="N67" i="59"/>
  <c r="C45" i="59"/>
  <c r="D44" i="59"/>
  <c r="E28" i="59"/>
  <c r="E27" i="59" s="1"/>
  <c r="U29" i="59"/>
  <c r="F28" i="59"/>
  <c r="F27" i="59"/>
  <c r="V29" i="59"/>
  <c r="T53" i="59"/>
  <c r="D53" i="59"/>
  <c r="T45" i="59"/>
  <c r="D45" i="59"/>
  <c r="D61"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12" i="34"/>
  <c r="AC12" i="34"/>
  <c r="J9" i="34"/>
  <c r="AC9" i="34" s="1"/>
  <c r="F9" i="34"/>
  <c r="S9" i="34" s="1"/>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s="1"/>
  <c r="W27" i="34"/>
  <c r="H28" i="34"/>
  <c r="U28" i="34"/>
  <c r="E116" i="34"/>
  <c r="F116" i="34"/>
  <c r="G116" i="34" s="1"/>
  <c r="H116" i="34" s="1"/>
  <c r="I116" i="34" s="1"/>
  <c r="J116" i="34" s="1"/>
  <c r="K116" i="34" s="1"/>
  <c r="L116" i="34" s="1"/>
  <c r="M116" i="34" s="1"/>
  <c r="J39" i="34"/>
  <c r="W39" i="34" s="1"/>
  <c r="J27" i="36"/>
  <c r="F37" i="34"/>
  <c r="AA37" i="34" s="1"/>
  <c r="H37" i="34"/>
  <c r="U37" i="34" s="1"/>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H27" i="36"/>
  <c r="AB27" i="36" s="1"/>
  <c r="F27" i="36"/>
  <c r="AA27" i="36" s="1"/>
  <c r="J28" i="34"/>
  <c r="W28" i="34" s="1"/>
  <c r="AB34" i="21"/>
  <c r="H11" i="34"/>
  <c r="U11" i="34" s="1"/>
  <c r="S17" i="37"/>
  <c r="J11" i="37"/>
  <c r="AC11" i="37" s="1"/>
  <c r="AC36" i="34"/>
  <c r="W12" i="39"/>
  <c r="AC12" i="39"/>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C34" i="34" s="1"/>
  <c r="J34" i="34" s="1"/>
  <c r="AC34" i="34" s="1"/>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45" i="34"/>
  <c r="AB45" i="34"/>
  <c r="AB35" i="34"/>
  <c r="AB27" i="34"/>
  <c r="W29" i="34"/>
  <c r="W43"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AB30" i="35"/>
  <c r="U30" i="35"/>
  <c r="I116" i="57"/>
  <c r="D133" i="57" s="1"/>
  <c r="D120" i="57"/>
  <c r="I114" i="9"/>
  <c r="D129" i="9" s="1"/>
  <c r="I112" i="9"/>
  <c r="D39" i="50" s="1"/>
  <c r="D40" i="50" s="1"/>
  <c r="D116" i="9"/>
  <c r="D114" i="9"/>
  <c r="D115" i="9"/>
  <c r="I113" i="9" s="1"/>
  <c r="E2" i="11"/>
  <c r="D3" i="61"/>
  <c r="D7" i="61"/>
  <c r="E2" i="34"/>
  <c r="C19" i="57"/>
  <c r="F6" i="61"/>
  <c r="D19" i="57"/>
  <c r="D4" i="61"/>
  <c r="F4" i="61"/>
  <c r="F3" i="61"/>
  <c r="F7" i="61"/>
  <c r="E2" i="33"/>
  <c r="H23" i="31"/>
  <c r="D6" i="61"/>
  <c r="F5" i="61"/>
  <c r="D5" i="61"/>
  <c r="E2" i="21"/>
  <c r="E2" i="37"/>
  <c r="E2" i="36"/>
  <c r="C20" i="57"/>
  <c r="D20" i="57"/>
  <c r="E2" i="35"/>
  <c r="H34" i="34" l="1"/>
  <c r="F7" i="15"/>
  <c r="E13" i="1"/>
  <c r="C8" i="11" s="1"/>
  <c r="C5" i="11" s="1"/>
  <c r="F34" i="34"/>
  <c r="W34" i="34"/>
  <c r="S37" i="34"/>
  <c r="AC37" i="34"/>
  <c r="AA27" i="34"/>
  <c r="W9" i="34"/>
  <c r="U9" i="34"/>
  <c r="AA9" i="34"/>
  <c r="AC11" i="34"/>
  <c r="AB8" i="34"/>
  <c r="C14" i="12"/>
  <c r="C114" i="57"/>
  <c r="H109" i="57" s="1"/>
  <c r="I14" i="62"/>
  <c r="B8" i="62" s="1"/>
  <c r="C8" i="62" s="1"/>
  <c r="A2" i="9"/>
  <c r="D42" i="50"/>
  <c r="D43" i="50" s="1"/>
  <c r="B20" i="59"/>
  <c r="B19" i="59" s="1"/>
  <c r="B18" i="59" s="1"/>
  <c r="B17" i="59" s="1"/>
  <c r="S21" i="59"/>
  <c r="AA12" i="21"/>
  <c r="S12" i="21"/>
  <c r="U9" i="33"/>
  <c r="AB9" i="33"/>
  <c r="U23" i="39"/>
  <c r="S27" i="36"/>
  <c r="W17" i="21"/>
  <c r="F9" i="35"/>
  <c r="H9" i="35"/>
  <c r="F12" i="35"/>
  <c r="H12" i="35"/>
  <c r="J36" i="35"/>
  <c r="H23" i="36"/>
  <c r="F25" i="37"/>
  <c r="J25" i="37"/>
  <c r="F44" i="39"/>
  <c r="D57" i="59"/>
  <c r="T57" i="59"/>
  <c r="C27" i="59"/>
  <c r="D27" i="59" s="1"/>
  <c r="D28" i="59"/>
  <c r="S21" i="21"/>
  <c r="S21" i="37"/>
  <c r="C29" i="39"/>
  <c r="C25" i="40"/>
  <c r="B66" i="43"/>
  <c r="C65" i="59"/>
  <c r="AB28" i="59"/>
  <c r="C67" i="59"/>
  <c r="D68" i="59"/>
  <c r="B28" i="59"/>
  <c r="B27" i="59" s="1"/>
  <c r="S29" i="59"/>
  <c r="Y29" i="59"/>
  <c r="Z29" i="59" s="1"/>
  <c r="Y26" i="59"/>
  <c r="Z26" i="59" s="1"/>
  <c r="Y30" i="59"/>
  <c r="Z30" i="59" s="1"/>
  <c r="C31" i="59"/>
  <c r="AB30" i="59"/>
  <c r="AB3" i="59"/>
  <c r="AB27" i="59"/>
  <c r="AB29" i="59"/>
  <c r="F31" i="59"/>
  <c r="F32" i="59" s="1"/>
  <c r="F33" i="59" s="1"/>
  <c r="V33" i="59" s="1"/>
  <c r="Y31" i="59"/>
  <c r="Z31" i="59" s="1"/>
  <c r="AB31" i="59"/>
  <c r="Y32" i="59"/>
  <c r="Z32" i="59" s="1"/>
  <c r="AB32" i="59"/>
  <c r="Y33" i="59"/>
  <c r="Z33" i="59" s="1"/>
  <c r="AB33" i="59"/>
  <c r="X34" i="59"/>
  <c r="B35" i="59"/>
  <c r="B36" i="59" s="1"/>
  <c r="B37" i="59" s="1"/>
  <c r="S37" i="59" s="1"/>
  <c r="AA35" i="59"/>
  <c r="X36" i="59"/>
  <c r="AA37" i="59"/>
  <c r="Y38" i="59"/>
  <c r="Z38" i="59" s="1"/>
  <c r="C39" i="59"/>
  <c r="F39" i="59"/>
  <c r="F40" i="59" s="1"/>
  <c r="F41" i="59" s="1"/>
  <c r="V41" i="59" s="1"/>
  <c r="Y10" i="59"/>
  <c r="Z10" i="59" s="1"/>
  <c r="Y8" i="59"/>
  <c r="Z8" i="59" s="1"/>
  <c r="Y5" i="59"/>
  <c r="Z5" i="59" s="1"/>
  <c r="Y6" i="59"/>
  <c r="Z6" i="59" s="1"/>
  <c r="Y7" i="59"/>
  <c r="Z7" i="59" s="1"/>
  <c r="Y9" i="59"/>
  <c r="Z9" i="59" s="1"/>
  <c r="Y12" i="59"/>
  <c r="Z12" i="59" s="1"/>
  <c r="Y40" i="59"/>
  <c r="Z40" i="59" s="1"/>
  <c r="B55" i="43"/>
  <c r="AA25" i="59"/>
  <c r="AA27" i="59"/>
  <c r="AA29" i="59"/>
  <c r="AA26" i="59"/>
  <c r="T29" i="59"/>
  <c r="D29" i="59"/>
  <c r="X30" i="59"/>
  <c r="B31" i="59"/>
  <c r="B32" i="59" s="1"/>
  <c r="B33" i="59" s="1"/>
  <c r="S33" i="59" s="1"/>
  <c r="X29" i="59"/>
  <c r="X26" i="59"/>
  <c r="Y34" i="59"/>
  <c r="Z34" i="59" s="1"/>
  <c r="C35" i="59"/>
  <c r="F35" i="59"/>
  <c r="F36" i="59" s="1"/>
  <c r="F37" i="59" s="1"/>
  <c r="V37" i="59" s="1"/>
  <c r="X38" i="59"/>
  <c r="B39" i="59"/>
  <c r="B40" i="59" s="1"/>
  <c r="B41" i="59" s="1"/>
  <c r="S41" i="59" s="1"/>
  <c r="M19" i="43"/>
  <c r="U41" i="59"/>
  <c r="AA5" i="59"/>
  <c r="AA8" i="59"/>
  <c r="AA7" i="59"/>
  <c r="AA6" i="59"/>
  <c r="AA9" i="59"/>
  <c r="AA11" i="59"/>
  <c r="AA10" i="59"/>
  <c r="AA40" i="59"/>
  <c r="C48" i="59"/>
  <c r="D48" i="59" s="1"/>
  <c r="D47" i="59"/>
  <c r="E16" i="59"/>
  <c r="E15" i="59" s="1"/>
  <c r="E14" i="59" s="1"/>
  <c r="E13" i="59" s="1"/>
  <c r="U17" i="59"/>
  <c r="X23" i="59"/>
  <c r="C72" i="59"/>
  <c r="D69" i="59"/>
  <c r="P67" i="59"/>
  <c r="AA30" i="59"/>
  <c r="X31" i="59"/>
  <c r="AA32" i="59"/>
  <c r="X33" i="59"/>
  <c r="AA34" i="59"/>
  <c r="X35" i="59"/>
  <c r="AA36" i="59"/>
  <c r="X37" i="59"/>
  <c r="AA38" i="59"/>
  <c r="X8" i="59"/>
  <c r="X7" i="59"/>
  <c r="X5" i="59"/>
  <c r="X6" i="59"/>
  <c r="X11" i="59"/>
  <c r="X9" i="59"/>
  <c r="X10" i="59"/>
  <c r="X12" i="59"/>
  <c r="AB8" i="59"/>
  <c r="AB7" i="59"/>
  <c r="AB5" i="59"/>
  <c r="AB10" i="59"/>
  <c r="AB6" i="59"/>
  <c r="AB9" i="59"/>
  <c r="AB11" i="59"/>
  <c r="P69" i="59"/>
  <c r="B76" i="59"/>
  <c r="B75" i="59" s="1"/>
  <c r="F76" i="59"/>
  <c r="F75" i="59" s="1"/>
  <c r="A8" i="52"/>
  <c r="B65" i="60" s="1"/>
  <c r="AH10" i="43"/>
  <c r="AD10" i="43"/>
  <c r="Z10" i="43"/>
  <c r="X25" i="59"/>
  <c r="X22" i="59"/>
  <c r="Y24" i="59"/>
  <c r="Z24" i="59" s="1"/>
  <c r="C25" i="59"/>
  <c r="AB23" i="59"/>
  <c r="F25" i="59"/>
  <c r="AA20" i="59"/>
  <c r="Y19" i="59"/>
  <c r="Z19" i="59" s="1"/>
  <c r="AB17" i="59"/>
  <c r="AA14" i="59"/>
  <c r="P59" i="15"/>
  <c r="P72" i="15"/>
  <c r="AA22" i="59"/>
  <c r="Y22" i="59"/>
  <c r="Z22" i="59" s="1"/>
  <c r="AB22" i="59"/>
  <c r="AA18" i="59"/>
  <c r="AB18" i="59"/>
  <c r="X18" i="59"/>
  <c r="Y11" i="59"/>
  <c r="Z11" i="59" s="1"/>
  <c r="AB15" i="59"/>
  <c r="Y20" i="59"/>
  <c r="Z20" i="59" s="1"/>
  <c r="X16" i="59"/>
  <c r="AA17" i="59"/>
  <c r="AA16" i="59"/>
  <c r="AA13" i="59"/>
  <c r="AA12" i="59"/>
  <c r="AA15" i="59"/>
  <c r="X14" i="59"/>
  <c r="AB13" i="59"/>
  <c r="Y18" i="59"/>
  <c r="Z18" i="59" s="1"/>
  <c r="Y16" i="59"/>
  <c r="Z16" i="59" s="1"/>
  <c r="AB16" i="59"/>
  <c r="X13" i="59"/>
  <c r="X15" i="59"/>
  <c r="AB12" i="59"/>
  <c r="AB14" i="59"/>
  <c r="Y14" i="59"/>
  <c r="Z14"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AA34" i="34"/>
  <c r="S34" i="34"/>
  <c r="AB34" i="34"/>
  <c r="U34" i="34"/>
  <c r="D8" i="62"/>
  <c r="D72" i="59"/>
  <c r="C71" i="59"/>
  <c r="D71" i="59" s="1"/>
  <c r="O67" i="59"/>
  <c r="O66" i="59"/>
  <c r="D67" i="59"/>
  <c r="D65" i="59"/>
  <c r="T65" i="59"/>
  <c r="AA44" i="39"/>
  <c r="S44" i="39"/>
  <c r="AA25" i="37"/>
  <c r="S25" i="37"/>
  <c r="AC36" i="35"/>
  <c r="W36" i="35"/>
  <c r="S12" i="35"/>
  <c r="AA12" i="35"/>
  <c r="AA9" i="35"/>
  <c r="S9" i="35"/>
  <c r="H7" i="37"/>
  <c r="AB7" i="37" s="1"/>
  <c r="T42" i="37" s="1"/>
  <c r="G42" i="37" s="1"/>
  <c r="G46" i="37" s="1"/>
  <c r="H46" i="37" s="1"/>
  <c r="F24" i="59"/>
  <c r="F23" i="59" s="1"/>
  <c r="F22" i="59" s="1"/>
  <c r="F21" i="59" s="1"/>
  <c r="V25" i="59"/>
  <c r="T25" i="59"/>
  <c r="D25" i="59"/>
  <c r="C24" i="59"/>
  <c r="C36" i="59"/>
  <c r="D35" i="59"/>
  <c r="C40" i="59"/>
  <c r="D39" i="59"/>
  <c r="C32" i="59"/>
  <c r="D31" i="59"/>
  <c r="AC25" i="37"/>
  <c r="W25" i="37"/>
  <c r="AB23" i="36"/>
  <c r="U23" i="36"/>
  <c r="U12" i="35"/>
  <c r="AB12" i="35"/>
  <c r="AB9" i="35"/>
  <c r="U9" i="35"/>
  <c r="B16" i="59"/>
  <c r="B15" i="59" s="1"/>
  <c r="B14" i="59" s="1"/>
  <c r="B13" i="59" s="1"/>
  <c r="S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J7" i="36"/>
  <c r="AC7" i="36" s="1"/>
  <c r="V36" i="36" s="1"/>
  <c r="I36" i="36" s="1"/>
  <c r="B12" i="59"/>
  <c r="B11" i="59" s="1"/>
  <c r="B10" i="59" s="1"/>
  <c r="B9" i="59" s="1"/>
  <c r="S13" i="59"/>
  <c r="D32" i="59"/>
  <c r="C33" i="59"/>
  <c r="D40" i="59"/>
  <c r="C41" i="59"/>
  <c r="D36" i="59"/>
  <c r="C37" i="59"/>
  <c r="C19" i="15"/>
  <c r="C20" i="15" s="1"/>
  <c r="C26" i="15" s="1"/>
  <c r="C23" i="59"/>
  <c r="D24" i="59"/>
  <c r="F20" i="59"/>
  <c r="F19" i="59" s="1"/>
  <c r="F18" i="59" s="1"/>
  <c r="F17" i="59" s="1"/>
  <c r="V21"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8" i="59" l="1"/>
  <c r="B7" i="59" s="1"/>
  <c r="S9" i="59"/>
  <c r="F16" i="59"/>
  <c r="F15" i="59" s="1"/>
  <c r="F14" i="59" s="1"/>
  <c r="F13" i="59" s="1"/>
  <c r="V17" i="59"/>
  <c r="C22" i="59"/>
  <c r="D23" i="59"/>
  <c r="D37" i="59"/>
  <c r="T37" i="59"/>
  <c r="D41" i="59"/>
  <c r="T41" i="59"/>
  <c r="D33" i="59"/>
  <c r="T33"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F12" i="59"/>
  <c r="F11" i="59" s="1"/>
  <c r="F10" i="59" s="1"/>
  <c r="F9" i="59" s="1"/>
  <c r="V13" i="5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F8" i="59" l="1"/>
  <c r="F7" i="59" s="1"/>
  <c r="F6" i="59" s="1"/>
  <c r="F5" i="59" s="1"/>
  <c r="V5" i="59" s="1"/>
  <c r="V9" i="59"/>
  <c r="C20" i="59"/>
  <c r="D21" i="59"/>
  <c r="T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9" i="59" l="1"/>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8" i="59"/>
  <c r="D1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6" i="59" l="1"/>
  <c r="T17" i="59"/>
  <c r="D17" i="59"/>
  <c r="D35" i="9"/>
  <c r="D34" i="9" s="1"/>
  <c r="L64" i="40"/>
  <c r="M62" i="40"/>
  <c r="AA7" i="39"/>
  <c r="R47" i="39" s="1"/>
  <c r="R48" i="39" s="1"/>
  <c r="S7" i="39"/>
  <c r="M59" i="34"/>
  <c r="N59" i="34" s="1"/>
  <c r="O59" i="34" s="1"/>
  <c r="H7" i="34" s="1"/>
  <c r="AB7" i="39"/>
  <c r="U7" i="39"/>
  <c r="AC7" i="39"/>
  <c r="W7" i="39"/>
  <c r="L58" i="15"/>
  <c r="L61" i="15" s="1"/>
  <c r="C15" i="59" l="1"/>
  <c r="D16"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5" i="59" l="1"/>
  <c r="C14"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C13" i="59"/>
  <c r="D14"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T13" i="59"/>
  <c r="D13" i="59"/>
  <c r="C12"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C8" i="59"/>
  <c r="D9" i="59"/>
  <c r="T9" i="59"/>
  <c r="D8" i="50"/>
  <c r="B22" i="60" s="1"/>
  <c r="C7" i="59" l="1"/>
  <c r="D8" i="59"/>
  <c r="C6" i="59" l="1"/>
  <c r="D7" i="59"/>
  <c r="C5" i="59" l="1"/>
  <c r="D6" i="59"/>
  <c r="T5" i="59" l="1"/>
  <c r="M20" i="43"/>
  <c r="D5" i="59"/>
  <c r="E121" i="9" l="1"/>
  <c r="D121" i="9" s="1"/>
  <c r="D122" i="9" s="1"/>
  <c r="I121" i="9"/>
  <c r="C104" i="9" s="1"/>
  <c r="G121" i="9"/>
  <c r="F121" i="9" s="1"/>
  <c r="F122" i="9" s="1"/>
  <c r="H121" i="9" l="1"/>
  <c r="C103" i="9" s="1"/>
  <c r="D107" i="9"/>
  <c r="I103" i="9"/>
  <c r="D14" i="62" l="1"/>
  <c r="B5" i="62" s="1"/>
  <c r="I102" i="9"/>
  <c r="N48" i="9" s="1"/>
  <c r="D106" i="9"/>
  <c r="D112" i="9" s="1"/>
  <c r="D113" i="9" s="1"/>
  <c r="I111" i="9" s="1"/>
  <c r="D126" i="9" s="1"/>
  <c r="H122" i="9"/>
  <c r="I110" i="9" l="1"/>
  <c r="N49" i="9" s="1"/>
  <c r="D45" i="9"/>
  <c r="C72" i="9" s="1"/>
  <c r="E14" i="62"/>
  <c r="D117" i="9"/>
  <c r="I115" i="9" s="1"/>
  <c r="F14" i="62"/>
  <c r="C78" i="9"/>
  <c r="C73" i="9" s="1"/>
  <c r="C5" i="62"/>
  <c r="D5" i="62"/>
  <c r="D125" i="9"/>
  <c r="G14" i="62" s="1"/>
  <c r="B6" i="62" s="1"/>
  <c r="C85" i="9" l="1"/>
  <c r="D53" i="9"/>
  <c r="D48" i="9" s="1"/>
  <c r="N52" i="9" s="1"/>
  <c r="O57" i="9" s="1"/>
  <c r="O58" i="9" s="1"/>
  <c r="D52" i="9"/>
  <c r="C93" i="9"/>
  <c r="C86" i="9" s="1"/>
  <c r="C64" i="9"/>
  <c r="C63" i="9" s="1"/>
  <c r="C67" i="9" s="1"/>
  <c r="C68" i="9" s="1"/>
  <c r="D54" i="9" s="1"/>
  <c r="C79" i="9"/>
  <c r="C6" i="62"/>
  <c r="D6" i="62"/>
  <c r="M68" i="9"/>
  <c r="N68" i="9" s="1"/>
  <c r="M67" i="9"/>
  <c r="N67" i="9" s="1"/>
  <c r="M64" i="9"/>
  <c r="N64" i="9" s="1"/>
  <c r="M65" i="9"/>
  <c r="N65" i="9" s="1"/>
  <c r="M66" i="9"/>
  <c r="N66" i="9" s="1"/>
  <c r="M63" i="9"/>
  <c r="N63" i="9" s="1"/>
  <c r="N69" i="9" s="1"/>
  <c r="O69" i="9" s="1"/>
  <c r="C95" i="9" l="1"/>
  <c r="O59" i="9"/>
  <c r="O60" i="9" s="1"/>
  <c r="C80" i="9"/>
  <c r="E80" i="9" s="1"/>
  <c r="E81" i="9" s="1"/>
  <c r="Q57" i="9"/>
  <c r="C81" i="9" l="1"/>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<sst xmlns="http://schemas.openxmlformats.org/spreadsheetml/2006/main" count="6915" uniqueCount="3050">
  <si>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</si>
  <si>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</si>
  <si>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</si>
  <si>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</si>
  <si>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</si>
  <si>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</si>
  <si>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</si>
  <si>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</si>
  <si>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</si>
  <si>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</si>
  <si>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</si>
  <si>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</si>
  <si>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</si>
  <si>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</si>
  <si>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</si>
  <si>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</si>
  <si>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</si>
  <si>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</si>
  <si>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</si>
  <si>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</si>
  <si>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</si>
  <si>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</si>
  <si>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</si>
  <si>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</si>
  <si>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</si>
  <si>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</si>
  <si>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</si>
  <si>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</si>
  <si>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</si>
  <si>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</si>
  <si>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</si>
  <si>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</si>
  <si>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</si>
  <si>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</si>
  <si>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</si>
  <si>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</si>
  <si>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</si>
  <si>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</si>
  <si>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</si>
  <si>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</si>
  <si>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</si>
  <si>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</si>
  <si>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</si>
  <si>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</si>
  <si>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</si>
  <si>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</si>
  <si>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</si>
  <si>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</si>
  <si>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</si>
  <si>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</si>
  <si>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</si>
  <si>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</si>
  <si>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</si>
  <si>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</si>
  <si>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</si>
  <si>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</si>
  <si>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</si>
  <si>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</si>
  <si>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</si>
  <si>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</si>
  <si>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</si>
  <si>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</si>
  <si>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</si>
  <si>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</si>
  <si>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</si>
  <si>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</si>
  <si>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</si>
  <si>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</si>
  <si>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</si>
  <si>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</si>
  <si>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</si>
  <si>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</si>
  <si>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</si>
  <si>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</si>
  <si>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</si>
  <si>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</si>
  <si>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</si>
  <si>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</si>
  <si>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</si>
  <si>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</si>
  <si>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</si>
  <si>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</si>
  <si>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</si>
  <si>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</si>
  <si>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</si>
  <si>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</si>
  <si>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</si>
  <si>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</si>
  <si>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</si>
  <si>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</si>
  <si>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</si>
  <si>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</si>
  <si>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</si>
  <si>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</si>
  <si>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</si>
  <si>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</si>
  <si>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</si>
  <si>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</si>
  <si>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</si>
  <si>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</si>
  <si>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</si>
  <si>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</si>
  <si>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</si>
  <si>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</si>
  <si>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</si>
  <si>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</si>
  <si>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</si>
  <si>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</si>
  <si>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</si>
  <si>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</si>
  <si>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</si>
  <si>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</si>
  <si>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</si>
  <si>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</si>
  <si>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</si>
  <si>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</si>
  <si>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</si>
  <si>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</si>
  <si>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</si>
  <si>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</si>
  <si>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</si>
  <si>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</si>
  <si>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</si>
  <si>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</si>
  <si>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</si>
  <si>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</si>
  <si>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</si>
  <si>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</si>
  <si>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</si>
  <si>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</si>
  <si>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</si>
  <si>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</si>
  <si>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</si>
  <si>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</si>
  <si>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</si>
  <si>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</si>
  <si>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</si>
  <si>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</si>
  <si>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</si>
  <si>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</si>
  <si>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</si>
  <si>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</si>
  <si>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</si>
  <si>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</si>
  <si>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</si>
  <si>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</si>
  <si>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</si>
  <si>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</si>
  <si>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</si>
  <si>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</si>
  <si>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</si>
  <si>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</si>
  <si>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</si>
  <si>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</si>
  <si>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</si>
  <si>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</si>
  <si>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</si>
  <si>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</si>
  <si>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</si>
  <si>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</si>
  <si>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</si>
  <si>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</si>
  <si>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</si>
  <si>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</si>
  <si>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</si>
  <si>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</si>
  <si>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</si>
  <si>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</si>
  <si>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</si>
  <si>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</si>
  <si>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</si>
  <si>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</si>
  <si>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</si>
  <si>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</si>
  <si>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</si>
  <si>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</si>
  <si>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</si>
  <si>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</si>
  <si>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</si>
  <si>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</si>
  <si>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</si>
  <si>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</si>
  <si>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</si>
  <si>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</si>
  <si>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</si>
  <si>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</si>
  <si>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</si>
  <si>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</si>
  <si>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</si>
  <si>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</si>
  <si>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</si>
  <si>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</si>
  <si>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</si>
  <si>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</si>
  <si>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</si>
  <si>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</si>
  <si>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</si>
  <si>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</si>
  <si>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</si>
  <si>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</si>
  <si>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</si>
  <si>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</si>
  <si>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</si>
  <si>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</si>
  <si>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</si>
  <si>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</si>
  <si>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</si>
  <si>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</si>
  <si>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</si>
  <si>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</si>
  <si>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</si>
  <si>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</si>
  <si>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</si>
  <si>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</si>
  <si>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</si>
  <si>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</si>
  <si>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</si>
  <si>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</si>
  <si>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</si>
  <si>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</si>
  <si>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</si>
  <si>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</si>
  <si>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</si>
  <si>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</si>
  <si>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</si>
  <si>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</si>
  <si>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</si>
  <si>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</si>
  <si>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</si>
  <si>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</si>
  <si>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</si>
  <si>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</si>
  <si>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</si>
  <si>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</si>
  <si>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</si>
  <si>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</si>
  <si>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</si>
  <si>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</si>
  <si>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</si>
  <si>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</si>
  <si>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</si>
  <si>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</si>
  <si>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</si>
  <si>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</si>
  <si>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</si>
  <si>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</si>
  <si>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</si>
  <si>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</si>
  <si>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</si>
  <si>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</si>
  <si>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</si>
  <si>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</si>
  <si>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</si>
  <si>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</si>
  <si>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</si>
  <si>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</si>
  <si>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</si>
  <si>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</si>
  <si>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</si>
  <si>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</si>
  <si>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</si>
  <si>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</si>
  <si>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</si>
  <si>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</si>
  <si>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</si>
  <si>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</si>
  <si>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</si>
  <si>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</si>
  <si>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</si>
  <si>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</si>
  <si>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</si>
  <si>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</si>
  <si>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</si>
  <si>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</si>
  <si>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</si>
  <si>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</si>
  <si>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</si>
  <si>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</si>
  <si>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</si>
  <si>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</si>
  <si>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</si>
  <si>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</si>
  <si>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</si>
  <si>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</si>
  <si>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</si>
  <si>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</si>
  <si>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</si>
  <si>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</si>
  <si>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</si>
  <si>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</si>
  <si>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</si>
  <si>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</si>
  <si>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</si>
  <si>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</si>
  <si>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</si>
  <si>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</si>
  <si>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</si>
  <si>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</si>
  <si>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</si>
  <si>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</si>
  <si>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</si>
  <si>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</si>
  <si>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</si>
  <si>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</si>
  <si>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</si>
  <si>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</si>
  <si>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</si>
  <si>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</si>
  <si>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</si>
  <si>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</si>
  <si>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</si>
  <si>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</si>
  <si>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</si>
  <si>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</si>
  <si>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</si>
  <si>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</si>
  <si>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</si>
  <si>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</si>
  <si>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</si>
  <si>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</si>
  <si>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</si>
  <si>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</si>
  <si>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</si>
  <si>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</si>
  <si>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</si>
  <si>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</si>
  <si>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</si>
  <si>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</si>
  <si>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</si>
  <si>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</si>
  <si>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</si>
  <si>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</si>
  <si>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</si>
  <si>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</si>
  <si>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</si>
  <si>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</si>
  <si>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</si>
  <si>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</si>
  <si>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</si>
  <si>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</si>
  <si>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</si>
  <si>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</si>
  <si>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</si>
  <si>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</si>
  <si>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</si>
  <si>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</si>
  <si>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</si>
  <si>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</si>
  <si>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</si>
  <si>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</si>
  <si>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</si>
  <si>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</si>
  <si>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</si>
  <si>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</si>
  <si>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</si>
  <si>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</si>
  <si>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</si>
  <si>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</si>
  <si>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</si>
  <si>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</si>
  <si>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</si>
  <si>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</si>
  <si>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</si>
  <si>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</si>
  <si>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</si>
  <si>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</si>
  <si>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</si>
  <si>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</si>
  <si>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</si>
  <si>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</si>
  <si>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</si>
  <si>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</si>
  <si>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</si>
  <si>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</si>
  <si>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</si>
  <si>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</si>
  <si>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</si>
  <si>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</si>
  <si>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</si>
  <si>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</si>
  <si>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</si>
  <si>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</si>
  <si>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</si>
  <si>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</si>
  <si>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</si>
  <si>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</si>
  <si>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</si>
  <si>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</si>
  <si>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</si>
  <si>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</si>
  <si>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</si>
  <si>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</si>
  <si>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</si>
  <si>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</si>
  <si>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</si>
  <si>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</si>
  <si>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</si>
  <si>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</si>
  <si>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</si>
  <si>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</si>
  <si>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</si>
  <si>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</si>
  <si>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</si>
  <si>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</si>
  <si>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</si>
  <si>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</si>
  <si>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</si>
  <si>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</si>
  <si>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</si>
  <si>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</si>
  <si>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</si>
  <si>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</si>
  <si>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</si>
  <si>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</si>
  <si>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</si>
  <si>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</si>
  <si>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</si>
  <si>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</si>
  <si>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</si>
  <si>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</si>
  <si>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</si>
  <si>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</si>
  <si>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</si>
  <si>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</si>
  <si>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</si>
  <si>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</si>
  <si>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</si>
  <si>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</si>
  <si>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</si>
  <si>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</si>
  <si>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</si>
  <si>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</si>
  <si>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</si>
  <si>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</si>
  <si>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</si>
  <si>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</si>
  <si>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</si>
  <si>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</si>
  <si>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</si>
  <si>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</si>
  <si>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</si>
  <si>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</si>
  <si>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</si>
  <si>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</si>
  <si>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</si>
  <si>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</si>
  <si>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</si>
  <si>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</si>
  <si>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</si>
  <si>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</si>
  <si>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</si>
  <si>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</si>
  <si>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</si>
  <si>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</si>
  <si>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</si>
  <si>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</si>
  <si>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</si>
  <si>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</si>
  <si>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</si>
  <si>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</si>
  <si>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</si>
  <si>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</si>
  <si>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</si>
  <si>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</si>
  <si>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</si>
  <si>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</si>
  <si>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</si>
  <si>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</si>
  <si>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</si>
  <si>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</si>
  <si>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</si>
  <si>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</si>
  <si>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</si>
  <si>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</si>
  <si>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</si>
  <si>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</si>
  <si>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</si>
  <si>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</si>
  <si>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</si>
  <si>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</si>
  <si>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</si>
  <si>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</si>
  <si>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</si>
  <si>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</si>
  <si>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</si>
  <si>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</si>
  <si>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</si>
  <si>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</si>
  <si>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</si>
  <si>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</si>
  <si>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</si>
  <si>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</si>
  <si>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</si>
  <si>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</si>
  <si>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</si>
  <si>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</si>
  <si>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</si>
  <si>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</si>
  <si>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</si>
  <si>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</si>
  <si>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</si>
  <si>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</si>
  <si>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</si>
  <si>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</si>
  <si>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</si>
  <si>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</si>
  <si>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</si>
  <si>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</si>
  <si>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</si>
  <si>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</si>
  <si>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</si>
  <si>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</si>
  <si>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</si>
  <si>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</si>
  <si>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</si>
  <si>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</si>
  <si>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</si>
  <si>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</si>
  <si>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</si>
  <si>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</si>
  <si>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</si>
  <si>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</si>
  <si>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</si>
  <si>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</si>
  <si>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</si>
  <si>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</si>
  <si>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</si>
  <si>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</si>
  <si>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</si>
  <si>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</si>
  <si>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</si>
  <si>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</si>
  <si>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</si>
  <si>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</si>
  <si>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</si>
  <si>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</si>
  <si>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</si>
  <si>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</si>
  <si>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</si>
  <si>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</si>
  <si>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</si>
  <si>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</si>
  <si>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</si>
  <si>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</si>
  <si>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</si>
  <si>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</si>
  <si>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</si>
  <si>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</si>
  <si>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</si>
  <si>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</si>
  <si>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</si>
  <si>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</si>
  <si>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</si>
  <si>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</si>
  <si>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</si>
  <si>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</si>
  <si>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</si>
  <si>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</si>
  <si>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</si>
  <si>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</si>
  <si>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</si>
  <si>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</si>
  <si>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</si>
  <si>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</si>
  <si>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</si>
  <si>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</si>
  <si>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</si>
  <si>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</si>
  <si>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</si>
  <si>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</si>
  <si>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</si>
  <si>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</si>
  <si>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</si>
  <si>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</si>
  <si>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</si>
  <si>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</si>
  <si>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</si>
  <si>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</si>
  <si>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</si>
  <si>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</si>
  <si>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</si>
  <si>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</si>
  <si>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</si>
  <si>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</si>
  <si>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</si>
  <si>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</si>
  <si>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</si>
  <si>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</si>
  <si>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</si>
  <si>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</si>
  <si>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</si>
  <si>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</si>
  <si>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</si>
  <si>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</si>
  <si>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</si>
  <si>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</si>
  <si>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</si>
  <si>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</si>
  <si>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</si>
  <si>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</si>
  <si>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</si>
  <si>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</si>
  <si>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</si>
  <si>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</si>
  <si>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</si>
  <si>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</si>
  <si>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</si>
  <si>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</si>
  <si>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</si>
  <si>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</si>
  <si>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</si>
  <si>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</si>
  <si>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</si>
  <si>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</si>
  <si>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</si>
  <si>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</si>
  <si>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</si>
  <si>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</si>
  <si>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</si>
  <si>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</si>
  <si>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</si>
  <si>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</si>
  <si>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</si>
  <si>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</si>
  <si>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</si>
  <si>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</si>
  <si>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</si>
  <si>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</si>
  <si>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</si>
  <si>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</si>
  <si>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</si>
  <si>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</si>
  <si>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</si>
  <si>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</si>
  <si>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</si>
  <si>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</si>
  <si>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</si>
  <si>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</si>
  <si>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</si>
  <si>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</si>
  <si>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</si>
  <si>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</si>
  <si>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</si>
  <si>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</si>
  <si>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</si>
  <si>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</si>
  <si>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</si>
  <si>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</si>
  <si>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</si>
  <si>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</si>
  <si>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</si>
  <si>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</si>
  <si>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</si>
  <si>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</si>
  <si>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</si>
  <si>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</si>
  <si>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</si>
  <si>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</si>
  <si>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</si>
  <si>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</si>
  <si>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</si>
  <si>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</si>
  <si>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</si>
  <si>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</si>
  <si>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</si>
  <si>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</si>
  <si>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</si>
  <si>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</si>
  <si>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</si>
  <si>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</si>
  <si>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</si>
  <si>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</si>
  <si>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</si>
  <si>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</si>
  <si>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</si>
  <si>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</si>
  <si>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</si>
  <si>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</si>
  <si>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</si>
  <si>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</si>
  <si>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</si>
  <si>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</si>
  <si>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</si>
  <si>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</si>
  <si>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</si>
  <si>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</si>
  <si>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</si>
  <si>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</si>
  <si>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</si>
  <si>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</si>
  <si>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</si>
  <si>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</si>
  <si>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</si>
  <si>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</si>
  <si>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</si>
  <si>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</si>
  <si>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</si>
  <si>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</si>
  <si>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</si>
  <si>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</si>
  <si>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</si>
  <si>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</si>
  <si>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</si>
  <si>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</si>
  <si>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</si>
  <si>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</si>
  <si>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</si>
  <si>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</si>
  <si>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</si>
  <si>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</si>
  <si>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</si>
  <si>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</si>
  <si>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</si>
  <si>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</si>
  <si>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</si>
  <si>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</si>
  <si>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</si>
  <si>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</si>
  <si>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</si>
  <si>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</si>
  <si>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</si>
  <si>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</si>
  <si>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</si>
  <si>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</si>
  <si>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</si>
  <si>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</si>
  <si>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</si>
  <si>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</si>
  <si>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</si>
  <si>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</si>
  <si>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</si>
  <si>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</si>
  <si>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</si>
  <si>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</si>
  <si>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</si>
  <si>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</si>
  <si>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</si>
  <si>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</si>
  <si>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</si>
  <si>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</si>
  <si>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</si>
  <si>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</si>
  <si>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</si>
  <si>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</si>
  <si>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</si>
  <si>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</si>
  <si>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</si>
  <si>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</si>
  <si>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</si>
  <si>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</si>
  <si>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</si>
  <si>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</si>
  <si>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</si>
  <si>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</si>
  <si>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</si>
  <si>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</si>
  <si>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</si>
  <si>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</si>
  <si>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</si>
  <si>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</si>
  <si>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</si>
  <si>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</si>
  <si>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</si>
  <si>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</si>
  <si>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</si>
  <si>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</si>
  <si>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</si>
  <si>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</si>
  <si>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</si>
  <si>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</si>
  <si>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</si>
  <si>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</si>
  <si>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</si>
  <si>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</si>
  <si>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</si>
  <si>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</si>
  <si>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</si>
  <si>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</si>
  <si>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</si>
  <si>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</si>
  <si>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</si>
  <si>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</si>
  <si>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</si>
  <si>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</si>
  <si>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</si>
  <si>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</si>
  <si>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</si>
  <si>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</si>
  <si>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</si>
  <si>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</si>
  <si>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</si>
  <si>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</si>
  <si>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</si>
  <si>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</si>
  <si>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</si>
  <si>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</si>
  <si>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</si>
  <si>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</si>
  <si>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</si>
  <si>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</si>
  <si>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</si>
  <si>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</si>
  <si>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</si>
  <si>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</si>
  <si>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</si>
  <si>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</si>
  <si>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</si>
  <si>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</si>
  <si>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</si>
  <si>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</si>
  <si>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</si>
  <si>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</si>
  <si>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</si>
  <si>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</si>
  <si>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</si>
  <si>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</si>
  <si>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</si>
  <si>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</si>
  <si>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</si>
  <si>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</si>
  <si>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</si>
  <si>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</si>
  <si>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</si>
  <si>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</si>
  <si>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</si>
  <si>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</si>
  <si>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</si>
  <si>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</si>
  <si>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</si>
  <si>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</si>
  <si>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</si>
  <si>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</si>
  <si>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</si>
  <si>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</si>
  <si>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</si>
  <si>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</si>
  <si>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</si>
  <si>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</si>
  <si>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</si>
  <si>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</si>
  <si>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</si>
  <si>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</si>
  <si>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</si>
  <si>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</si>
  <si>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</si>
  <si>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</si>
  <si>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</si>
  <si>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</si>
  <si>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</si>
  <si>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</si>
  <si>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</si>
  <si>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</si>
  <si>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</si>
  <si>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</si>
  <si>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</si>
  <si>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</si>
  <si>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</si>
  <si>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</si>
  <si>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</si>
  <si>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</si>
  <si>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</si>
  <si>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</si>
  <si>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</si>
  <si>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</si>
  <si>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</si>
  <si>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</si>
  <si>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</si>
  <si>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</si>
  <si>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</si>
  <si>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</si>
  <si>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</si>
  <si>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</si>
  <si>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</si>
  <si>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</si>
  <si>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</si>
  <si>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</si>
  <si>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</si>
  <si>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</si>
  <si>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</si>
  <si>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</si>
  <si>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</si>
  <si>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</si>
  <si>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</si>
  <si>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</si>
  <si>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</si>
  <si>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</si>
  <si>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</si>
  <si>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</si>
  <si>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</si>
  <si>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</si>
  <si>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</si>
  <si>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</si>
  <si>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</si>
  <si>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</si>
  <si>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</si>
  <si>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</si>
  <si>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</si>
  <si>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</si>
  <si>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</si>
  <si>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</si>
  <si>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</si>
  <si>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</si>
  <si>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</si>
  <si>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</si>
  <si>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</si>
  <si>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</si>
  <si>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</si>
  <si>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</si>
  <si>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</si>
  <si>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</si>
  <si>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</si>
  <si>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</si>
  <si>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</si>
  <si>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</si>
  <si>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</si>
  <si>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</si>
  <si>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</si>
  <si>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</si>
  <si>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</si>
  <si>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</si>
  <si>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</si>
  <si>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</si>
  <si>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</si>
  <si>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</si>
  <si>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</si>
  <si>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</si>
  <si>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</si>
  <si>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</si>
  <si>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</si>
  <si>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</si>
  <si>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</si>
  <si>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</si>
  <si>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</si>
  <si>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</si>
  <si>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</si>
  <si>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</si>
  <si>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</si>
  <si>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</si>
  <si>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</si>
  <si>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</si>
  <si>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</si>
  <si>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</si>
  <si>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</si>
  <si>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</si>
  <si>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</si>
  <si>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</si>
  <si>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</si>
  <si>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</si>
  <si>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</si>
  <si>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</si>
  <si>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</si>
  <si>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</si>
  <si>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</si>
  <si>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</si>
  <si>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</si>
  <si>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</si>
  <si>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</si>
  <si>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</si>
  <si>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</si>
  <si>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</si>
  <si>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</si>
  <si>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</si>
  <si>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</si>
  <si>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</si>
  <si>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</si>
  <si>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</si>
  <si>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</si>
  <si>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</si>
  <si>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</si>
  <si>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</si>
  <si>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</si>
  <si>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</si>
  <si>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</si>
  <si>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</si>
  <si>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</si>
  <si>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</si>
  <si>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</si>
  <si>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</si>
  <si>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</si>
  <si>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</si>
  <si>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</si>
  <si>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</si>
  <si>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</si>
  <si>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</si>
  <si>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</si>
  <si>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</si>
  <si>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</si>
  <si>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</si>
  <si>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</si>
  <si>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</si>
  <si>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</si>
  <si>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</si>
  <si>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</si>
  <si>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</si>
  <si>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</si>
  <si>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</si>
  <si>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</si>
  <si>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</si>
  <si>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</si>
  <si>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</si>
  <si>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</si>
  <si>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</si>
  <si>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</si>
  <si>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</si>
  <si>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</si>
  <si>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</si>
  <si>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</si>
  <si>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</si>
  <si>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</si>
  <si>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</si>
  <si>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</si>
  <si>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</si>
  <si>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</si>
  <si>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</si>
  <si>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</si>
  <si>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</si>
  <si>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</si>
  <si>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</si>
  <si>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</si>
  <si>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</si>
  <si>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</si>
  <si>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</si>
  <si>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</si>
  <si>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</si>
  <si>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</si>
  <si>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</si>
  <si>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</si>
  <si>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</si>
  <si>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</si>
  <si>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</si>
  <si>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</si>
  <si>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</si>
  <si>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</si>
  <si>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</si>
  <si>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</si>
  <si>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</si>
  <si>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</si>
  <si>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</si>
  <si>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</si>
  <si>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</si>
  <si>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</si>
  <si>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</si>
  <si>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</si>
  <si>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</si>
  <si>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</si>
  <si>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</si>
  <si>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</si>
  <si>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</si>
  <si>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</si>
  <si>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</si>
  <si>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</si>
  <si>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</si>
  <si>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</si>
  <si>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</si>
  <si>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</si>
  <si>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</si>
  <si>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</si>
  <si>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</si>
  <si>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</si>
  <si>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</si>
  <si>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</si>
  <si>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</si>
  <si>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</si>
  <si>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</si>
  <si>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</si>
  <si>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</si>
  <si>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</si>
  <si>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</si>
  <si>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</si>
  <si>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</si>
  <si>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</si>
  <si>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</si>
  <si>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</si>
  <si>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</si>
  <si>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</si>
  <si>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</si>
  <si>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</si>
  <si>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</si>
  <si>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</si>
  <si>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</si>
  <si>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</si>
  <si>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</si>
  <si>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</si>
  <si>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</si>
  <si>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</si>
  <si>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</si>
  <si>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</si>
  <si>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</si>
  <si>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</si>
  <si>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</si>
  <si>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</si>
  <si>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</si>
  <si>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</si>
  <si>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</si>
  <si>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</si>
  <si>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</si>
  <si>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</si>
  <si>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</si>
  <si>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</si>
  <si>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</si>
  <si>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</si>
  <si>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</si>
  <si>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</si>
  <si>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</si>
  <si>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</si>
  <si>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</si>
  <si>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</si>
  <si>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</si>
  <si>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</si>
  <si>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</si>
  <si>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</si>
  <si>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</si>
  <si>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</si>
  <si>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</si>
  <si>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</si>
  <si>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</si>
  <si>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</si>
  <si>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</si>
  <si>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</si>
  <si>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</si>
  <si>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</si>
  <si>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</si>
  <si>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</si>
  <si>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</si>
  <si>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</si>
  <si>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</si>
  <si>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</si>
  <si>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</si>
  <si>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</si>
  <si>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</si>
  <si>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</si>
  <si>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</si>
  <si>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</si>
  <si>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</si>
  <si>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</si>
  <si>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</si>
  <si>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</si>
  <si>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</si>
  <si>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</si>
  <si>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</si>
  <si>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</si>
  <si>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</si>
  <si>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</si>
  <si>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</si>
  <si>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</si>
  <si>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</si>
  <si>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</si>
  <si>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</si>
  <si>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</si>
  <si>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</si>
  <si>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</si>
  <si>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</si>
  <si>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</si>
  <si>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</si>
  <si>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</si>
  <si>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</si>
  <si>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</si>
  <si>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</si>
  <si>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</si>
  <si>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</si>
  <si>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</si>
  <si>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</si>
  <si>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</si>
  <si>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</si>
  <si>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</si>
  <si>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</si>
  <si>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</si>
  <si>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</si>
  <si>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</si>
  <si>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</si>
  <si>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</si>
  <si>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</si>
  <si>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</si>
  <si>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</si>
  <si>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</si>
  <si>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</si>
  <si>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</si>
  <si>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</si>
  <si>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</si>
  <si>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</si>
  <si>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</si>
  <si>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</si>
  <si>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</si>
  <si>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</si>
  <si>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</si>
  <si>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</si>
  <si>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</si>
  <si>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</si>
  <si>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</si>
  <si>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</si>
  <si>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</si>
  <si>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</si>
  <si>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</si>
  <si>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</si>
  <si>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</si>
  <si>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</si>
  <si>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</si>
  <si>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</si>
  <si>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</si>
  <si>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</si>
  <si>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</si>
  <si>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</si>
  <si>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</si>
  <si>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</si>
  <si>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</si>
  <si>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</si>
  <si>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</si>
  <si>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</si>
  <si>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</si>
  <si>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</si>
  <si>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</si>
  <si>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</si>
  <si>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</si>
  <si>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</si>
  <si>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</si>
  <si>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</si>
  <si>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</si>
  <si>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</si>
  <si>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</si>
  <si>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</si>
  <si>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</si>
  <si>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</si>
  <si>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</si>
  <si>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</si>
  <si>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</si>
  <si>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</si>
  <si>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</si>
  <si>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</si>
  <si>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</si>
  <si>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</si>
  <si>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</si>
  <si>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</si>
  <si>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</si>
  <si>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</si>
  <si>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</si>
  <si>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</si>
  <si>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</si>
  <si>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</si>
  <si>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</si>
  <si>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</si>
  <si>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</si>
  <si>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</si>
  <si>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</si>
  <si>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</si>
  <si>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</si>
  <si>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</si>
  <si>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</si>
  <si>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</si>
  <si>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</si>
  <si>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</si>
  <si>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</si>
  <si>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</si>
  <si>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</si>
  <si>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</si>
  <si>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</si>
  <si>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</si>
  <si>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</si>
  <si>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</si>
  <si>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</si>
  <si>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</si>
  <si>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</si>
  <si>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</si>
  <si>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</si>
  <si>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</si>
  <si>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</si>
  <si>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</si>
  <si>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</si>
  <si>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</si>
  <si>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</si>
  <si>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</si>
  <si>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</si>
  <si>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</si>
  <si>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</si>
  <si>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</si>
  <si>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</si>
  <si>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</si>
  <si>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</si>
  <si>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</si>
  <si>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</si>
  <si>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</si>
  <si>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</si>
  <si>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</si>
  <si>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</si>
  <si>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</si>
  <si>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</si>
  <si>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</si>
  <si>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</si>
  <si>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</si>
  <si>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</si>
  <si>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</si>
  <si>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</si>
  <si>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</si>
  <si>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</si>
  <si>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</si>
  <si>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</si>
  <si>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</si>
  <si>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</si>
  <si>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</si>
  <si>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</si>
  <si>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</si>
  <si>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</si>
  <si>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</si>
  <si>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</si>
  <si>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</si>
  <si>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</si>
  <si>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</si>
  <si>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</si>
  <si>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</si>
  <si>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</si>
  <si>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</si>
  <si>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</si>
  <si>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</si>
  <si>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</si>
  <si>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</si>
  <si>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</si>
  <si>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</si>
  <si>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</si>
  <si>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</si>
  <si>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</si>
  <si>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</si>
  <si>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</si>
  <si>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</si>
  <si>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</si>
  <si>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</si>
  <si>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</si>
  <si>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</si>
  <si>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</si>
  <si>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</si>
  <si>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</si>
  <si>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</si>
  <si>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</si>
  <si>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</si>
  <si>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</si>
  <si>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</si>
  <si>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</si>
  <si>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</si>
  <si>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</si>
  <si>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</si>
  <si>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</si>
  <si>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</si>
  <si>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</si>
  <si>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</si>
  <si>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</si>
  <si>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</si>
  <si>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</si>
  <si>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</si>
  <si>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</si>
  <si>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</si>
  <si>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</si>
  <si>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</si>
  <si>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</si>
  <si>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</si>
  <si>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</si>
  <si>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</si>
  <si>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</si>
  <si>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</si>
  <si>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</si>
  <si>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</si>
  <si>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</si>
  <si>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</si>
  <si>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</si>
  <si>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</si>
  <si>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</si>
  <si>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</si>
  <si>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</si>
  <si>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</si>
  <si>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</si>
  <si>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</si>
  <si>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</si>
  <si>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</si>
  <si>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</si>
  <si>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</si>
  <si>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</si>
  <si>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</si>
  <si>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</si>
  <si>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</si>
  <si>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</si>
  <si>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</si>
  <si>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</si>
  <si>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</si>
  <si>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</si>
  <si>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</si>
  <si>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</si>
  <si>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</si>
  <si>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</si>
  <si>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</si>
  <si>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</si>
  <si>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</si>
  <si>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</si>
  <si>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</si>
  <si>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</si>
  <si>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</si>
  <si>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</si>
  <si>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</si>
  <si>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</si>
  <si>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</si>
  <si>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</si>
  <si>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</si>
  <si>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</si>
  <si>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</si>
  <si>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</si>
  <si>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</si>
  <si>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</si>
  <si>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</si>
  <si>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</si>
  <si>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</si>
  <si>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</si>
  <si>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</si>
  <si>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</si>
  <si>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</si>
  <si>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</si>
  <si>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</si>
  <si>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</si>
  <si>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</si>
  <si>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</si>
  <si>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</si>
  <si>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</si>
  <si>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</si>
  <si>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</si>
  <si>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</si>
  <si>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</si>
  <si>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</si>
  <si>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</si>
  <si>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</si>
  <si>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</si>
  <si>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</si>
  <si>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</si>
  <si>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</si>
  <si>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</si>
  <si>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</si>
  <si>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</si>
  <si>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</si>
  <si>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</si>
  <si>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</si>
  <si>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</si>
  <si>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</si>
  <si>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</si>
  <si>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</si>
  <si>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</si>
  <si>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</si>
  <si>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</si>
  <si>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</si>
  <si>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</si>
  <si>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</si>
  <si>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</si>
  <si>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</si>
  <si>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</si>
  <si>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</si>
  <si>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</si>
  <si>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</si>
  <si>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</si>
  <si>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</si>
  <si>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</si>
  <si>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</si>
  <si>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</si>
  <si>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</si>
  <si>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</si>
  <si>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</si>
  <si>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</si>
  <si>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</si>
  <si>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</si>
  <si>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</si>
  <si>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</si>
  <si>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</si>
  <si>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</si>
  <si>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</si>
  <si>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</si>
  <si>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</si>
  <si>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</si>
  <si>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</si>
  <si>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</si>
  <si>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</si>
  <si>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</si>
  <si>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</si>
  <si>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</si>
  <si>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</si>
  <si>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</si>
  <si>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</si>
  <si>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</si>
  <si>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</si>
  <si>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</si>
  <si>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</si>
  <si>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</si>
  <si>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</si>
  <si>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</si>
  <si>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</si>
  <si>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</si>
  <si>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</si>
  <si>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</si>
  <si>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</si>
  <si>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</si>
  <si>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</si>
  <si>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</si>
  <si>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</si>
  <si>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</si>
  <si>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</si>
  <si>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</si>
  <si>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</si>
  <si>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</si>
  <si>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</si>
  <si>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</si>
  <si>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</si>
  <si>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</si>
  <si>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</si>
  <si>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</si>
  <si>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</si>
  <si>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</si>
  <si>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</si>
  <si>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</si>
  <si>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</si>
  <si>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</si>
  <si>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</si>
  <si>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</si>
  <si>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</si>
  <si>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</si>
  <si>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</si>
  <si>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</si>
  <si>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</si>
  <si>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</si>
  <si>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</si>
  <si>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</si>
  <si>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</si>
  <si>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</si>
  <si>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</si>
  <si>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</si>
  <si>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</si>
  <si>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</si>
  <si>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</si>
  <si>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</si>
  <si>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</si>
  <si>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</si>
  <si>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</si>
  <si>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</si>
  <si>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</si>
  <si>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</si>
  <si>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</si>
  <si>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</si>
  <si>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</si>
  <si>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</si>
  <si>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</si>
  <si>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</si>
  <si>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</si>
  <si>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</si>
  <si>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</si>
  <si>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</si>
  <si>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</si>
  <si>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</si>
  <si>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</si>
  <si>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</si>
  <si>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</si>
  <si>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</si>
  <si>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</si>
  <si>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</si>
  <si>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</si>
  <si>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</si>
  <si>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</si>
  <si>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</si>
  <si>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</si>
  <si>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</si>
  <si>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</si>
  <si>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</si>
  <si>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</si>
  <si>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</si>
  <si>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</si>
  <si>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</si>
  <si>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</si>
  <si>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</si>
  <si>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</si>
  <si>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</si>
  <si>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</si>
  <si>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</si>
  <si>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</si>
  <si>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</si>
  <si>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</si>
  <si>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</si>
  <si>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</si>
  <si>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</si>
  <si>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</si>
  <si>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</si>
  <si>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</si>
  <si>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</si>
  <si>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</si>
  <si>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</si>
  <si>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</si>
  <si>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</si>
  <si>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</si>
  <si>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</si>
  <si>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</si>
  <si>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</si>
  <si>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</si>
  <si>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</si>
  <si>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</si>
  <si>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</si>
  <si>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</si>
  <si>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</si>
  <si>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</si>
  <si>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</si>
  <si>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</si>
  <si>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</si>
  <si>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</si>
  <si>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</si>
  <si>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</si>
  <si>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</si>
  <si>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</si>
  <si>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</si>
  <si>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</si>
  <si>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</si>
  <si>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</si>
  <si>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</si>
  <si>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</si>
  <si>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</si>
  <si>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</si>
  <si>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</si>
  <si>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</si>
  <si>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</si>
  <si>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</si>
  <si>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</si>
  <si>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</si>
  <si>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</si>
  <si>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</si>
  <si>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</si>
  <si>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</si>
  <si>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</si>
  <si>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</si>
  <si>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</si>
  <si>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</si>
  <si>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</si>
  <si>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</si>
  <si>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</si>
  <si>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</si>
  <si>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</si>
  <si>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</si>
  <si>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</si>
  <si>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</si>
  <si>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</si>
  <si>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</si>
  <si>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</si>
  <si>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</si>
  <si>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</si>
  <si>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</si>
  <si>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</si>
  <si>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</si>
  <si>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</si>
  <si>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</si>
  <si>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</si>
  <si>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</si>
  <si>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</si>
  <si>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</si>
  <si>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</si>
  <si>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</si>
  <si>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</si>
  <si>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</si>
  <si>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</si>
  <si>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</si>
  <si>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</si>
  <si>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</si>
  <si>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</si>
  <si>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</si>
  <si>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</si>
  <si>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</si>
  <si>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</si>
  <si>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</si>
  <si>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</si>
  <si>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</si>
  <si>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</si>
  <si>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</si>
  <si>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</si>
  <si>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</si>
  <si>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</si>
  <si>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</si>
  <si>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</si>
  <si>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</si>
  <si>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</si>
  <si>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</si>
  <si>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</si>
  <si>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</si>
  <si>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</si>
  <si>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</si>
  <si>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</si>
  <si>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</si>
  <si>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</si>
  <si>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</si>
  <si>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</si>
  <si>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</si>
  <si>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</si>
  <si>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</si>
  <si>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</si>
  <si>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</si>
  <si>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</si>
  <si>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</si>
  <si>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</si>
  <si>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</si>
  <si>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</si>
  <si>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</si>
  <si>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</si>
  <si>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</si>
  <si>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</si>
  <si>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</si>
  <si>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</si>
  <si>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</si>
  <si>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</si>
  <si>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</si>
  <si>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</si>
  <si>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</si>
  <si>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</si>
  <si>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</si>
  <si>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</si>
  <si>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</si>
  <si>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</si>
  <si>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</si>
  <si>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</si>
  <si>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</si>
  <si>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</si>
  <si>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</si>
  <si>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</si>
  <si>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</si>
  <si>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</si>
  <si>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</si>
  <si>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</si>
  <si>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</si>
  <si>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</si>
  <si>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</si>
  <si>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</si>
  <si>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</si>
  <si>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</si>
  <si>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</si>
  <si>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</si>
  <si>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</si>
  <si>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</si>
  <si>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</si>
  <si>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</si>
  <si>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</si>
  <si>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</si>
  <si>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</si>
  <si>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</si>
  <si>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</si>
  <si>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</si>
  <si>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</si>
  <si>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</si>
  <si>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</si>
  <si>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</si>
  <si>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</si>
  <si>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</si>
  <si>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</si>
  <si>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</si>
  <si>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</si>
  <si>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</si>
  <si>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</si>
  <si>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</si>
  <si>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</si>
  <si>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</si>
  <si>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</si>
  <si>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</si>
  <si>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</si>
  <si>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</si>
  <si>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</si>
  <si>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</si>
  <si>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</si>
  <si>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</si>
  <si>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</si>
  <si>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</si>
  <si>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</si>
  <si>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</si>
  <si>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</si>
  <si>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</si>
  <si>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</si>
  <si>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</si>
  <si>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</si>
  <si>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</si>
  <si>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</si>
  <si>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</si>
  <si>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</si>
  <si>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</si>
  <si>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</si>
  <si>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</si>
  <si>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</si>
  <si>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</si>
  <si>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</si>
  <si>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</si>
  <si>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</si>
  <si>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</si>
  <si>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</si>
  <si>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</si>
  <si>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</si>
  <si>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</si>
  <si>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</si>
  <si>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</si>
  <si>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</si>
  <si>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</si>
  <si>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</si>
  <si>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</si>
  <si>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</si>
  <si>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</si>
  <si>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</si>
  <si>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</si>
  <si>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</si>
  <si>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</si>
  <si>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</si>
  <si>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</si>
  <si>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</si>
  <si>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</si>
  <si>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</si>
  <si>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</si>
  <si>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</si>
  <si>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</si>
  <si>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</si>
  <si>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</si>
  <si>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</si>
  <si>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</si>
  <si>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</si>
  <si>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</si>
  <si>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</si>
  <si>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</si>
  <si>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</si>
  <si>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</si>
  <si>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</si>
  <si>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</si>
  <si>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</si>
  <si>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</si>
  <si>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</si>
  <si>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</si>
  <si>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</si>
  <si>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</si>
  <si>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</si>
  <si>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</si>
  <si>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</si>
  <si>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</si>
  <si>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</si>
  <si>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</si>
  <si>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</si>
  <si>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</si>
  <si>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</si>
  <si>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</si>
  <si>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</si>
  <si>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</si>
  <si>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</si>
  <si>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</si>
  <si>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</si>
  <si>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</si>
  <si>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</si>
  <si>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</si>
  <si>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</si>
  <si>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</si>
  <si>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</si>
  <si>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</si>
  <si>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</si>
  <si>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</si>
  <si>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</si>
  <si>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</si>
  <si>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</si>
  <si>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</si>
  <si>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</si>
  <si>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</si>
  <si>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</si>
  <si>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</si>
  <si>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</si>
  <si>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</si>
  <si>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</si>
  <si>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</si>
  <si>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</si>
  <si>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</si>
  <si>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</si>
  <si>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</si>
  <si>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</si>
  <si>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</si>
  <si>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</si>
  <si>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</si>
  <si>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</si>
  <si>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</si>
  <si>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</si>
  <si>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</si>
  <si>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</si>
  <si>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</si>
  <si>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</si>
  <si>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</si>
  <si>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</si>
  <si>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</si>
  <si>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</si>
  <si>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</si>
  <si>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</si>
  <si>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</si>
  <si>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</si>
  <si>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</si>
  <si>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</si>
  <si>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</si>
  <si>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</si>
  <si>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</si>
  <si>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</si>
  <si>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</si>
  <si>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</si>
  <si>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</si>
  <si>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</si>
  <si>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</si>
  <si>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</si>
  <si>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</si>
  <si>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</si>
  <si>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</si>
  <si>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</si>
  <si>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</si>
  <si>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</si>
  <si>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</si>
  <si>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</si>
  <si>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</si>
  <si>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</si>
  <si>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</si>
  <si>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</si>
  <si>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</si>
  <si>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</si>
  <si>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</si>
  <si>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</si>
  <si>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</si>
  <si>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</si>
  <si>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</si>
  <si>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</si>
  <si>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</si>
  <si>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</si>
  <si>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</si>
  <si>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</si>
  <si>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</si>
  <si>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</si>
  <si>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</si>
  <si>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</si>
  <si>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</si>
  <si>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</si>
  <si>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</si>
  <si>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</si>
  <si>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</si>
  <si>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</si>
  <si>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</si>
  <si>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</si>
  <si>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</si>
  <si>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</si>
  <si>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</si>
  <si>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</si>
  <si>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</si>
  <si>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</si>
  <si>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</si>
  <si>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</si>
  <si>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</si>
  <si>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</si>
  <si>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</si>
  <si>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</si>
  <si>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</si>
  <si>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</si>
  <si>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</si>
  <si>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</si>
  <si>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</si>
  <si>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</si>
  <si>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</si>
  <si>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</si>
  <si>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</si>
  <si>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</si>
  <si>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</si>
  <si>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</si>
  <si>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</si>
  <si>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</si>
  <si>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</si>
  <si>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</si>
  <si>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</si>
  <si>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</si>
  <si>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</si>
  <si>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</si>
  <si>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</si>
  <si>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</si>
  <si>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</si>
  <si>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</si>
  <si>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</si>
  <si>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</si>
  <si>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</si>
  <si>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</si>
  <si>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</si>
  <si>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</si>
  <si>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</si>
  <si>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</si>
  <si>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</si>
  <si>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</si>
  <si>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</si>
  <si>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</si>
  <si>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</si>
  <si>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</si>
  <si>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</si>
  <si>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</si>
  <si>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</si>
  <si>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</si>
  <si>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</si>
  <si>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</si>
  <si>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</si>
  <si>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</si>
  <si>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</si>
  <si>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</si>
  <si>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</si>
  <si>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</si>
  <si>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</si>
  <si>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</si>
  <si>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</si>
  <si>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</si>
  <si>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</si>
  <si>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</si>
  <si>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</si>
  <si>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</si>
  <si>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</si>
  <si>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</si>
  <si>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</si>
  <si>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</si>
  <si>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</si>
  <si>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</si>
  <si>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</si>
  <si>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</si>
  <si>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</si>
  <si>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</si>
  <si>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</si>
  <si>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</si>
  <si>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</si>
  <si>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</si>
  <si>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</si>
  <si>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</si>
  <si>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</si>
  <si>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</si>
  <si>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</si>
  <si>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</si>
  <si>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</si>
  <si>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</si>
  <si>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</si>
  <si>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</si>
  <si>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</si>
  <si>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</si>
  <si>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</si>
  <si>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</si>
  <si>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</si>
  <si>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</si>
  <si>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</si>
  <si>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</si>
  <si>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</si>
  <si>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</si>
  <si>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</si>
  <si>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</si>
  <si>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</si>
  <si>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</si>
  <si>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</si>
  <si>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</si>
  <si>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</si>
  <si>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</si>
  <si>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</si>
  <si>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</si>
  <si>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</si>
  <si>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</si>
  <si>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</si>
  <si>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</si>
  <si>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</si>
  <si>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</si>
  <si>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</si>
  <si>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</si>
  <si>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</si>
  <si>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</si>
  <si>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</si>
  <si>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</si>
  <si>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</si>
  <si>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</si>
  <si>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</si>
  <si>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</si>
  <si>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</si>
  <si>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</si>
  <si>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</si>
  <si>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</si>
  <si>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</si>
  <si>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</si>
  <si>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</si>
  <si>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</si>
  <si>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</si>
  <si>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</si>
  <si>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</si>
  <si>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</si>
  <si>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</si>
  <si>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</si>
  <si>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</si>
  <si>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</si>
  <si>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</si>
  <si>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</si>
  <si>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</si>
  <si>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</si>
  <si>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</si>
  <si>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</si>
  <si>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</si>
  <si>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</si>
  <si>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</si>
  <si>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</si>
  <si>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</si>
  <si>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</si>
  <si>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</si>
  <si>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</si>
  <si>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</si>
  <si>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</si>
  <si>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</si>
  <si>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</si>
  <si>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</si>
  <si>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</si>
  <si>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</si>
  <si>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</si>
  <si>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</si>
  <si>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</si>
  <si>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</si>
  <si>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</si>
  <si>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</si>
  <si>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</si>
  <si>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</si>
  <si>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</si>
  <si>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</si>
  <si>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</si>
  <si>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</si>
  <si>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</si>
  <si>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</si>
  <si>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</si>
  <si>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</si>
  <si>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</si>
  <si>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</si>
  <si>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</si>
  <si>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</si>
  <si>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</si>
  <si>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</si>
  <si>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</si>
  <si>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</si>
  <si>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</si>
  <si>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</si>
  <si>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</si>
  <si>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</si>
  <si>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</si>
  <si>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</si>
  <si>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</si>
  <si>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</si>
  <si>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</si>
  <si>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</si>
  <si>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</si>
  <si>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</si>
  <si>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</si>
  <si>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</si>
  <si>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</si>
  <si>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</si>
  <si>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</si>
  <si>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</si>
  <si>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</si>
  <si>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</si>
  <si>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</si>
  <si>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</si>
  <si>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</si>
  <si>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</si>
  <si>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</si>
  <si>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</si>
  <si>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</si>
  <si>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</si>
  <si>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</si>
  <si>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</si>
  <si>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</si>
  <si>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</si>
  <si>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</si>
  <si>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</si>
  <si>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</si>
  <si>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</si>
  <si>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</si>
  <si>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</si>
  <si>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</si>
  <si>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</si>
  <si>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</si>
  <si>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</si>
  <si>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</si>
  <si>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</si>
  <si>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</si>
  <si>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</si>
  <si>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</si>
  <si>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</si>
  <si>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</si>
  <si>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</si>
  <si>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</si>
  <si>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</si>
  <si>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</si>
  <si>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</si>
  <si>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</si>
  <si>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</si>
  <si>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</si>
  <si>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</si>
  <si>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</si>
  <si>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</si>
  <si>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</si>
  <si>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</si>
  <si>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</si>
  <si>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</si>
  <si>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</si>
  <si>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</si>
  <si>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</si>
  <si>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</si>
  <si>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</si>
  <si>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</si>
  <si>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</si>
  <si>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</si>
  <si>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</si>
  <si>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</si>
  <si>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</si>
  <si>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</si>
  <si>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</si>
  <si>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</si>
  <si>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</si>
  <si>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</si>
  <si>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</si>
  <si>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</si>
  <si>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</si>
  <si>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</si>
  <si>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</si>
  <si>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</si>
  <si>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</si>
  <si>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</si>
  <si>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</si>
  <si>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</si>
  <si>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</si>
  <si>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</si>
  <si>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</si>
  <si>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</si>
  <si>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</si>
  <si>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</si>
  <si>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</si>
  <si>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</si>
  <si>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</si>
  <si>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</si>
  <si>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</si>
  <si>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</si>
  <si>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</si>
  <si>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</si>
  <si>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</si>
  <si>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</si>
  <si>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</si>
  <si>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</si>
  <si>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</si>
  <si>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</si>
  <si>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</si>
  <si>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</si>
  <si>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</si>
  <si>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</si>
  <si>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</si>
  <si>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</si>
  <si>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</si>
  <si>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</si>
  <si>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</si>
  <si>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</si>
  <si>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</si>
  <si>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</si>
  <si>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</si>
  <si>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</si>
  <si>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</si>
  <si>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</si>
  <si>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</si>
  <si>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</si>
  <si>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</si>
  <si>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</si>
  <si>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</si>
  <si>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</si>
  <si>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</si>
  <si>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</si>
  <si>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</si>
  <si>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</si>
  <si>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</si>
  <si>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</si>
  <si>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</si>
  <si>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</si>
  <si>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</si>
  <si>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</si>
  <si>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</si>
  <si>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</si>
  <si>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</si>
  <si>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</si>
  <si>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</si>
  <si>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</si>
  <si>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</si>
  <si>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</si>
  <si>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</si>
  <si>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</si>
  <si>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</si>
  <si>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</si>
  <si>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</si>
  <si>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</si>
  <si>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</si>
  <si>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</si>
  <si>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</si>
  <si>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</si>
  <si>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</si>
  <si>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</si>
  <si>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</si>
  <si>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</si>
  <si>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</si>
  <si>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</si>
  <si>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</si>
  <si>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</si>
  <si>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</si>
  <si>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</si>
  <si>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</si>
  <si>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</si>
  <si>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</si>
  <si>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</si>
  <si>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</si>
  <si>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</si>
  <si>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</si>
  <si>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</si>
  <si>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</si>
  <si>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</si>
  <si>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</si>
  <si>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</si>
  <si>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</si>
  <si>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</si>
  <si>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</si>
  <si>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</si>
  <si>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</si>
  <si>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</si>
  <si>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</si>
  <si>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</si>
  <si>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</si>
  <si>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</si>
  <si>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</si>
  <si>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</si>
  <si>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</si>
  <si>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</si>
  <si>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</si>
  <si>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</si>
  <si>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</si>
  <si>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</si>
  <si>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</si>
  <si>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</si>
  <si>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</si>
  <si>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</si>
  <si>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</si>
  <si>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</si>
  <si>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</si>
  <si>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</si>
  <si>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</si>
  <si>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</si>
  <si>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</si>
  <si>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</si>
  <si>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</si>
  <si>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</si>
  <si>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</si>
  <si>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</si>
  <si>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</si>
  <si>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</si>
  <si>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</si>
  <si>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</si>
  <si>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</si>
  <si>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</si>
  <si>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</si>
  <si>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</si>
  <si>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</si>
  <si>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</si>
  <si>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</si>
  <si>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</si>
  <si>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</si>
  <si>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</si>
  <si>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</si>
  <si>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</si>
  <si>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</si>
  <si>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</si>
  <si>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</si>
  <si>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</si>
  <si>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</si>
  <si>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</si>
  <si>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</si>
  <si>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</si>
  <si>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</si>
  <si>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</si>
  <si>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</si>
  <si>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</si>
  <si>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</si>
  <si>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</si>
  <si>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</si>
  <si>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</si>
  <si>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</si>
  <si>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</si>
  <si>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</si>
  <si>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</si>
  <si>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</si>
  <si>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</si>
  <si>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</si>
  <si>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</si>
  <si>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</si>
  <si>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</si>
  <si>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</si>
  <si>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</si>
  <si>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</si>
  <si>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</si>
  <si>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</si>
  <si>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</si>
  <si>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</si>
  <si>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</si>
  <si>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</si>
  <si>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</si>
  <si>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</si>
  <si>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</si>
  <si>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</si>
  <si>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</si>
  <si>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</si>
  <si>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</si>
  <si>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</si>
  <si>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</si>
  <si>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</si>
  <si>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</si>
  <si>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</si>
  <si>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</si>
  <si>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</si>
  <si>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</si>
  <si>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</si>
  <si>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</si>
  <si>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</si>
  <si>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</si>
  <si>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</si>
  <si>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</si>
  <si>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</si>
  <si>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</si>
  <si>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</si>
  <si>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</si>
  <si>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</si>
  <si>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</si>
  <si>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</si>
  <si>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</si>
  <si>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</si>
  <si>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</si>
  <si>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</si>
  <si>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</si>
  <si>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</si>
  <si>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</si>
  <si>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</si>
  <si>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</si>
  <si>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</si>
  <si>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</si>
  <si>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</si>
  <si>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</si>
  <si>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</si>
  <si>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</si>
  <si>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</si>
  <si>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</si>
  <si>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</si>
  <si>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</si>
  <si>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</si>
  <si>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</si>
  <si>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</si>
  <si>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</si>
  <si>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</si>
  <si>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</si>
  <si>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</si>
  <si>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</si>
  <si>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</si>
  <si>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</si>
  <si>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</si>
  <si>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</si>
  <si>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</si>
  <si>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</si>
  <si>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</si>
  <si>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</si>
  <si>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</si>
  <si>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</si>
  <si>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</si>
  <si>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</si>
  <si>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</si>
  <si>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</si>
  <si>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</si>
  <si>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</si>
  <si>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</si>
  <si>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</si>
  <si>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</si>
  <si>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</si>
  <si>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</si>
  <si>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</si>
  <si>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</si>
  <si>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</si>
  <si>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</si>
  <si>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</si>
  <si>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</si>
  <si>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</si>
  <si>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</si>
  <si>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</si>
  <si>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</si>
  <si>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</si>
  <si>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</si>
  <si>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</si>
  <si>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</si>
  <si>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</si>
  <si>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</si>
  <si>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</si>
  <si>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</si>
  <si>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</si>
  <si>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</si>
  <si>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</si>
  <si>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</si>
  <si>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</si>
  <si>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</si>
  <si>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</si>
  <si>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</si>
  <si>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</si>
  <si>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</si>
  <si>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</si>
  <si>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</si>
  <si>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</si>
  <si>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</si>
  <si>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</si>
  <si>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</si>
  <si>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</si>
  <si>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</si>
  <si>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</si>
  <si>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</si>
  <si>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</si>
  <si>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</si>
  <si>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</si>
  <si>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</si>
  <si>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</si>
  <si>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</si>
  <si>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</si>
  <si>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</si>
  <si>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</si>
  <si>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</si>
  <si>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</si>
  <si>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</si>
  <si>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</si>
  <si>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</si>
  <si>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</si>
  <si>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</si>
  <si>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</si>
  <si>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</si>
  <si>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</si>
  <si>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</si>
  <si>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</si>
  <si>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</si>
  <si>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</si>
  <si>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</si>
  <si>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</si>
  <si>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</si>
  <si>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</si>
  <si>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</si>
  <si>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</si>
  <si>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</si>
  <si>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</si>
  <si>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</si>
  <si>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</si>
  <si>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</si>
  <si>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</si>
  <si>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</si>
  <si>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</si>
  <si>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</si>
  <si>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</si>
  <si>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</si>
  <si>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</si>
  <si>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</si>
  <si>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</si>
  <si>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</si>
  <si>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</si>
  <si>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</si>
  <si>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</si>
  <si>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</si>
  <si>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</si>
  <si>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</si>
  <si>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</si>
  <si>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</si>
  <si>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</si>
  <si>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</si>
  <si>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</si>
  <si>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</si>
  <si>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</si>
  <si>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</si>
  <si>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</si>
  <si>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</si>
  <si>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</si>
  <si>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</si>
  <si>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</si>
  <si>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</si>
  <si>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</si>
  <si>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</si>
  <si>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</si>
  <si>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</si>
  <si>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</si>
  <si>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</si>
  <si>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</si>
  <si>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</si>
  <si>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</si>
  <si>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</si>
  <si>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</si>
  <si>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</si>
  <si>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</si>
  <si>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</si>
  <si>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</si>
  <si>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</si>
  <si>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</si>
  <si>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</si>
  <si>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</si>
  <si>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</si>
  <si>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</si>
  <si>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</si>
  <si>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</si>
  <si>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</si>
  <si>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</si>
  <si>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</si>
  <si>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</si>
  <si>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</si>
  <si>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</si>
  <si>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</si>
  <si>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</si>
  <si>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</si>
  <si>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</si>
  <si>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</si>
  <si>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</si>
  <si>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</si>
  <si>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</si>
  <si>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</si>
  <si>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</si>
  <si>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</si>
  <si>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</si>
  <si>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</si>
  <si>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</si>
  <si>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</si>
  <si>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</si>
  <si>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</si>
  <si>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</si>
  <si>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</si>
  <si>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</si>
  <si>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</si>
  <si>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</si>
  <si>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</si>
  <si>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</si>
  <si>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</si>
  <si>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</si>
  <si>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</si>
  <si>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</si>
  <si>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</si>
  <si>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</si>
  <si>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</si>
  <si>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</si>
  <si>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</si>
  <si>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</si>
  <si>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</si>
  <si>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</si>
  <si>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</si>
  <si>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</si>
  <si>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</si>
  <si>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</si>
  <si>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</si>
  <si>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</si>
  <si>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</si>
  <si>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</si>
  <si>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</si>
  <si>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</si>
  <si>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</si>
  <si>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</si>
  <si>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</si>
  <si>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</si>
  <si>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</si>
  <si>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</si>
  <si>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</si>
  <si>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</si>
  <si>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</si>
  <si>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</si>
  <si>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</si>
  <si>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</si>
  <si>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</si>
  <si>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</si>
  <si>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</si>
  <si>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</si>
  <si>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</si>
  <si>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</si>
  <si>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</si>
  <si>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</si>
  <si>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</si>
  <si>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</si>
  <si>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</si>
  <si>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</si>
  <si>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</si>
  <si>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</si>
  <si>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</si>
  <si>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</si>
  <si>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</si>
  <si>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</si>
  <si>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</si>
  <si>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</si>
  <si>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</si>
  <si>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</si>
  <si>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</si>
  <si>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</si>
  <si>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</si>
  <si>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</si>
  <si>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</si>
  <si>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</si>
  <si>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</si>
  <si>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</si>
  <si>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</si>
  <si>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</si>
  <si>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</si>
  <si>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</si>
  <si>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</si>
  <si>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</si>
  <si>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</si>
  <si>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</si>
  <si>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</si>
  <si>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</si>
  <si>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</si>
  <si>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</si>
  <si>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</si>
  <si>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</si>
  <si>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</si>
  <si>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</si>
  <si>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</si>
  <si>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</si>
  <si>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</si>
  <si>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</si>
  <si>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</si>
  <si>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</si>
  <si>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</si>
  <si>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</si>
  <si>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</si>
  <si>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</si>
  <si>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</si>
  <si>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</si>
  <si>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</si>
  <si>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</si>
  <si>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</si>
  <si>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</si>
  <si>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</si>
  <si>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</si>
  <si>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</si>
  <si>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</si>
  <si>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</si>
  <si>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</si>
  <si>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</si>
  <si>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</si>
  <si>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</si>
  <si>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</si>
  <si>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</si>
  <si>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</si>
  <si>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</si>
  <si>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</si>
  <si>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</si>
  <si>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</si>
  <si>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</si>
  <si>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</si>
  <si>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</si>
  <si>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</si>
  <si>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</si>
  <si>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</si>
  <si>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</si>
  <si>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</si>
  <si>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</si>
  <si>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</si>
  <si>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</si>
  <si>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</si>
  <si>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</si>
  <si>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</si>
  <si>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</si>
  <si>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</si>
  <si>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</si>
  <si>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</si>
  <si>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</si>
  <si>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</si>
  <si>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</si>
  <si>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</si>
  <si>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</si>
  <si>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</si>
  <si>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</si>
  <si>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</si>
  <si>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</si>
  <si>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</si>
  <si>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</si>
  <si>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</si>
  <si>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</si>
  <si>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</si>
  <si>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</si>
  <si>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</si>
  <si>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</si>
  <si>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</si>
  <si>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</si>
  <si>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</si>
  <si>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</si>
  <si>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</si>
  <si>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</si>
  <si>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</si>
  <si>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</si>
  <si>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</si>
  <si>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</si>
  <si>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</si>
  <si>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</si>
  <si>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</si>
  <si>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</si>
  <si>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</si>
  <si>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</si>
  <si>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</si>
  <si>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</si>
  <si>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</si>
  <si>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</si>
  <si>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</si>
  <si>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</si>
  <si>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</si>
  <si>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</si>
  <si>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</si>
  <si>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</si>
  <si>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</si>
  <si>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</si>
  <si>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</si>
  <si>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</si>
  <si>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</si>
  <si>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</si>
  <si>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</si>
  <si>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</si>
  <si>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</si>
  <si>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</si>
  <si>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</si>
  <si>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</si>
  <si>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</si>
  <si>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</si>
  <si>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</si>
  <si>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</si>
  <si>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</si>
  <si>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</si>
  <si>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</si>
  <si>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</si>
  <si>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</si>
  <si>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</si>
  <si>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</si>
  <si>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</si>
  <si>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</si>
  <si>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</si>
  <si>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</si>
  <si>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</si>
  <si>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</si>
  <si>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</si>
  <si>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</si>
  <si>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</si>
  <si>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</si>
  <si>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</si>
  <si>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</si>
  <si>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</si>
  <si>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</si>
  <si>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</si>
  <si>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</si>
  <si>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</si>
  <si>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</si>
  <si>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</si>
  <si>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</si>
  <si>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</si>
  <si>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</si>
  <si>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</si>
  <si>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</si>
  <si>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</si>
  <si>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</si>
  <si>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</si>
  <si>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</si>
  <si>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</si>
  <si>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</si>
  <si>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</si>
  <si>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</si>
  <si>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</si>
  <si>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</si>
  <si>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</si>
  <si>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</si>
  <si>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</si>
  <si>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</si>
  <si>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</si>
  <si>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</si>
  <si>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</si>
  <si>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</si>
  <si>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</si>
  <si>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</si>
  <si>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</si>
  <si>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</si>
  <si>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</si>
  <si>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</si>
  <si>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</si>
  <si>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</si>
  <si>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</si>
  <si>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</si>
  <si>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</si>
  <si>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</si>
  <si>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</si>
  <si>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</si>
  <si>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</si>
  <si>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</si>
  <si>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</si>
  <si>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</si>
  <si>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</si>
  <si>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</si>
  <si>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</si>
  <si>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</si>
  <si>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</si>
  <si>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</si>
  <si>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</si>
  <si>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</si>
  <si>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</si>
  <si>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</si>
  <si>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</si>
  <si>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</si>
  <si>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</si>
  <si>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</si>
  <si>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</si>
  <si>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</si>
  <si>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</si>
  <si>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</si>
  <si>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</si>
  <si>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</si>
  <si>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</si>
  <si>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</si>
  <si>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</si>
  <si>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</si>
  <si>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</si>
  <si>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</si>
  <si>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</si>
  <si>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</si>
  <si>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</si>
  <si>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</si>
  <si>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</si>
  <si>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</si>
  <si>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</si>
  <si>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</si>
  <si>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</si>
  <si>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</si>
  <si>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</si>
  <si>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</si>
  <si>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</si>
  <si>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</si>
  <si>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</si>
  <si>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</si>
  <si>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</si>
  <si>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</si>
  <si>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</si>
  <si>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</si>
  <si>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</si>
  <si>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</si>
  <si>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</si>
  <si>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</si>
  <si>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</si>
  <si>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</si>
  <si>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</si>
  <si>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</si>
  <si>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</si>
  <si>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</si>
  <si>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</si>
  <si>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</si>
  <si>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</si>
  <si>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</si>
  <si>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</si>
  <si>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</si>
  <si>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</si>
  <si>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</si>
  <si>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</si>
  <si>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</si>
  <si>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</si>
  <si>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</si>
  <si>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</si>
  <si>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</si>
  <si>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</si>
  <si>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</si>
  <si>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</si>
  <si>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</si>
  <si>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</si>
  <si>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</si>
  <si>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</si>
  <si>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</si>
  <si>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</si>
  <si>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</si>
  <si>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</si>
  <si>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</si>
  <si>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</si>
  <si>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</si>
  <si>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</si>
  <si>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</si>
  <si>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</si>
  <si>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</si>
  <si>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</si>
  <si>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</si>
  <si>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</si>
  <si>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</si>
  <si>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</si>
  <si>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</si>
  <si>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</si>
  <si>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</si>
  <si>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</si>
  <si>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</si>
  <si>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</si>
  <si>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</si>
  <si>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</si>
  <si>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</si>
  <si>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</si>
  <si>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</si>
  <si>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</si>
  <si>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</si>
  <si>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</si>
  <si>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</si>
  <si>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</si>
  <si>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</si>
  <si>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</si>
  <si>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</si>
  <si>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</si>
  <si>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</si>
  <si>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</si>
  <si>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</si>
  <si>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</si>
  <si>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</si>
  <si>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</si>
  <si>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</si>
  <si>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</si>
  <si>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</si>
  <si>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</si>
  <si>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</si>
  <si>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</si>
  <si>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</si>
  <si>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</si>
  <si>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</si>
  <si>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</si>
  <si>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</si>
  <si>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</si>
  <si>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</si>
  <si>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</si>
  <si>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</si>
  <si>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</si>
  <si>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</si>
  <si>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</si>
  <si>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</si>
  <si>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</si>
  <si>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</si>
  <si>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</si>
  <si>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</si>
  <si>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</si>
  <si>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</si>
  <si>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</si>
  <si>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</si>
  <si>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</si>
  <si>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</si>
  <si>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</si>
  <si>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</si>
  <si>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</si>
  <si>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</si>
  <si>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</si>
  <si>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</si>
  <si>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</si>
  <si>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</si>
  <si>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</si>
  <si>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</si>
  <si>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房地产抵押价值</t>
  </si>
  <si>
    <t>万元</t>
  </si>
  <si>
    <t>楼面单价</t>
  </si>
  <si>
    <t>办公</t>
  </si>
  <si>
    <t>无租约</t>
  </si>
  <si>
    <t>利息：取LPR加浮动点数</t>
  </si>
  <si>
    <t>侨商中心</t>
    <phoneticPr fontId="146" type="noConversion"/>
  </si>
  <si>
    <t>中区</t>
    <phoneticPr fontId="146" type="noConversion"/>
  </si>
  <si>
    <t>中区</t>
    <phoneticPr fontId="146" type="noConversion"/>
  </si>
  <si>
    <t>正常</t>
    <phoneticPr fontId="26" type="noConversion"/>
  </si>
  <si>
    <t>办公</t>
    <phoneticPr fontId="26" type="noConversion"/>
  </si>
  <si>
    <t>中区</t>
    <phoneticPr fontId="26" type="noConversion"/>
  </si>
  <si>
    <t>钢混</t>
  </si>
  <si>
    <t>非生产用房</t>
  </si>
  <si>
    <t>否</t>
  </si>
  <si>
    <t>比较法-办公</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</si>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</sst>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590048</xdr:colOff>
      <xdr:row>30</xdr:row>
      <xdr:rowOff>8924</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342900"/>
          <a:ext cx="4019048" cy="4809524"/>
        </a:xfrm>
        <a:prstGeom prst="rect">
          <a:avLst/>
        </a:prstGeom>
      </xdr:spPr>
    </xdr:pic>
    <xdr:clientData/>
  </xdr:twoCellAnchor>
  <xdr:twoCellAnchor editAs="oneCell">
    <xdr:from>
      <xdr:col>2</xdr:col>
      <xdr:colOff>0</xdr:colOff>
      <xdr:row>32</xdr:row>
      <xdr:rowOff>0</xdr:rowOff>
    </xdr:from>
    <xdr:to>
      <xdr:col>15</xdr:col>
      <xdr:colOff>446505</xdr:colOff>
      <xdr:row>78</xdr:row>
      <xdr:rowOff>122824</xdr:rowOff>
    </xdr:to>
    <xdr:pic>
      <xdr:nvPicPr>
        <xdr:cNvPr id="3" name="图片 2"/>
        <xdr:cNvPicPr>
          <a:picLocks noChangeAspect="1"/>
        </xdr:cNvPicPr>
      </xdr:nvPicPr>
      <xdr:blipFill>
        <a:blip xmlns:r="http://schemas.openxmlformats.org/officeDocument/2006/relationships" r:embed="rId2"/>
        <a:stretch>
          <a:fillRect/>
        </a:stretch>
      </xdr:blipFill>
      <xdr:spPr>
        <a:xfrm>
          <a:off x="1371600" y="5486400"/>
          <a:ext cx="9361905" cy="8009524"/>
        </a:xfrm>
        <a:prstGeom prst="rect">
          <a:avLst/>
        </a:prstGeom>
      </xdr:spPr>
    </xdr:pic>
    <xdr:clientData/>
  </xdr:twoCellAnchor>
  <xdr:twoCellAnchor editAs="oneCell">
    <xdr:from>
      <xdr:col>2</xdr:col>
      <xdr:colOff>0</xdr:colOff>
      <xdr:row>79</xdr:row>
      <xdr:rowOff>0</xdr:rowOff>
    </xdr:from>
    <xdr:to>
      <xdr:col>14</xdr:col>
      <xdr:colOff>198972</xdr:colOff>
      <xdr:row>126</xdr:row>
      <xdr:rowOff>160898</xdr:rowOff>
    </xdr:to>
    <xdr:pic>
      <xdr:nvPicPr>
        <xdr:cNvPr id="4" name="图片 3"/>
        <xdr:cNvPicPr>
          <a:picLocks noChangeAspect="1"/>
        </xdr:cNvPicPr>
      </xdr:nvPicPr>
      <xdr:blipFill>
        <a:blip xmlns:r="http://schemas.openxmlformats.org/officeDocument/2006/relationships" r:embed="rId3"/>
        <a:stretch>
          <a:fillRect/>
        </a:stretch>
      </xdr:blipFill>
      <xdr:spPr>
        <a:xfrm>
          <a:off x="1371600" y="13544550"/>
          <a:ext cx="8428572" cy="8219048"/>
        </a:xfrm>
        <a:prstGeom prst="rect">
          <a:avLst/>
        </a:prstGeom>
      </xdr:spPr>
    </xdr:pic>
    <xdr:clientData/>
  </xdr:twoCellAnchor>
  <xdr:twoCellAnchor editAs="oneCell">
    <xdr:from>
      <xdr:col>2</xdr:col>
      <xdr:colOff>0</xdr:colOff>
      <xdr:row>127</xdr:row>
      <xdr:rowOff>0</xdr:rowOff>
    </xdr:from>
    <xdr:to>
      <xdr:col>14</xdr:col>
      <xdr:colOff>94210</xdr:colOff>
      <xdr:row>175</xdr:row>
      <xdr:rowOff>65639</xdr:rowOff>
    </xdr:to>
    <xdr:pic>
      <xdr:nvPicPr>
        <xdr:cNvPr id="5" name="图片 4"/>
        <xdr:cNvPicPr>
          <a:picLocks noChangeAspect="1"/>
        </xdr:cNvPicPr>
      </xdr:nvPicPr>
      <xdr:blipFill>
        <a:blip xmlns:r="http://schemas.openxmlformats.org/officeDocument/2006/relationships" r:embed="rId4"/>
        <a:stretch>
          <a:fillRect/>
        </a:stretch>
      </xdr:blipFill>
      <xdr:spPr>
        <a:xfrm>
          <a:off x="1371600" y="21774150"/>
          <a:ext cx="8323810" cy="8295239"/>
        </a:xfrm>
        <a:prstGeom prst="rect">
          <a:avLst/>
        </a:prstGeom>
      </xdr:spPr>
    </xdr:pic>
    <xdr:clientData/>
  </xdr:twoCellAnchor>
  <xdr:twoCellAnchor editAs="oneCell">
    <xdr:from>
      <xdr:col>2</xdr:col>
      <xdr:colOff>0</xdr:colOff>
      <xdr:row>176</xdr:row>
      <xdr:rowOff>0</xdr:rowOff>
    </xdr:from>
    <xdr:to>
      <xdr:col>14</xdr:col>
      <xdr:colOff>27543</xdr:colOff>
      <xdr:row>223</xdr:row>
      <xdr:rowOff>65660</xdr:rowOff>
    </xdr:to>
    <xdr:pic>
      <xdr:nvPicPr>
        <xdr:cNvPr id="6" name="图片 5"/>
        <xdr:cNvPicPr>
          <a:picLocks noChangeAspect="1"/>
        </xdr:cNvPicPr>
      </xdr:nvPicPr>
      <xdr:blipFill>
        <a:blip xmlns:r="http://schemas.openxmlformats.org/officeDocument/2006/relationships" r:embed="rId5"/>
        <a:stretch>
          <a:fillRect/>
        </a:stretch>
      </xdr:blipFill>
      <xdr:spPr>
        <a:xfrm>
          <a:off x="1371600" y="30175200"/>
          <a:ext cx="8257143" cy="81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估价对象为北京市房地产，为XX所有。根据《》[]，估价对象建筑面积为134.09平方米。根据《》[]，估价对象（分摊）出让国有建设用地使用权面积为平方米。估价对象用途为。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2022年10月21日</v>
      </c>
    </row>
    <row r="10" spans="1:2">
      <c r="A10" s="1139" t="s">
        <v>865</v>
      </c>
      <c r="B10" s="1126" t="str">
        <f>'预评函-1'!A13</f>
        <v>本次估价的“房地产价值”是指在正常市场情况下，在价值时点2022年10月21日，估价对象规划用途为，假定未设立法定优先受偿款下的房地产市场价值。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134.09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F20" sqref="F20"/>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44855</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t="s">
        <v>3033</v>
      </c>
      <c r="E5" s="2812" t="s">
        <v>1297</v>
      </c>
      <c r="F5" s="1361" t="s">
        <v>3033</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134.09</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46" sqref="I4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44855</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134.09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59861</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41.11</v>
      </c>
      <c r="C13" s="2885"/>
      <c r="D13" s="2851" t="s">
        <v>1397</v>
      </c>
      <c r="E13" s="2571">
        <f>E12*B5</f>
        <v>26818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0.94799999999999995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469315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2018</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3037</v>
      </c>
      <c r="D29" s="2853" t="s">
        <v>1423</v>
      </c>
      <c r="E29" s="2872">
        <f>E30+E31</f>
        <v>5.5000000000000007E-2</v>
      </c>
      <c r="F29" s="1238"/>
      <c r="G29" s="2887"/>
      <c r="H29" s="2887"/>
      <c r="K29" s="1613"/>
      <c r="N29" s="1613"/>
    </row>
    <row r="30" spans="1:41" ht="14.25">
      <c r="A30" s="2848" t="str">
        <f>IF(B29="租赁期内按合同租金","合同租金","市场租金")</f>
        <v>市场租金</v>
      </c>
      <c r="B30" s="2588">
        <v>4</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41.11</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134.09</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44855</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400</v>
      </c>
      <c r="C5" s="2499">
        <f ca="1">ROUND(B5*10000/$B$1,0)</f>
        <v>29831</v>
      </c>
      <c r="D5" s="2499" t="e">
        <f ca="1">ROUND(B5*10000/$B$2,0)</f>
        <v>#DIV/0!</v>
      </c>
      <c r="E5" s="1562"/>
      <c r="F5" s="2500"/>
      <c r="G5" s="2500"/>
    </row>
    <row r="6" spans="1:9" ht="16.5">
      <c r="A6" s="2499" t="s">
        <v>981</v>
      </c>
      <c r="B6" s="2499">
        <f ca="1">SUM(G14:G23)</f>
        <v>400</v>
      </c>
      <c r="C6" s="2499">
        <f t="shared" ref="C6:C8" ca="1" si="0">ROUND(B6*10000/$B$1,0)</f>
        <v>29831</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134.09</v>
      </c>
      <c r="C14" s="2835">
        <f>项目基本情况!C13</f>
        <v>0</v>
      </c>
      <c r="D14" s="2835">
        <f ca="1">IF('数据-取费表'!B3="万元",IF(A14="估价对象1（结果表）",结果表!H121,'结果表 (1修多)'!H125),IF(A14="估价对象1（结果表）",结果表!H121,'结果表 (1修多)'!H125)/10000)</f>
        <v>400</v>
      </c>
      <c r="E14" s="2835">
        <f ca="1">ROUND(D14*10000/B14,0)</f>
        <v>29831</v>
      </c>
      <c r="F14" s="2835" t="e">
        <f ca="1">ROUND(D14*10000/C14,0)</f>
        <v>#DIV/0!</v>
      </c>
      <c r="G14" s="2835">
        <f ca="1">IF('数据-取费表'!B3="万元",IF(A14="估价对象1（结果表）",结果表!D125,'结果表 (1修多)'!D129),IF(A14="估价对象1（结果表）",结果表!D125,'结果表 (1修多)'!D129)/10000)</f>
        <v>400</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1" zoomScale="80" zoomScaleNormal="100" zoomScaleSheetLayoutView="80" zoomScalePageLayoutView="80" workbookViewId="0">
      <selection activeCell="H37" sqref="H3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3048</v>
      </c>
      <c r="D4" s="2632" t="s">
        <v>3049</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6</v>
      </c>
      <c r="D14" s="3490">
        <v>4</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07" t="s">
        <v>2576</v>
      </c>
      <c r="F18" s="3508"/>
      <c r="G18" s="3508"/>
      <c r="H18" s="3508"/>
      <c r="I18" s="3508"/>
      <c r="J18" s="2765"/>
    </row>
    <row r="19" spans="1:36" ht="15">
      <c r="A19" s="2638" t="s">
        <v>1494</v>
      </c>
      <c r="B19" s="2639" t="s">
        <v>1495</v>
      </c>
      <c r="C19" s="2640">
        <f ca="1">SUMIF(INDIRECT("'"&amp;C4&amp;"'"&amp;"!A:A"),结果表!B19,INDIRECT("'"&amp;C4&amp;"'"&amp;"!B:B"))</f>
        <v>454</v>
      </c>
      <c r="D19" s="2641">
        <f ca="1">SUMIF(INDIRECT("'"&amp;D4&amp;"'"&amp;"!A:A"),结果表!B19,INDIRECT("'"&amp;D4&amp;"'"&amp;"!B:B"))</f>
        <v>320</v>
      </c>
      <c r="E19" s="2638" t="s">
        <v>1496</v>
      </c>
      <c r="F19" s="2639" t="s">
        <v>1495</v>
      </c>
      <c r="G19" s="2642">
        <f ca="1">ROUND(C19*$C$18+D19*$D$18,0)</f>
        <v>400</v>
      </c>
      <c r="H19" s="2643" t="str">
        <f>'数据-取费表'!B3</f>
        <v>万元</v>
      </c>
      <c r="I19" s="2691"/>
      <c r="J19" s="2766"/>
    </row>
    <row r="20" spans="1:36" ht="15">
      <c r="A20" s="2644"/>
      <c r="B20" s="1622" t="s">
        <v>1497</v>
      </c>
      <c r="C20" s="1847">
        <f ca="1">SUMIF(INDIRECT("'"&amp;C4&amp;"'"&amp;"!A:A"),结果表!B20,INDIRECT("'"&amp;C4&amp;"'"&amp;"!B:B"))</f>
        <v>33835</v>
      </c>
      <c r="D20" s="1850">
        <f ca="1">SUMIF(INDIRECT("'"&amp;D4&amp;"'"&amp;"!A:A"),结果表!B20,INDIRECT("'"&amp;D4&amp;"'"&amp;"!B:B"))</f>
        <v>23886</v>
      </c>
      <c r="E20" s="2644"/>
      <c r="F20" s="1622" t="s">
        <v>1497</v>
      </c>
      <c r="G20" s="2021">
        <f ca="1">ROUND(C20*$C$18+D20*$D$18,0)</f>
        <v>29855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0.41874999999999996</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29855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23944</v>
      </c>
      <c r="D34" s="2668">
        <f ca="1">IF(D33="自定义",ROUND(C34/C32,3),1-D35)</f>
        <v>0.80200000000000005</v>
      </c>
      <c r="E34" s="1363" t="s">
        <v>1510</v>
      </c>
      <c r="F34" s="2669">
        <v>2000</v>
      </c>
      <c r="G34" s="905"/>
      <c r="H34" s="905"/>
      <c r="I34" s="905"/>
      <c r="J34" s="2765"/>
    </row>
    <row r="35" spans="1:17" ht="15.75" thickBot="1">
      <c r="A35" s="1395"/>
      <c r="B35" s="2670" t="s">
        <v>1511</v>
      </c>
      <c r="C35" s="2671">
        <f ca="1">IF(D33="自定义",F35,ROUND(C32*D35,0))</f>
        <v>5911</v>
      </c>
      <c r="D35" s="2672">
        <f ca="1">IF(D33="自定义",ROUND(C35/C32,3),IF(D33="成本法成本比率",成本法!C56,IF(D33="收益法收益比率",收益法!J38,收益法!J41)))</f>
        <v>0.19800000000000001</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400</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44855</v>
      </c>
      <c r="O47" s="3430"/>
      <c r="P47" s="3430"/>
      <c r="Q47" s="1236"/>
    </row>
    <row r="48" spans="1:17" ht="25.5">
      <c r="A48" s="3503" t="s">
        <v>1536</v>
      </c>
      <c r="B48" s="3437"/>
      <c r="C48" s="3437"/>
      <c r="D48" s="12">
        <f ca="1">IF(H48="情况1",0,IF(H48="情况2",D52,IF(H48="情况3",D53,IF(H48="情况4",D54))))</f>
        <v>21</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400</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房地产抵押价值</v>
      </c>
      <c r="M49" s="3428"/>
      <c r="N49" s="3429">
        <f ca="1">IF(项目基本情况!F5="房地产抵押价值",I110,I112)</f>
        <v>400</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21</v>
      </c>
      <c r="E52" s="2020" t="s">
        <v>1553</v>
      </c>
      <c r="F52" s="2493">
        <f>'数据-取费表'!E29</f>
        <v>5.5000000000000007E-2</v>
      </c>
      <c r="G52" s="2494"/>
      <c r="H52" s="905"/>
      <c r="I52" s="2898"/>
      <c r="J52" s="2773"/>
      <c r="K52" s="2454">
        <v>1</v>
      </c>
      <c r="L52" s="3417" t="s">
        <v>2515</v>
      </c>
      <c r="M52" s="3417"/>
      <c r="N52" s="2456">
        <f ca="1">D48</f>
        <v>21</v>
      </c>
      <c r="O52" s="2454" t="str">
        <f>E48</f>
        <v>销售额×税（费）率</v>
      </c>
      <c r="P52" s="2457">
        <f>F48</f>
        <v>5.5000000000000007E-2</v>
      </c>
      <c r="Q52" s="1236"/>
    </row>
    <row r="53" spans="1:17" ht="12" customHeight="1">
      <c r="A53" s="2010" t="s">
        <v>1555</v>
      </c>
      <c r="B53" s="3488" t="s">
        <v>2593</v>
      </c>
      <c r="C53" s="3477"/>
      <c r="D53" s="1028">
        <f ca="1">ROUND(D45*'数据-取费表'!E29/(1+'数据-取费表'!F30),0)</f>
        <v>21</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21</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21</v>
      </c>
      <c r="P57" s="2465"/>
      <c r="Q57" s="1234">
        <f ca="1">O57/N49</f>
        <v>5.2499999999999998E-2</v>
      </c>
    </row>
    <row r="58" spans="1:17" ht="24.75">
      <c r="A58" s="2010" t="s">
        <v>1551</v>
      </c>
      <c r="B58" s="3488" t="s">
        <v>1569</v>
      </c>
      <c r="C58" s="3476"/>
      <c r="D58" s="12">
        <f ca="1">IF(H58="转让取得",C81,C97)</f>
        <v>227</v>
      </c>
      <c r="E58" s="2020" t="s">
        <v>1564</v>
      </c>
      <c r="F58" s="235" t="s">
        <v>48</v>
      </c>
      <c r="G58" s="2494"/>
      <c r="H58" s="2496" t="s">
        <v>1570</v>
      </c>
      <c r="I58" s="2900"/>
      <c r="J58" s="2773"/>
      <c r="K58" s="3417"/>
      <c r="L58" s="3417"/>
      <c r="M58" s="2462" t="s">
        <v>2520</v>
      </c>
      <c r="N58" s="2466"/>
      <c r="O58" s="2467" t="str">
        <f ca="1">IF(H19="元",NUMBERSTRING(INT(O57),2)&amp;"元整",NUMBERSTRING(INT(O57*10000),2)&amp;"元整")</f>
        <v>贰拾壹万元整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f ca="1">N49-O57</f>
        <v>379</v>
      </c>
      <c r="P59" s="2471"/>
      <c r="Q59" s="1236"/>
    </row>
    <row r="60" spans="1:17" ht="12" customHeight="1">
      <c r="A60" s="1385"/>
      <c r="B60" s="1389"/>
      <c r="C60" s="1389"/>
      <c r="D60" s="1389"/>
      <c r="E60" s="770"/>
      <c r="F60" s="2901"/>
      <c r="G60" s="2901"/>
      <c r="H60" s="2902"/>
      <c r="I60" s="31"/>
      <c r="K60" s="3471"/>
      <c r="L60" s="3417"/>
      <c r="M60" s="2462" t="s">
        <v>2520</v>
      </c>
      <c r="N60" s="2466"/>
      <c r="O60" s="2467" t="str">
        <f ca="1">IF(H19="元",NUMBERSTRING(INT(O59),2)&amp;"元整",NUMBERSTRING(INT(O59*10000),2)&amp;"元整")</f>
        <v>叁佰柒拾玖万元整</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f ca="1">IF(H19="元",ROUND(O59/项目基本情况!C12,0),ROUND(O59*10000/项目基本情况!C12,0))</f>
        <v>28265</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381</v>
      </c>
      <c r="D63" s="47"/>
      <c r="E63" s="48"/>
      <c r="F63" s="2901"/>
      <c r="G63" s="2901"/>
      <c r="H63" s="2903"/>
      <c r="I63" s="31"/>
      <c r="K63" s="3436" t="s">
        <v>2523</v>
      </c>
      <c r="L63" s="2476" t="s">
        <v>2524</v>
      </c>
      <c r="M63" s="2476">
        <f ca="1">IF(N49&gt;10000,N49*0.5%,IF(AND(N49&gt;1000,N49&lt;=10000),N49*1%,IF(AND(N49&gt;100,N49&lt;=1000),N49*3%,IF(AND(N49&gt;10,N49&lt;=100),N49*5%,N49*8%))))</f>
        <v>12</v>
      </c>
      <c r="N63" s="2477">
        <f ca="1">ROUND(M63,1)</f>
        <v>12</v>
      </c>
      <c r="O63" s="2475"/>
      <c r="P63" s="2475"/>
      <c r="Q63" s="1236"/>
    </row>
    <row r="64" spans="1:17" ht="12.75">
      <c r="A64" s="49" t="s">
        <v>71</v>
      </c>
      <c r="B64" s="50" t="s">
        <v>1582</v>
      </c>
      <c r="C64" s="2705">
        <f ca="1">D45</f>
        <v>400</v>
      </c>
      <c r="D64" s="50" t="s">
        <v>41</v>
      </c>
      <c r="E64" s="52"/>
      <c r="F64" s="2901"/>
      <c r="G64" s="2901"/>
      <c r="H64" s="2903"/>
      <c r="I64" s="31"/>
      <c r="K64" s="3436"/>
      <c r="L64" s="2476" t="s">
        <v>2525</v>
      </c>
      <c r="M64" s="2476">
        <f ca="1">IF(N49&gt;2000,N49*0.5%,IF(AND(N49&gt;1000,N49&lt;=2000),N49*0.6%,IF(AND(N49&gt;500,N49&lt;=1000),N49*0.7%,IF(AND(N49&gt;200,N49&lt;=500),N49*0.8%,IF(AND(N49&gt;100,N49&lt;=200),N49*0.9%,IF(AND(N49&gt;50,N49&lt;=100),N49*1%,IF(AND(N49&gt;20,N49&lt;=50),N49*1.5%,IF(AND(N49&gt;10,N49&lt;=20),N49*2%,IF(AND(N49&gt;1,N49&lt;=10),N49*2.5%)))))))))</f>
        <v>3.2</v>
      </c>
      <c r="N64" s="2477">
        <f t="shared" ref="N64:N65" ca="1" si="2">ROUND(M64,1)</f>
        <v>3.2</v>
      </c>
      <c r="O64" s="2475" t="s">
        <v>2526</v>
      </c>
      <c r="P64" s="2475"/>
      <c r="Q64" s="1236"/>
    </row>
    <row r="65" spans="1:36" ht="12.75">
      <c r="A65" s="49" t="s">
        <v>72</v>
      </c>
      <c r="B65" s="50" t="s">
        <v>1585</v>
      </c>
      <c r="C65" s="2706"/>
      <c r="D65" s="50"/>
      <c r="E65" s="52"/>
      <c r="F65" s="2901"/>
      <c r="G65" s="2901"/>
      <c r="H65" s="2903"/>
      <c r="I65" s="31"/>
      <c r="K65" s="3436"/>
      <c r="L65" s="2476" t="s">
        <v>2527</v>
      </c>
      <c r="M65" s="2476">
        <f ca="1">IF(N49&gt;1000,N49*0.1%,IF(AND(N49&gt;500,N49&lt;=1000),N49*0.5%,IF(AND(N49&gt;50,N49&lt;=500),N49*1%,IF(AND(N49&gt;1,N49&lt;=50),N49*1.5%))))</f>
        <v>4</v>
      </c>
      <c r="N65" s="2477">
        <f t="shared" ca="1" si="2"/>
        <v>4</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f ca="1">N49*0.5%</f>
        <v>2</v>
      </c>
      <c r="N66" s="2477">
        <f ca="1">IF(M66&gt;0.5,0.5,ROUND(M66,0))</f>
        <v>0.5</v>
      </c>
      <c r="O66" s="2475" t="s">
        <v>2529</v>
      </c>
      <c r="P66" s="2475"/>
      <c r="Q66" s="1236"/>
    </row>
    <row r="67" spans="1:36" ht="12.75">
      <c r="A67" s="53" t="s">
        <v>42</v>
      </c>
      <c r="B67" s="54" t="s">
        <v>1591</v>
      </c>
      <c r="C67" s="2708">
        <f ca="1">C63-C66</f>
        <v>381</v>
      </c>
      <c r="D67" s="50" t="s">
        <v>41</v>
      </c>
      <c r="E67" s="52"/>
      <c r="F67" s="2901"/>
      <c r="G67" s="2901"/>
      <c r="H67" s="2903"/>
      <c r="I67" s="31"/>
      <c r="K67" s="3436"/>
      <c r="L67" s="2476" t="s">
        <v>2530</v>
      </c>
      <c r="M67" s="2476">
        <f ca="1">IF(N49&gt;=10000,(8.25+(N49-10000)*0.01%),IF(AND(N49&gt;=8000,N49&lt;10000),(7.85+(N49-8000)*0.02%),IF(AND(N49&gt;=5000,N49&lt;8000),(6.65+(N49-5000)*0.04%),IF(AND(N49&gt;=2000,N49&lt;5000),(4.25+(PN49-2000)*0.08%),IF(AND(N49&gt;=1000,N49&lt;2000),(2.75+(N49-1000)*0.15%),IF(AND(N49&gt;=100,N49&lt;1000),(0.5+(N49-100)*0.25%),IF(AND(N49&gt;0,N49&lt;100),N49*0.5%)))))))</f>
        <v>1.25</v>
      </c>
      <c r="N67" s="2477">
        <f ca="1">ROUND(M67*0.9,1)</f>
        <v>1.1000000000000001</v>
      </c>
      <c r="O67" s="2475"/>
      <c r="P67" s="2475"/>
      <c r="Q67" s="1236"/>
    </row>
    <row r="68" spans="1:36" ht="13.5" thickBot="1">
      <c r="A68" s="55" t="s">
        <v>46</v>
      </c>
      <c r="B68" s="56" t="s">
        <v>1593</v>
      </c>
      <c r="C68" s="2709">
        <f ca="1">IF(C67&lt;=0,0,ROUND(C67*D68,0))</f>
        <v>21</v>
      </c>
      <c r="D68" s="2170">
        <f>'数据-取费表'!E29</f>
        <v>5.5000000000000007E-2</v>
      </c>
      <c r="E68" s="57"/>
      <c r="F68" s="2901"/>
      <c r="G68" s="2901"/>
      <c r="H68" s="2903"/>
      <c r="I68" s="31"/>
      <c r="K68" s="3436"/>
      <c r="L68" s="2476" t="s">
        <v>2531</v>
      </c>
      <c r="M68" s="2476">
        <f ca="1">IF(N49&gt;10000,N49*0.5%,IF(AND(N49&gt;5000,N49&lt;=10000),N49*1%,IF(AND(N49&gt;1000,N49&lt;=5000),N49*2%,IF(AND(N49&gt;200,N49&lt;=1000),N49*3%,N49*5%))))</f>
        <v>12</v>
      </c>
      <c r="N68" s="2477">
        <f ca="1">ROUND(M68,1)</f>
        <v>12</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f ca="1">ROUND(SUM(N63:N68),0)</f>
        <v>33</v>
      </c>
      <c r="O69" s="2478">
        <f ca="1">N69/N49</f>
        <v>8.2500000000000004E-2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381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379</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189.5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227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381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379</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189.5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227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比较法-办公</v>
      </c>
      <c r="D100" s="2727" t="str">
        <f>D4</f>
        <v>收益法</v>
      </c>
      <c r="E100" s="1389"/>
      <c r="F100" s="3461" t="s">
        <v>2537</v>
      </c>
      <c r="G100" s="3463"/>
      <c r="H100" s="3461" t="s">
        <v>2538</v>
      </c>
      <c r="I100" s="3462"/>
      <c r="J100" s="2780"/>
    </row>
    <row r="101" spans="1:36" ht="12.75">
      <c r="A101" s="3478" t="s">
        <v>2570</v>
      </c>
      <c r="B101" s="2235" t="str">
        <f>IF(H19="元","总价（元）","总价（万元）")</f>
        <v>总价（万元）</v>
      </c>
      <c r="C101" s="1235">
        <f ca="1">C19</f>
        <v>454</v>
      </c>
      <c r="D101" s="2727">
        <f ca="1">D19</f>
        <v>320</v>
      </c>
      <c r="E101" s="1389"/>
      <c r="F101" s="3461" t="str">
        <f>项目基本情况!I1</f>
        <v>北京市房地产</v>
      </c>
      <c r="G101" s="3463"/>
      <c r="H101" s="3465">
        <f>项目基本情况!C12</f>
        <v>134.09</v>
      </c>
      <c r="I101" s="3462"/>
      <c r="J101" s="2780"/>
    </row>
    <row r="102" spans="1:36" ht="12.75">
      <c r="A102" s="3478"/>
      <c r="B102" s="2235" t="s">
        <v>2571</v>
      </c>
      <c r="C102" s="2728">
        <f ca="1">C20</f>
        <v>33835</v>
      </c>
      <c r="D102" s="2729">
        <f ca="1">D20</f>
        <v>23886</v>
      </c>
      <c r="E102" s="1389"/>
      <c r="F102" s="3448" t="s">
        <v>2567</v>
      </c>
      <c r="G102" s="3449"/>
      <c r="H102" s="2737" t="str">
        <f>C106</f>
        <v>总价（万元）</v>
      </c>
      <c r="I102" s="2738">
        <f ca="1">H121</f>
        <v>400</v>
      </c>
      <c r="J102" s="2780"/>
    </row>
    <row r="103" spans="1:36" ht="12.75">
      <c r="A103" s="3478" t="s">
        <v>2572</v>
      </c>
      <c r="B103" s="2173" t="str">
        <f>B101</f>
        <v>总价（万元）</v>
      </c>
      <c r="C103" s="2732">
        <f ca="1">H121</f>
        <v>400</v>
      </c>
      <c r="D103" s="2730"/>
      <c r="E103" s="1389"/>
      <c r="F103" s="3448"/>
      <c r="G103" s="3449"/>
      <c r="H103" s="2737" t="s">
        <v>2540</v>
      </c>
      <c r="I103" s="52">
        <f ca="1">I121</f>
        <v>29855</v>
      </c>
      <c r="J103" s="2764"/>
    </row>
    <row r="104" spans="1:36" ht="13.5" thickBot="1">
      <c r="A104" s="3479"/>
      <c r="B104" s="2734" t="s">
        <v>2571</v>
      </c>
      <c r="C104" s="2735">
        <f ca="1">I121</f>
        <v>29855</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400</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29855</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400</v>
      </c>
      <c r="J110" s="2780"/>
    </row>
    <row r="111" spans="1:36" ht="12.75">
      <c r="A111" s="3450" t="s">
        <v>2545</v>
      </c>
      <c r="B111" s="3451"/>
      <c r="C111" s="2739" t="str">
        <f>C108</f>
        <v>总额（万元）</v>
      </c>
      <c r="D111" s="52">
        <f>C38</f>
        <v>0</v>
      </c>
      <c r="E111" s="1389"/>
      <c r="F111" s="3433"/>
      <c r="G111" s="3434"/>
      <c r="H111" s="2737" t="s">
        <v>2540</v>
      </c>
      <c r="I111" s="2741">
        <f ca="1">D113</f>
        <v>29855</v>
      </c>
      <c r="J111" s="2783"/>
    </row>
    <row r="112" spans="1:36" ht="26.25" customHeight="1">
      <c r="A112" s="3448" t="str">
        <f>IF(项目基本情况!F5="已注销","——","3.房地产抵押价值")</f>
        <v>3.房地产抵押价值</v>
      </c>
      <c r="B112" s="3449"/>
      <c r="C112" s="2737" t="str">
        <f>B101</f>
        <v>总价（万元）</v>
      </c>
      <c r="D112" s="2738">
        <f ca="1">IF(A112="——","——",D106-D108)</f>
        <v>400</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29855</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134.09</v>
      </c>
      <c r="C121" s="2020">
        <f>项目基本情况!C13</f>
        <v>0</v>
      </c>
      <c r="D121" s="2020">
        <f ca="1">ROUND(IF(B32="总价",C34,IF('数据-取费表'!B3="万元",E121*B121/10000,E121*B121)),0)</f>
        <v>321</v>
      </c>
      <c r="E121" s="2020">
        <f ca="1">ROUND(IF(B32="楼面单价",C34,IF(H19="元",D121/B121,D121*10000/B121)),0)</f>
        <v>23944</v>
      </c>
      <c r="F121" s="2020">
        <f ca="1">ROUND(IF(B32="总价",C35,IF('数据-取费表'!B3="万元",G121*B121/10000,G121*B121)),0)</f>
        <v>79</v>
      </c>
      <c r="G121" s="2020">
        <f ca="1">ROUND(IF(B32="楼面单价",C35,IF(H19="元",F121/B121,F121*10000/B121)),0)</f>
        <v>5911</v>
      </c>
      <c r="H121" s="2020">
        <f ca="1">ROUND(IF(B32="总价",C32,IF('数据-取费表'!B3="万元",I121*B121/10000,I121*B121)),0)</f>
        <v>400</v>
      </c>
      <c r="I121" s="52">
        <f ca="1">ROUND(IF(B32="楼面单价",C32,IF(H19="元",H121/B121,H121*10000/B121)),0)</f>
        <v>29855</v>
      </c>
      <c r="J121" s="2764"/>
    </row>
    <row r="122" spans="1:16" ht="12.75">
      <c r="A122" s="3441" t="s">
        <v>2557</v>
      </c>
      <c r="B122" s="3437"/>
      <c r="C122" s="3437"/>
      <c r="D122" s="3472" t="str">
        <f ca="1">IF(H19="元",NUMBERSTRING(INT(D121),2)&amp;"元整",NUMBERSTRING(INT(D121*10000),2)&amp;"元整")</f>
        <v>叁佰贰拾壹万元整</v>
      </c>
      <c r="E122" s="3473"/>
      <c r="F122" s="3472" t="str">
        <f ca="1">IF(H19="元",NUMBERSTRING(INT(F121),2)&amp;"元整",NUMBERSTRING(INT(F121*10000),2)&amp;"元整")</f>
        <v>柒拾玖万元整</v>
      </c>
      <c r="G122" s="3473"/>
      <c r="H122" s="3472" t="str">
        <f ca="1">IF(H19="元",NUMBERSTRING(INT(H121),2)&amp;"元整",NUMBERSTRING(INT(H121*10000),2)&amp;"元整")</f>
        <v>肆佰万元整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400</v>
      </c>
      <c r="E125" s="3474"/>
      <c r="F125" s="3474"/>
      <c r="G125" s="3474"/>
      <c r="H125" s="3474"/>
      <c r="I125" s="3462"/>
      <c r="J125" s="2780"/>
    </row>
    <row r="126" spans="1:16" ht="12.75">
      <c r="A126" s="3441" t="s">
        <v>2557</v>
      </c>
      <c r="B126" s="3437"/>
      <c r="C126" s="3437"/>
      <c r="D126" s="3513">
        <f ca="1">I111</f>
        <v>29855</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44855</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房地产抵押价值</v>
      </c>
      <c r="M51" s="3527"/>
      <c r="N51" s="3532">
        <f>IF(项目基本情况!F5="房地产抵押价值",I112,I114)</f>
        <v>0</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#DIV/0!</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f>N51-O59</f>
        <v>0</v>
      </c>
      <c r="P61" s="2448"/>
    </row>
    <row r="62" spans="1:17" ht="12" customHeight="1">
      <c r="A62" s="1385"/>
      <c r="B62" s="2481"/>
      <c r="C62" s="2481"/>
      <c r="D62" s="2481"/>
      <c r="E62" s="1385"/>
      <c r="F62" s="2900"/>
      <c r="G62" s="2900"/>
      <c r="H62" s="2895"/>
      <c r="I62" s="905"/>
      <c r="J62" s="2773"/>
      <c r="K62" s="3536"/>
      <c r="L62" s="3529"/>
      <c r="M62" s="2439" t="s">
        <v>1571</v>
      </c>
      <c r="N62" s="2443"/>
      <c r="O62" s="2444" t="str">
        <f>IF(H19="元",NUMBERSTRING(INT(O61),2)&amp;"元整",NUMBERSTRING(INT(O61*10000),2)&amp;"元整")</f>
        <v>零元整</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f>IF(H19="元",ROUND(O61/项目基本情况!C12,0),ROUND(O61*10000/项目基本情况!C12,0))</f>
        <v>0</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2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25"/>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25"/>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2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25"/>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15735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1057318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26818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26818</v>
      </c>
      <c r="D10" s="1101">
        <f>IF('数据-取费表'!B10&lt;&gt;"住宅",IF(B1="仅计算典型户型",'数据-取费表'!E5,'数据-取费表'!B5),0)</f>
        <v>134.09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26818</v>
      </c>
      <c r="D19" s="1104">
        <f>IF(B1="仅计算典型户型",'数据-取费表'!E5,'数据-取费表'!B5)</f>
        <v>134.09</v>
      </c>
      <c r="E19" s="111">
        <f>'数据-取费表'!E15</f>
        <v>200</v>
      </c>
      <c r="F19" s="112"/>
      <c r="G19" s="1446"/>
    </row>
    <row r="20" spans="1:123" s="91" customFormat="1" ht="13.5" customHeight="1">
      <c r="A20" s="120" t="s">
        <v>1702</v>
      </c>
      <c r="B20" s="89" t="s">
        <v>1703</v>
      </c>
      <c r="C20" s="99">
        <f>ROUND((C5+C19)*F20,0)</f>
        <v>21683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92750</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89578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2272</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165873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165873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1476989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517252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469315</v>
      </c>
      <c r="D34" s="1096"/>
      <c r="E34" s="115"/>
      <c r="F34" s="1107" t="str">
        <f>IF('数据-取费表'!B26=0,"",'数据-取费表'!E20)</f>
        <v/>
      </c>
      <c r="G34" s="95"/>
    </row>
    <row r="35" spans="1:123" ht="13.5" customHeight="1">
      <c r="A35" s="92" t="s">
        <v>1685</v>
      </c>
      <c r="B35" s="93" t="s">
        <v>1734</v>
      </c>
      <c r="C35" s="115">
        <f>ROUND(C34*F35,0)</f>
        <v>14079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26818</v>
      </c>
      <c r="D37" s="1096">
        <f>IF(B1="仅计算典型户型",'数据-取费表'!E5,'数据-取费表'!B5)</f>
        <v>134.09</v>
      </c>
      <c r="E37" s="115">
        <f>'数据-取费表'!E23</f>
        <v>200</v>
      </c>
      <c r="F37" s="1108"/>
      <c r="G37" s="124" t="s">
        <v>1739</v>
      </c>
    </row>
    <row r="38" spans="1:123" ht="13.5" customHeight="1">
      <c r="A38" s="92" t="s">
        <v>1740</v>
      </c>
      <c r="B38" s="93" t="s">
        <v>1741</v>
      </c>
      <c r="C38" s="115">
        <f>ROUND(C34*F38,0)</f>
        <v>7040</v>
      </c>
      <c r="D38" s="115"/>
      <c r="E38" s="115"/>
      <c r="F38" s="1108">
        <f>'数据-取费表'!E24</f>
        <v>1.4999999999999999E-2</v>
      </c>
      <c r="G38" s="95" t="s">
        <v>1735</v>
      </c>
    </row>
    <row r="39" spans="1:123" s="91" customFormat="1" ht="13.5" customHeight="1">
      <c r="A39" s="120" t="s">
        <v>1700</v>
      </c>
      <c r="B39" s="89" t="s">
        <v>1703</v>
      </c>
      <c r="C39" s="99">
        <f>ROUND(C33*F20,0)</f>
        <v>10345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21895</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21466</v>
      </c>
      <c r="D42" s="104"/>
      <c r="E42" s="104"/>
      <c r="F42" s="105"/>
      <c r="G42" s="3554" t="s">
        <v>1745</v>
      </c>
    </row>
    <row r="43" spans="1:123" ht="13.5" customHeight="1">
      <c r="A43" s="92" t="s">
        <v>1685</v>
      </c>
      <c r="B43" s="93" t="s">
        <v>1714</v>
      </c>
      <c r="C43" s="104">
        <f ca="1">ROUND(IF('数据-取费表'!B24&lt;=1,C39*F22*'数据-取费表'!B23/2,C39*(POWER((1+F22),'数据-取费表'!B23/2)-1)),0)</f>
        <v>429</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79140</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79140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680485</v>
      </c>
      <c r="D49" s="99"/>
      <c r="E49" s="99"/>
      <c r="F49" s="126"/>
      <c r="G49" s="100" t="s">
        <v>1753</v>
      </c>
    </row>
    <row r="50" spans="1:123" s="122" customFormat="1" ht="24">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632851</v>
      </c>
      <c r="D51" s="99"/>
      <c r="E51" s="99"/>
      <c r="F51" s="126"/>
      <c r="G51" s="100" t="s">
        <v>1759</v>
      </c>
    </row>
    <row r="52" spans="1:123" s="88" customFormat="1" ht="16.5" thickBot="1">
      <c r="A52" s="127" t="s">
        <v>1760</v>
      </c>
      <c r="B52" s="128"/>
      <c r="C52" s="129">
        <f ca="1">C31+C51</f>
        <v>2109840</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v>
      </c>
    </row>
    <row r="57" spans="1:123">
      <c r="B57" s="135" t="s">
        <v>1763</v>
      </c>
      <c r="C57" s="137">
        <f ca="1">1-C56</f>
        <v>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-26818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-26818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-536</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-4103</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-4103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26582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L17" sqref="L17"/>
    </sheetView>
  </sheetViews>
  <sheetFormatPr defaultColWidth="9" defaultRowHeight="14.25"/>
  <cols>
    <col min="1" max="1" width="10.5" style="1595" customWidth="1"/>
    <col min="2" max="3" width="15.75" style="1595" customWidth="1"/>
    <col min="4" max="4" width="12.25" style="1595" customWidth="1"/>
    <col min="5" max="5" width="16" style="1595" customWidth="1"/>
    <col min="6" max="6" width="12.25" style="1595" customWidth="1"/>
    <col min="7" max="7" width="15.875" style="1595" customWidth="1"/>
    <col min="8" max="8" width="12.25" style="1595" customWidth="1"/>
    <col min="9" max="9" width="16.2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454</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33835</v>
      </c>
      <c r="C3" s="1588" t="s">
        <v>2005</v>
      </c>
      <c r="D3" s="1588">
        <f>IF(C1="仅计算典型户型",'数据-取费表'!E5,'数据-取费表'!B5)</f>
        <v>134.09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tr">
        <f>Sheet1!E228</f>
        <v>侨商中心</v>
      </c>
      <c r="F5" s="3605"/>
      <c r="G5" s="3606" t="str">
        <f>Sheet1!E229</f>
        <v>侨商中心</v>
      </c>
      <c r="H5" s="3607"/>
      <c r="I5" s="3606" t="str">
        <f>Sheet1!E230</f>
        <v>侨商中心</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44855</v>
      </c>
      <c r="D7" s="1604">
        <v>100</v>
      </c>
      <c r="E7" s="1605">
        <f>C7</f>
        <v>44855</v>
      </c>
      <c r="F7" s="1606">
        <f>SUMIF(59:59,YEAR(E7)&amp;"-"&amp;MONTH(E7),60:60)</f>
        <v>100</v>
      </c>
      <c r="G7" s="1895">
        <f>C7</f>
        <v>44855</v>
      </c>
      <c r="H7" s="1604">
        <f>SUMIF(59:59,YEAR(G7)&amp;"-"&amp;MONTH(G7),60:60)</f>
        <v>100</v>
      </c>
      <c r="I7" s="1895">
        <f>C7</f>
        <v>44855</v>
      </c>
      <c r="J7" s="1604">
        <f>SUMIF(59:59,YEAR(I7)&amp;"-"&amp;MONTH(I7),60:60)</f>
        <v>100</v>
      </c>
      <c r="K7" s="1896"/>
      <c r="L7" s="2915"/>
      <c r="M7" s="2888"/>
      <c r="N7" s="2888"/>
      <c r="O7" s="2888"/>
      <c r="P7" s="3619" t="s">
        <v>2020</v>
      </c>
      <c r="Q7" s="3621"/>
      <c r="R7" s="1609" t="s">
        <v>25</v>
      </c>
      <c r="S7" s="1610">
        <f t="shared" ref="S7:S15" si="0">F7</f>
        <v>100</v>
      </c>
      <c r="T7" s="1609" t="s">
        <v>25</v>
      </c>
      <c r="U7" s="1610">
        <f t="shared" ref="U7:U15" si="1">H7</f>
        <v>100</v>
      </c>
      <c r="V7" s="1609" t="s">
        <v>25</v>
      </c>
      <c r="W7" s="1610">
        <f t="shared" ref="W7:W15" si="2">J7</f>
        <v>100</v>
      </c>
      <c r="X7" s="1611"/>
      <c r="Y7" s="3619" t="s">
        <v>2020</v>
      </c>
      <c r="Z7" s="3620"/>
      <c r="AA7" s="1612">
        <f>D7/F7</f>
        <v>1</v>
      </c>
      <c r="AB7" s="1612">
        <f>D7/H7</f>
        <v>1</v>
      </c>
      <c r="AC7" s="1612">
        <f>D7/J7</f>
        <v>1</v>
      </c>
    </row>
    <row r="8" spans="1:29" s="1613" customFormat="1" ht="15.75" thickBot="1">
      <c r="A8" s="1601" t="s">
        <v>2021</v>
      </c>
      <c r="B8" s="1602"/>
      <c r="C8" s="1614" t="s">
        <v>2022</v>
      </c>
      <c r="D8" s="1604">
        <v>100</v>
      </c>
      <c r="E8" s="3731" t="s">
        <v>3042</v>
      </c>
      <c r="F8" s="1606">
        <f>SUMIF(62:62,E8,63:63)-SUMIF(62:62,C8,63:63)+100</f>
        <v>100</v>
      </c>
      <c r="G8" s="3731" t="s">
        <v>3042</v>
      </c>
      <c r="H8" s="1604">
        <f>SUMIF(62:62,G8,63:63)-SUMIF(62:62,C8,63:63)+100</f>
        <v>100</v>
      </c>
      <c r="I8" s="3731" t="s">
        <v>3042</v>
      </c>
      <c r="J8" s="1604">
        <f>SUMIF(62:62,I8,63:63)-SUMIF(62:62,C8,63:63)+100</f>
        <v>100</v>
      </c>
      <c r="K8" s="1896"/>
      <c r="L8" s="2915"/>
      <c r="M8" s="2888"/>
      <c r="N8" s="2888"/>
      <c r="O8" s="2888"/>
      <c r="P8" s="3619" t="s">
        <v>2023</v>
      </c>
      <c r="Q8" s="3620"/>
      <c r="R8" s="1609" t="s">
        <v>25</v>
      </c>
      <c r="S8" s="1610">
        <f t="shared" si="0"/>
        <v>100</v>
      </c>
      <c r="T8" s="1609" t="s">
        <v>25</v>
      </c>
      <c r="U8" s="1610">
        <f t="shared" si="1"/>
        <v>100</v>
      </c>
      <c r="V8" s="1609" t="s">
        <v>25</v>
      </c>
      <c r="W8" s="1610">
        <f t="shared" si="2"/>
        <v>100</v>
      </c>
      <c r="X8" s="1611"/>
      <c r="Y8" s="3619" t="s">
        <v>2023</v>
      </c>
      <c r="Z8" s="3620"/>
      <c r="AA8" s="1612">
        <f t="shared" ref="AA8:AA47" si="3">D8/F8</f>
        <v>1</v>
      </c>
      <c r="AB8" s="1612">
        <f t="shared" ref="AB8:AB47" si="4">D8/H8</f>
        <v>1</v>
      </c>
      <c r="AC8" s="1612">
        <f t="shared" ref="AC8:AC47" si="5">D8/J8</f>
        <v>1</v>
      </c>
    </row>
    <row r="9" spans="1:29" s="1613" customFormat="1" ht="15">
      <c r="A9" s="1995" t="s">
        <v>2024</v>
      </c>
      <c r="B9" s="1616" t="s">
        <v>2025</v>
      </c>
      <c r="C9" s="3732" t="s">
        <v>3043</v>
      </c>
      <c r="D9" s="1618">
        <v>100</v>
      </c>
      <c r="E9" s="3733" t="s">
        <v>3043</v>
      </c>
      <c r="F9" s="1618">
        <f>SUMIF(64:64,E9,65:65)-SUMIF(64:64,C9,65:65)+100</f>
        <v>100</v>
      </c>
      <c r="G9" s="3734" t="s">
        <v>3043</v>
      </c>
      <c r="H9" s="1618">
        <f>SUMIF(64:64,G9,65:65)-SUMIF(64:64,C9,65:65)+100</f>
        <v>100</v>
      </c>
      <c r="I9" s="3734" t="s">
        <v>3043</v>
      </c>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623"/>
      <c r="Q11" s="2833" t="str">
        <f t="shared" si="6"/>
        <v>容积率</v>
      </c>
      <c r="R11" s="1609" t="s">
        <v>25</v>
      </c>
      <c r="S11" s="1610">
        <f t="shared" si="0"/>
        <v>100</v>
      </c>
      <c r="T11" s="1609" t="s">
        <v>25</v>
      </c>
      <c r="U11" s="1610">
        <f t="shared" si="1"/>
        <v>100</v>
      </c>
      <c r="V11" s="1609" t="s">
        <v>25</v>
      </c>
      <c r="W11" s="1610">
        <f t="shared" si="2"/>
        <v>100</v>
      </c>
      <c r="X11" s="1611"/>
      <c r="Y11" s="3487"/>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3735" t="s">
        <v>3044</v>
      </c>
      <c r="D27" s="1640">
        <v>100</v>
      </c>
      <c r="E27" s="3736" t="str">
        <f>Sheet1!H228</f>
        <v>中区</v>
      </c>
      <c r="F27" s="1640">
        <f>SUMIF(89:89,E27,90:90)-SUMIF(89:89,C27,90:90)+100</f>
        <v>100</v>
      </c>
      <c r="G27" s="3735" t="str">
        <f>Sheet1!H229</f>
        <v>中区</v>
      </c>
      <c r="H27" s="1640">
        <f>SUMIF(89:89,G27,90:90)-SUMIF(89:89,C27,90:90)+100</f>
        <v>100</v>
      </c>
      <c r="I27" s="3736" t="str">
        <f>Sheet1!H230</f>
        <v>中区</v>
      </c>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f>D3</f>
        <v>134.09</v>
      </c>
      <c r="D34" s="1626">
        <v>100</v>
      </c>
      <c r="E34" s="1633">
        <f>Sheet1!F228</f>
        <v>86.83</v>
      </c>
      <c r="F34" s="1628">
        <f>LOOKUP(E34,104:104,105:105)-LOOKUP(C34,104:104,105:105)+100</f>
        <v>101</v>
      </c>
      <c r="G34" s="1632">
        <f>Sheet1!F229</f>
        <v>87.96</v>
      </c>
      <c r="H34" s="1626">
        <f>LOOKUP(G34,104:104,105:105)-LOOKUP(C34,104:104,105:105)+100</f>
        <v>101</v>
      </c>
      <c r="I34" s="1632">
        <f>Sheet1!F230</f>
        <v>86.7</v>
      </c>
      <c r="J34" s="1626">
        <f>LOOKUP(I34,104:104,105:105)-LOOKUP(C34,104:104,105:105)+100</f>
        <v>101</v>
      </c>
      <c r="K34" s="1918"/>
      <c r="L34" s="2919"/>
      <c r="M34" s="1988"/>
      <c r="N34" s="1988"/>
      <c r="O34" s="1988"/>
      <c r="P34" s="3617"/>
      <c r="Q34" s="1695" t="str">
        <f t="shared" si="11"/>
        <v>项目建筑规模</v>
      </c>
      <c r="R34" s="1696" t="s">
        <v>25</v>
      </c>
      <c r="S34" s="1697">
        <f t="shared" si="12"/>
        <v>101</v>
      </c>
      <c r="T34" s="1696" t="s">
        <v>25</v>
      </c>
      <c r="U34" s="1697">
        <f t="shared" si="13"/>
        <v>101</v>
      </c>
      <c r="V34" s="1696" t="s">
        <v>25</v>
      </c>
      <c r="W34" s="1697">
        <f t="shared" si="14"/>
        <v>101</v>
      </c>
      <c r="X34" s="1698"/>
      <c r="Y34" s="3617"/>
      <c r="Z34" s="1699" t="str">
        <f t="shared" si="15"/>
        <v>项目建筑规模</v>
      </c>
      <c r="AA34" s="1998">
        <f t="shared" si="3"/>
        <v>0.99009900990099009</v>
      </c>
      <c r="AB34" s="1998">
        <f t="shared" si="4"/>
        <v>0.99009900990099009</v>
      </c>
      <c r="AC34" s="1998">
        <f t="shared" si="5"/>
        <v>0.99009900990099009</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f>'数据-取费表'!E20</f>
        <v>0.93</v>
      </c>
      <c r="D37" s="1640">
        <v>100</v>
      </c>
      <c r="E37" s="1705">
        <f>C37</f>
        <v>0.93</v>
      </c>
      <c r="F37" s="1683">
        <f>LOOKUP(E37,111:111,112:112)-LOOKUP(C37,111:111,112:112)+100</f>
        <v>100</v>
      </c>
      <c r="G37" s="1705">
        <f>E37</f>
        <v>0.93</v>
      </c>
      <c r="H37" s="1683">
        <f>LOOKUP(G37,111:111,112:112)-LOOKUP(C37,111:111,112:112)+100</f>
        <v>100</v>
      </c>
      <c r="I37" s="1705">
        <f>G37</f>
        <v>0.93</v>
      </c>
      <c r="J37" s="1640">
        <f>LOOKUP(I37,111:111,112:112)-LOOKUP(C37,111:111,112:112)+100</f>
        <v>100</v>
      </c>
      <c r="K37" s="1921"/>
      <c r="L37" s="2920"/>
      <c r="M37" s="2916"/>
      <c r="N37" s="2916"/>
      <c r="O37" s="2916"/>
      <c r="P37" s="3617"/>
      <c r="Q37" s="2834" t="str">
        <f t="shared" si="11"/>
        <v>成新度</v>
      </c>
      <c r="R37" s="1654" t="s">
        <v>25</v>
      </c>
      <c r="S37" s="1655">
        <f t="shared" si="12"/>
        <v>100</v>
      </c>
      <c r="T37" s="1654" t="s">
        <v>25</v>
      </c>
      <c r="U37" s="1655">
        <f t="shared" si="13"/>
        <v>100</v>
      </c>
      <c r="V37" s="1654" t="s">
        <v>25</v>
      </c>
      <c r="W37" s="1655">
        <f t="shared" si="14"/>
        <v>100</v>
      </c>
      <c r="X37" s="2003"/>
      <c r="Y37" s="3617"/>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f>Sheet1!G228</f>
        <v>33130</v>
      </c>
      <c r="F48" s="1715"/>
      <c r="G48" s="1716">
        <f>Sheet1!G229</f>
        <v>34903</v>
      </c>
      <c r="H48" s="1717"/>
      <c r="I48" s="1714">
        <f>Sheet1!G230</f>
        <v>34487</v>
      </c>
      <c r="J48" s="1717"/>
      <c r="K48" s="1942"/>
      <c r="L48" s="2921"/>
      <c r="M48" s="2916"/>
      <c r="N48" s="2916"/>
      <c r="O48" s="2916"/>
      <c r="P48" s="3623" t="str">
        <f>A48</f>
        <v>成交单价（元/平方米）</v>
      </c>
      <c r="Q48" s="3623"/>
      <c r="R48" s="3624">
        <f>E48</f>
        <v>33130</v>
      </c>
      <c r="S48" s="3624"/>
      <c r="T48" s="3624">
        <f>G48</f>
        <v>34903</v>
      </c>
      <c r="U48" s="3624"/>
      <c r="V48" s="3624">
        <f>I48</f>
        <v>34487</v>
      </c>
      <c r="W48" s="3624"/>
      <c r="X48" s="1720"/>
      <c r="Y48" s="2002"/>
      <c r="Z48" s="1720"/>
      <c r="AA48" s="1720"/>
      <c r="AB48" s="1720"/>
      <c r="AC48" s="1720"/>
    </row>
    <row r="49" spans="1:29" ht="15.75" thickBot="1">
      <c r="A49" s="1722" t="s">
        <v>2132</v>
      </c>
      <c r="B49" s="1723"/>
      <c r="C49" s="1724">
        <f>R50</f>
        <v>33835</v>
      </c>
      <c r="D49" s="1725" t="s">
        <v>2503</v>
      </c>
      <c r="E49" s="1726">
        <f>R49</f>
        <v>32802</v>
      </c>
      <c r="F49" s="1727"/>
      <c r="G49" s="1724">
        <f>T49</f>
        <v>34557</v>
      </c>
      <c r="H49" s="1727"/>
      <c r="I49" s="1726">
        <f>V49</f>
        <v>34146</v>
      </c>
      <c r="J49" s="1727"/>
      <c r="K49" s="2429">
        <f>F49+H49+J49</f>
        <v>0</v>
      </c>
      <c r="L49" s="2921"/>
      <c r="M49" s="2916"/>
      <c r="N49" s="2916"/>
      <c r="O49" s="2916"/>
      <c r="P49" s="3623" t="str">
        <f>A49</f>
        <v>比较价值（元/平方米）</v>
      </c>
      <c r="Q49" s="3623"/>
      <c r="R49" s="3624">
        <f>IF(E1="售价",ROUND(PRODUCT(R48,AA7:AA47),0),ROUND(PRODUCT(R48,AA7:AA47),1))</f>
        <v>32802</v>
      </c>
      <c r="S49" s="3624"/>
      <c r="T49" s="3624">
        <f>IF(E1="售价",ROUND(PRODUCT(T48,AB7:AB47),0),ROUND(PRODUCT(T48,AB7:AB47),1))</f>
        <v>34557</v>
      </c>
      <c r="U49" s="3624"/>
      <c r="V49" s="3624">
        <f>IF(E1="售价",ROUND(PRODUCT(V48,AC7:AC47),0),ROUND(PRODUCT(V48,AC7:AC47),1))</f>
        <v>34146</v>
      </c>
      <c r="W49" s="3624"/>
      <c r="X49" s="1720"/>
      <c r="Y49" s="1720"/>
      <c r="Z49" s="1720"/>
      <c r="AA49" s="1720"/>
      <c r="AB49" s="1720"/>
      <c r="AC49" s="1720"/>
    </row>
    <row r="50" spans="1:29" ht="15.75" thickBot="1">
      <c r="A50" s="1728" t="s">
        <v>2155</v>
      </c>
      <c r="B50" s="1729"/>
      <c r="C50" s="1731">
        <f>R50</f>
        <v>33835</v>
      </c>
      <c r="D50" s="1731"/>
      <c r="E50" s="1731"/>
      <c r="F50" s="1731"/>
      <c r="G50" s="1731"/>
      <c r="H50" s="1731"/>
      <c r="I50" s="1731"/>
      <c r="J50" s="1731"/>
      <c r="K50" s="1947"/>
      <c r="L50" s="2921"/>
      <c r="M50" s="2916"/>
      <c r="N50" s="2916"/>
      <c r="O50" s="2916"/>
      <c r="P50" s="3629" t="str">
        <f>A50</f>
        <v>估价对象XX用房的比较价值（楼面单价，元/平方米）</v>
      </c>
      <c r="Q50" s="3630"/>
      <c r="R50" s="3631">
        <f>IF(E1="售价",ROUND(IF(D49="简单平均",AVERAGE(R49:V49),R49*F49+T49*H49+V49*J49),0),ROUND(IF(D49="简单平均",AVERAGE(R49:V49),R49*F49+T49*H49+V49*J49),1))</f>
        <v>33835</v>
      </c>
      <c r="S50" s="3631"/>
      <c r="T50" s="3631"/>
      <c r="U50" s="3631"/>
      <c r="V50" s="3631"/>
      <c r="W50" s="3631"/>
      <c r="X50" s="1720"/>
      <c r="Y50" s="1720"/>
      <c r="Z50" s="1720"/>
      <c r="AA50" s="1720"/>
      <c r="AB50" s="1720"/>
      <c r="AC50" s="1720"/>
    </row>
    <row r="51" spans="1:29">
      <c r="G51" s="2925"/>
    </row>
    <row r="53" spans="1:29" ht="13.5" customHeight="1">
      <c r="C53" s="383" t="s">
        <v>2134</v>
      </c>
      <c r="D53" s="1736"/>
      <c r="E53" s="1737">
        <f>IF(E48&lt;E49,E49/E48-1,E48/E49-1)</f>
        <v>9.9993902810804336E-3</v>
      </c>
      <c r="F53" s="1738" t="str">
        <f>IF(OR(E53&gt;=0.3,E53&lt;=-0.3),"超过30%","")</f>
        <v/>
      </c>
      <c r="G53" s="1737">
        <f>IF(G48&lt;G49,G49/G48-1,G48/G49-1)</f>
        <v>1.0012443209769462E-2</v>
      </c>
      <c r="H53" s="1738" t="str">
        <f>IF(OR(G53&gt;=0.3,G53&lt;=-0.3),"超过30%","")</f>
        <v/>
      </c>
      <c r="I53" s="1737">
        <f>IF(I48&lt;I49,I49/I48-1,I48/I49-1)</f>
        <v>9.9865284367128826E-3</v>
      </c>
      <c r="J53" s="1738" t="str">
        <f>IF(OR(I53&gt;=0.3,I53&lt;=-0.3),"超过30%","")</f>
        <v/>
      </c>
    </row>
    <row r="54" spans="1:29" ht="13.5" customHeight="1">
      <c r="C54" s="383" t="s">
        <v>2135</v>
      </c>
      <c r="D54" s="1739"/>
      <c r="E54" s="1737">
        <f>IF(E49&lt;G49,G49/E49-1,E49/G49-1)</f>
        <v>5.350283519297605E-2</v>
      </c>
      <c r="F54" s="1738" t="str">
        <f>IF(OR(E54&gt;=0.2,E54&lt;=-0.2),"超过20%","")</f>
        <v/>
      </c>
      <c r="G54" s="1737">
        <f>IF(G49&lt;I49,I49/G49-1,G49/I49-1)</f>
        <v>1.2036548936917857E-2</v>
      </c>
      <c r="H54" s="1738" t="str">
        <f>IF(OR(G54&gt;=0.2,G54&lt;=-0.2),"超过20%","")</f>
        <v/>
      </c>
      <c r="I54" s="1737">
        <f>IF(I49&lt;E49,E49/I49-1,I49/E49-1)</f>
        <v>4.0973111395646633E-2</v>
      </c>
      <c r="J54" s="1738" t="str">
        <f>IF(OR(I54&gt;=0.2,I54&lt;=-0.2),"超过20%","")</f>
        <v/>
      </c>
    </row>
    <row r="55" spans="1:29" s="1742" customFormat="1" ht="13.5" customHeight="1">
      <c r="C55" s="383" t="s">
        <v>2136</v>
      </c>
      <c r="D55" s="1739"/>
      <c r="E55" s="1737">
        <f>IF(E48&lt;G48,G48/E48-1,E48/G48-1)</f>
        <v>5.3516450347117495E-2</v>
      </c>
      <c r="F55" s="1738" t="str">
        <f>IF(OR(E55&gt;=0.3,E55&lt;=-0.3),"超过30%","")</f>
        <v/>
      </c>
      <c r="G55" s="1737">
        <f>IF(G48&lt;I48,I48/G48-1,G48/I48-1)</f>
        <v>1.2062516310493709E-2</v>
      </c>
      <c r="H55" s="1738" t="str">
        <f>IF(OR(G55&gt;=0.3,G55&lt;=-0.3),"超过30%","")</f>
        <v/>
      </c>
      <c r="I55" s="1737">
        <f>IF(I48&lt;E48,E48/I48-1,I48/E48-1)</f>
        <v>4.0959855116208921E-2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50</v>
      </c>
      <c r="E104" s="1830">
        <v>100</v>
      </c>
      <c r="F104" s="1830">
        <v>150</v>
      </c>
      <c r="G104" s="1830">
        <v>200</v>
      </c>
      <c r="H104" s="1830"/>
      <c r="I104" s="1830"/>
      <c r="J104" s="485"/>
      <c r="K104" s="485"/>
      <c r="L104" s="485"/>
      <c r="M104" s="1831"/>
      <c r="N104" s="2936"/>
      <c r="O104" s="2936"/>
      <c r="P104" s="1987"/>
      <c r="Q104" s="1802"/>
    </row>
    <row r="105" spans="1:17" s="1700" customFormat="1" ht="15.75" thickBot="1">
      <c r="A105" s="1798"/>
      <c r="B105" s="1790"/>
      <c r="C105" s="1803">
        <v>98</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42" sqref="K4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320</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23886</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176414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176194</v>
      </c>
      <c r="D6" s="36" t="s">
        <v>2461</v>
      </c>
      <c r="E6" s="235" t="s">
        <v>1776</v>
      </c>
      <c r="F6" s="236">
        <f>'数据-取费表'!B30</f>
        <v>4</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134.09</v>
      </c>
      <c r="G7" s="909"/>
      <c r="H7" s="237"/>
      <c r="I7" s="238"/>
      <c r="J7" s="239"/>
      <c r="K7" s="240"/>
      <c r="L7" s="235" t="s">
        <v>1777</v>
      </c>
      <c r="M7" s="236">
        <f>IF('数据-取费表'!B42="",IF(D1="仅计算典型户型",'数据-取费表'!E5,'数据-取费表'!B5),'数据-取费表'!B42)</f>
        <v>134.09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220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632851</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469315</v>
      </c>
      <c r="D14" s="1256" t="s">
        <v>1795</v>
      </c>
      <c r="E14" s="1257"/>
      <c r="F14" s="757"/>
      <c r="G14" s="910"/>
      <c r="H14" s="253" t="s">
        <v>1774</v>
      </c>
      <c r="I14" s="235" t="s">
        <v>1796</v>
      </c>
      <c r="J14" s="13">
        <f ca="1">C29</f>
        <v>680485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14079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12521</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26818</v>
      </c>
      <c r="D17" s="235" t="s">
        <v>1809</v>
      </c>
      <c r="E17" s="235" t="s">
        <v>1810</v>
      </c>
      <c r="F17" s="15">
        <f>'数据-取费表'!E23</f>
        <v>200</v>
      </c>
      <c r="G17" s="910"/>
      <c r="H17" s="253" t="s">
        <v>1811</v>
      </c>
      <c r="I17" s="235" t="s">
        <v>1812</v>
      </c>
      <c r="J17" s="2745">
        <f ca="1">ROUND(IF(AND(项目基本情况!B7="自然人",项目基本情况!B6="北京市"),J6*M17/(1+'数据-取费表'!F30),J18+J19+J20),0)</f>
        <v>5716</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7040</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517252</v>
      </c>
      <c r="D19" s="33" t="s">
        <v>1820</v>
      </c>
      <c r="E19" s="1261"/>
      <c r="F19" s="15"/>
      <c r="G19" s="910"/>
      <c r="H19" s="253" t="s">
        <v>1797</v>
      </c>
      <c r="I19" s="235" t="s">
        <v>1821</v>
      </c>
      <c r="J19" s="13">
        <f ca="1">IF(项目基本情况!B7="自然人","——",IF(K19="按租金收入计税",ROUND(J6*M19/(1+'数据-取费表'!F30),0),ROUND(C29*M19*0.7,0)))</f>
        <v>5716</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10345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6805</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21895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-12521</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79140</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680485</v>
      </c>
      <c r="D29" s="1034"/>
      <c r="E29" s="1032"/>
      <c r="F29" s="1035"/>
      <c r="G29" s="652"/>
      <c r="H29" s="271" t="s">
        <v>24</v>
      </c>
      <c r="I29" s="272" t="s">
        <v>1869</v>
      </c>
      <c r="J29" s="273">
        <f ca="1">ROUND(J26/(1+F40)^F41,0)</f>
        <v>0</v>
      </c>
      <c r="K29" s="274" t="s">
        <v>1870</v>
      </c>
      <c r="L29" s="275"/>
      <c r="M29" s="276">
        <f>IF(D1="仅计算典型户型",'数据-取费表'!E5,'数据-取费表'!B5)</f>
        <v>134.09</v>
      </c>
    </row>
    <row r="30" spans="1:37" ht="18" customHeight="1" thickTop="1">
      <c r="A30" s="1021" t="s">
        <v>14</v>
      </c>
      <c r="B30" s="1022" t="s">
        <v>1871</v>
      </c>
      <c r="C30" s="243">
        <f ca="1">ROUND(C31+C36+C37+C38,0)</f>
        <v>38567</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29365</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9229</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20136</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44300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6805</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633</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1764</v>
      </c>
      <c r="D38" s="1034" t="s">
        <v>1846</v>
      </c>
      <c r="E38" s="1032" t="s">
        <v>1842</v>
      </c>
      <c r="F38" s="1027">
        <f>'数据-取费表'!B47</f>
        <v>0.01</v>
      </c>
      <c r="G38" s="652"/>
      <c r="H38" s="901"/>
      <c r="I38" s="280" t="s">
        <v>1884</v>
      </c>
      <c r="J38" s="136">
        <f ca="1">ROUND(J34/C39,3)</f>
        <v>0.32100000000000001</v>
      </c>
      <c r="K38" s="906"/>
      <c r="L38" s="901"/>
      <c r="M38" s="901"/>
    </row>
    <row r="39" spans="1:18" ht="18" customHeight="1" thickTop="1">
      <c r="A39" s="1021" t="s">
        <v>22</v>
      </c>
      <c r="B39" s="1036" t="s">
        <v>1885</v>
      </c>
      <c r="C39" s="243">
        <f ca="1">C5-C30</f>
        <v>137847</v>
      </c>
      <c r="D39" s="1037" t="s">
        <v>1886</v>
      </c>
      <c r="E39" s="1038"/>
      <c r="F39" s="1039"/>
      <c r="G39" s="652"/>
      <c r="H39" s="901"/>
      <c r="I39" s="280" t="s">
        <v>1887</v>
      </c>
      <c r="J39" s="136">
        <f ca="1">1-J38</f>
        <v>0.67900000000000005</v>
      </c>
      <c r="K39" s="906"/>
      <c r="L39" s="901"/>
      <c r="M39" s="901"/>
    </row>
    <row r="40" spans="1:18" s="652" customFormat="1" ht="18" customHeight="1">
      <c r="A40" s="232" t="s">
        <v>23</v>
      </c>
      <c r="B40" s="233" t="s">
        <v>1888</v>
      </c>
      <c r="C40" s="234">
        <f ca="1">ROUND(C39*(1-((1+F42)/(1+F40))^F41)/(F40-F42),0)</f>
        <v>3191358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41.11</v>
      </c>
      <c r="H41" s="908"/>
      <c r="I41" s="135" t="s">
        <v>1762</v>
      </c>
      <c r="J41" s="136">
        <f ca="1">ROUND(C13/C40,3)</f>
        <v>0.19800000000000001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0.80200000000000005</v>
      </c>
      <c r="K42" s="905"/>
      <c r="L42" s="908"/>
      <c r="M42" s="908"/>
      <c r="Q42" s="656"/>
    </row>
    <row r="43" spans="1:18" s="652" customFormat="1" ht="18" customHeight="1" thickBot="1">
      <c r="A43" s="271" t="s">
        <v>24</v>
      </c>
      <c r="B43" s="272" t="s">
        <v>1891</v>
      </c>
      <c r="C43" s="273">
        <f ca="1">ROUND(C40/F43,0)</f>
        <v>23800</v>
      </c>
      <c r="D43" s="274" t="s">
        <v>1892</v>
      </c>
      <c r="E43" s="275" t="s">
        <v>1893</v>
      </c>
      <c r="F43" s="276">
        <f>IF(D1="仅计算典型户型",'数据-取费表'!E5,'数据-取费表'!B5)</f>
        <v>134.09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3191358</v>
      </c>
      <c r="R45" s="1008" t="s">
        <v>1900</v>
      </c>
    </row>
    <row r="46" spans="1:18" s="652" customFormat="1" ht="18" customHeight="1" thickBot="1">
      <c r="A46" s="649"/>
      <c r="D46" s="649"/>
      <c r="E46" s="649"/>
      <c r="F46" s="649"/>
      <c r="K46" s="653"/>
      <c r="O46" s="1005" t="s">
        <v>768</v>
      </c>
      <c r="P46" s="1006" t="s">
        <v>1901</v>
      </c>
      <c r="Q46" s="1007">
        <f ca="1">J61</f>
        <v>11503</v>
      </c>
      <c r="R46" s="1008" t="s">
        <v>1902</v>
      </c>
    </row>
    <row r="47" spans="1:18" s="652" customFormat="1" ht="21.75" thickBot="1">
      <c r="A47" s="1455" t="s">
        <v>1903</v>
      </c>
      <c r="C47" s="950">
        <f ca="1">IF(C2="元",C69-C40,ROUND((C69-C40)/10000,0))</f>
        <v>-424</v>
      </c>
      <c r="D47" s="1456" t="str">
        <f>C2</f>
        <v>万元</v>
      </c>
      <c r="E47" s="649"/>
      <c r="F47" s="649"/>
      <c r="I47" s="1457" t="s">
        <v>1904</v>
      </c>
      <c r="J47" s="981"/>
      <c r="K47" s="982"/>
      <c r="L47" s="995">
        <f ca="1">IF(M48="住宅",0,IF(L49&gt;J52,L61,J61))</f>
        <v>11503</v>
      </c>
      <c r="O47" s="1009" t="s">
        <v>769</v>
      </c>
      <c r="P47" s="1006" t="s">
        <v>1905</v>
      </c>
      <c r="Q47" s="1007">
        <f ca="1">C29</f>
        <v>680485</v>
      </c>
      <c r="R47" s="1008" t="s">
        <v>1900</v>
      </c>
    </row>
    <row r="48" spans="1:18" s="652" customFormat="1" ht="15.75" thickBot="1">
      <c r="A48" s="228" t="s">
        <v>1906</v>
      </c>
      <c r="B48" s="229" t="s">
        <v>1907</v>
      </c>
      <c r="C48" s="229" t="s">
        <v>1908</v>
      </c>
      <c r="D48" s="229" t="s">
        <v>1909</v>
      </c>
      <c r="E48" s="944" t="s">
        <v>1910</v>
      </c>
      <c r="F48" s="945"/>
      <c r="I48" s="1458" t="s">
        <v>1911</v>
      </c>
      <c r="J48" s="1459" t="s">
        <v>3045</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3046</v>
      </c>
      <c r="K49" s="1463" t="s">
        <v>1916</v>
      </c>
      <c r="L49" s="821">
        <f>'数据-取费表'!B13</f>
        <v>41.11</v>
      </c>
      <c r="O49" s="1009" t="s">
        <v>771</v>
      </c>
      <c r="P49" s="1006" t="s">
        <v>1917</v>
      </c>
      <c r="Q49" s="1010">
        <f>J53</f>
        <v>0.08</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41.11</v>
      </c>
      <c r="R50" s="1008" t="s">
        <v>1923</v>
      </c>
    </row>
    <row r="51" spans="1:18" s="652" customFormat="1" ht="15.75" thickBot="1">
      <c r="A51" s="237"/>
      <c r="B51" s="238"/>
      <c r="C51" s="239"/>
      <c r="D51" s="240"/>
      <c r="E51" s="255" t="s">
        <v>1777</v>
      </c>
      <c r="F51" s="943">
        <f>F7</f>
        <v>134.09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320</v>
      </c>
      <c r="R51" s="1008" t="s">
        <v>774</v>
      </c>
    </row>
    <row r="52" spans="1:18" s="652" customFormat="1" ht="16.5" thickBot="1">
      <c r="A52" s="237"/>
      <c r="B52" s="238"/>
      <c r="C52" s="239"/>
      <c r="D52" s="240"/>
      <c r="E52" s="235" t="s">
        <v>1779</v>
      </c>
      <c r="F52" s="236">
        <f>F8</f>
        <v>365</v>
      </c>
      <c r="I52" s="1466" t="s">
        <v>1926</v>
      </c>
      <c r="J52" s="986">
        <f>IF(J50="",J51,J50+J51-YEAR('数据-取费表'!B2))</f>
        <v>56</v>
      </c>
      <c r="K52" s="1467" t="s">
        <v>1927</v>
      </c>
      <c r="L52" s="987">
        <f ca="1">ROUND(-PV('数据-取费表'!B15,J52,(C40-C13*J35)),0)</f>
        <v>58845413</v>
      </c>
      <c r="O52" s="999" t="s">
        <v>1928</v>
      </c>
      <c r="P52" s="1000"/>
      <c r="Q52" s="996"/>
      <c r="R52" s="1000"/>
    </row>
    <row r="53" spans="1:18" s="652" customFormat="1" ht="15.75" thickBot="1">
      <c r="A53" s="241"/>
      <c r="B53" s="242"/>
      <c r="C53" s="243"/>
      <c r="D53" s="244"/>
      <c r="E53" s="235" t="s">
        <v>1780</v>
      </c>
      <c r="F53" s="994"/>
      <c r="I53" s="1468" t="s">
        <v>1929</v>
      </c>
      <c r="J53" s="988">
        <v>0.08</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41.11</v>
      </c>
      <c r="K54" s="3557" t="s">
        <v>2460</v>
      </c>
      <c r="L54" s="3558"/>
      <c r="O54" s="1005" t="s">
        <v>767</v>
      </c>
      <c r="P54" s="1006" t="s">
        <v>1899</v>
      </c>
      <c r="Q54" s="1007">
        <f ca="1">C40+J29</f>
        <v>3191358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0.248</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632851</v>
      </c>
      <c r="D57" s="941"/>
      <c r="E57" s="942"/>
      <c r="F57" s="949"/>
      <c r="I57" s="1475" t="s">
        <v>1936</v>
      </c>
      <c r="J57" s="993" t="s">
        <v>3047</v>
      </c>
      <c r="K57" s="1461" t="s">
        <v>1937</v>
      </c>
      <c r="L57" s="821" t="str">
        <f>IF(L49&lt;J52,"——",L49-J52)</f>
        <v>——</v>
      </c>
      <c r="O57" s="1009" t="s">
        <v>770</v>
      </c>
      <c r="P57" s="1006" t="s">
        <v>1938</v>
      </c>
      <c r="Q57" s="1010">
        <f>L53</f>
        <v>0</v>
      </c>
      <c r="R57" s="1008"/>
    </row>
    <row r="58" spans="1:18" s="652" customFormat="1" ht="29.25" thickBot="1">
      <c r="A58" s="948"/>
      <c r="B58" s="235" t="s">
        <v>1868</v>
      </c>
      <c r="C58" s="104">
        <f ca="1">C29</f>
        <v>680485</v>
      </c>
      <c r="D58" s="941"/>
      <c r="E58" s="942"/>
      <c r="F58" s="949"/>
      <c r="I58" s="1476" t="s">
        <v>1939</v>
      </c>
      <c r="J58" s="992">
        <f>IF(OR(M48="住宅",J52&lt;L49,J57="是"),"——",J52-L49)</f>
        <v>14.89</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64599</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57161</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272194</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319</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11503</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57161</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3191358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6805</v>
      </c>
      <c r="D65" s="1259" t="s">
        <v>1881</v>
      </c>
      <c r="E65" s="235" t="s">
        <v>1825</v>
      </c>
      <c r="F65" s="265">
        <f t="shared" si="0"/>
        <v>0.01</v>
      </c>
      <c r="I65" s="1479" t="s">
        <v>1961</v>
      </c>
      <c r="J65" s="1251">
        <v>50</v>
      </c>
      <c r="K65" s="1251">
        <v>35</v>
      </c>
      <c r="L65" s="1251">
        <v>60</v>
      </c>
      <c r="M65" s="1250">
        <v>0</v>
      </c>
      <c r="O65" s="1009" t="s">
        <v>769</v>
      </c>
      <c r="P65" s="1006" t="s">
        <v>1935</v>
      </c>
      <c r="Q65" s="1011">
        <f ca="1">L52</f>
        <v>58845413</v>
      </c>
      <c r="R65" s="1012" t="s">
        <v>1962</v>
      </c>
    </row>
    <row r="66" spans="1:18" s="652" customFormat="1" ht="20.25" thickBot="1">
      <c r="A66" s="253" t="s">
        <v>20</v>
      </c>
      <c r="B66" s="235" t="s">
        <v>1840</v>
      </c>
      <c r="C66" s="13">
        <f ca="1">ROUND(C57*F66,0)</f>
        <v>633</v>
      </c>
      <c r="D66" s="1259" t="s">
        <v>1841</v>
      </c>
      <c r="E66" s="235" t="s">
        <v>1842</v>
      </c>
      <c r="F66" s="266">
        <f t="shared" si="0"/>
        <v>1E-3</v>
      </c>
      <c r="I66" s="1479" t="s">
        <v>1963</v>
      </c>
      <c r="J66" s="1251">
        <v>40</v>
      </c>
      <c r="K66" s="1251">
        <v>30</v>
      </c>
      <c r="L66" s="1251">
        <v>50</v>
      </c>
      <c r="M66" s="1249">
        <v>0.02</v>
      </c>
      <c r="O66" s="1009" t="s">
        <v>770</v>
      </c>
      <c r="P66" s="1013" t="s">
        <v>1964</v>
      </c>
      <c r="Q66" s="1007">
        <f ca="1">ROUND(Q67-Q68*Q69,0)</f>
        <v>93547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137847</v>
      </c>
      <c r="R67" s="1008" t="s">
        <v>1900</v>
      </c>
    </row>
    <row r="68" spans="1:18" ht="15.75" thickBot="1">
      <c r="A68" s="248" t="s">
        <v>22</v>
      </c>
      <c r="B68" s="41" t="s">
        <v>1850</v>
      </c>
      <c r="C68" s="250">
        <f ca="1">C49-C59</f>
        <v>-64599</v>
      </c>
      <c r="D68" s="1256" t="s">
        <v>1851</v>
      </c>
      <c r="E68" s="1258"/>
      <c r="F68" s="268"/>
      <c r="H68" s="652"/>
      <c r="I68" s="652"/>
      <c r="J68" s="652"/>
      <c r="K68" s="652"/>
      <c r="L68" s="652"/>
      <c r="M68" s="652"/>
      <c r="O68" s="1009" t="s">
        <v>776</v>
      </c>
      <c r="P68" s="1013" t="s">
        <v>1966</v>
      </c>
      <c r="Q68" s="1007">
        <f ca="1">C13</f>
        <v>632851</v>
      </c>
      <c r="R68" s="1008" t="s">
        <v>1900</v>
      </c>
    </row>
    <row r="69" spans="1:18" ht="15.75" thickBot="1">
      <c r="A69" s="232" t="s">
        <v>23</v>
      </c>
      <c r="B69" s="233" t="s">
        <v>1888</v>
      </c>
      <c r="C69" s="234">
        <f ca="1">ROUND(C68*(1-((1+F71)/(1+F69))^F70)/(F69-F71),0)</f>
        <v>-1044524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41.11</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-7790</v>
      </c>
      <c r="D72" s="274" t="s">
        <v>1892</v>
      </c>
      <c r="E72" s="275" t="s">
        <v>1893</v>
      </c>
      <c r="F72" s="276">
        <f>F43</f>
        <v>134.09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319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134.09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44855</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134.09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44855</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134.09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134.09</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134.09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44855</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105</v>
      </c>
      <c r="G10" s="1686"/>
      <c r="H10" s="1626">
        <f>ROUND(100/'数据-取费表'!B14,0)</f>
        <v>105</v>
      </c>
      <c r="I10" s="1686"/>
      <c r="J10" s="1626">
        <f>ROUND(100/'数据-取费表'!B14,0)</f>
        <v>105</v>
      </c>
      <c r="K10" s="1898"/>
      <c r="L10" s="2917"/>
      <c r="M10" s="2918"/>
      <c r="N10" s="2918"/>
      <c r="O10" s="2963"/>
      <c r="P10" s="3623"/>
      <c r="Q10" s="1563" t="str">
        <f t="shared" si="6"/>
        <v>土地使用年限（年）</v>
      </c>
      <c r="R10" s="1609" t="s">
        <v>25</v>
      </c>
      <c r="S10" s="1610">
        <f t="shared" si="0"/>
        <v>105</v>
      </c>
      <c r="T10" s="1609" t="s">
        <v>25</v>
      </c>
      <c r="U10" s="1610">
        <f t="shared" si="1"/>
        <v>105</v>
      </c>
      <c r="V10" s="1609" t="s">
        <v>25</v>
      </c>
      <c r="W10" s="1610">
        <f t="shared" si="2"/>
        <v>105</v>
      </c>
      <c r="X10" s="1611"/>
      <c r="Y10" s="3487"/>
      <c r="Z10" s="1622" t="str">
        <f t="shared" si="7"/>
        <v>土地使用年限（年）</v>
      </c>
      <c r="AA10" s="1612">
        <f t="shared" si="3"/>
        <v>0.95238095238095233</v>
      </c>
      <c r="AB10" s="1612">
        <f t="shared" si="4"/>
        <v>0.95238095238095233</v>
      </c>
      <c r="AC10" s="1612">
        <f t="shared" si="5"/>
        <v>0.95238095238095233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44855</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105</v>
      </c>
      <c r="G10" s="322"/>
      <c r="H10" s="29">
        <f>ROUND(100/'数据-取费表'!B14,0)</f>
        <v>105</v>
      </c>
      <c r="I10" s="322"/>
      <c r="J10" s="29">
        <f>ROUND(100/'数据-取费表'!B14,0)</f>
        <v>105</v>
      </c>
      <c r="K10" s="553"/>
      <c r="L10" s="2948"/>
      <c r="M10" s="2949"/>
      <c r="N10" s="2949"/>
      <c r="O10" s="2950"/>
      <c r="P10" s="3637"/>
      <c r="Q10" s="1255" t="str">
        <f t="shared" si="6"/>
        <v>土地使用年限（年）</v>
      </c>
      <c r="R10" s="627" t="s">
        <v>25</v>
      </c>
      <c r="S10" s="628">
        <f t="shared" si="0"/>
        <v>105</v>
      </c>
      <c r="T10" s="627" t="s">
        <v>25</v>
      </c>
      <c r="U10" s="628">
        <f t="shared" si="1"/>
        <v>105</v>
      </c>
      <c r="V10" s="627" t="s">
        <v>25</v>
      </c>
      <c r="W10" s="628">
        <f t="shared" si="2"/>
        <v>105</v>
      </c>
      <c r="X10" s="629"/>
      <c r="Y10" s="3667"/>
      <c r="Z10" s="19" t="str">
        <f t="shared" si="7"/>
        <v>土地使用年限（年）</v>
      </c>
      <c r="AA10" s="630">
        <f t="shared" si="3"/>
        <v>0.95238095238095233</v>
      </c>
      <c r="AB10" s="630">
        <f t="shared" si="4"/>
        <v>0.95238095238095233</v>
      </c>
      <c r="AC10" s="630">
        <f t="shared" si="5"/>
        <v>0.95238095238095233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估价对象为北京市房地产，为XX所有。根据《》[]，估价对象建筑面积为134.09平方米。根据《》[]，估价对象（分摊）出让国有建设用地使用权面积为平方米。估价对象用途为。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2022年10月21日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134.09</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44855</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0.89490000000000003</v>
      </c>
      <c r="D20" s="2130" t="s">
        <v>2354</v>
      </c>
      <c r="E20" s="3072">
        <f>存贷款利率!E22/100</f>
        <v>4.3499999999999997E-2</v>
      </c>
      <c r="F20" s="2130" t="s">
        <v>2343</v>
      </c>
      <c r="G20" s="3073">
        <f>SUMIF(M26:P26,E2,M28:P28)</f>
        <v>0.05</v>
      </c>
      <c r="H20" s="2130" t="s">
        <v>2355</v>
      </c>
      <c r="I20" s="2131">
        <f>'数据-取费表'!B13</f>
        <v>41.11</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134.09</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44855</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28:H230"/>
  <sheetViews>
    <sheetView topLeftCell="A205" workbookViewId="0">
      <selection activeCell="H231" sqref="H231"/>
    </sheetView>
  </sheetViews>
  <sheetFormatPr defaultRowHeight="13.5"/>
  <sheetData>
    <row r="228" spans="5:8">
      <c r="E228" s="1269" t="s">
        <v>3039</v>
      </c>
      <c r="F228">
        <v>86.83</v>
      </c>
      <c r="G228">
        <v>33130</v>
      </c>
      <c r="H228" s="1269" t="s">
        <v>3040</v>
      </c>
    </row>
    <row r="229" spans="5:8">
      <c r="E229" t="str">
        <f>E228</f>
        <v>侨商中心</v>
      </c>
      <c r="F229">
        <v>87.96</v>
      </c>
      <c r="G229">
        <v>34903</v>
      </c>
      <c r="H229" s="1269" t="s">
        <v>3041</v>
      </c>
    </row>
    <row r="230" spans="5:8">
      <c r="E230" t="str">
        <f>E228</f>
        <v>侨商中心</v>
      </c>
      <c r="F230">
        <v>86.7</v>
      </c>
      <c r="G230">
        <v>34487</v>
      </c>
      <c r="H230" s="1269" t="s">
        <v>3041</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134.09</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134.09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本次估价的“房地产价值”是指在正常市场情况下，在价值时点2022年10月21日，估价对象规划用途为，假定未设立法定优先受偿款下的房地产市场价值。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2022-10-22T10:00:26Z</dcterms:modified>
</cp:coreProperties>
</file>