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典型户型修正" sheetId="31" state="hidden" r:id="rId18"/>
    <sheet name="Sheet2" sheetId="72" r:id="rId19"/>
    <sheet name="Sheet3" sheetId="73"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收益法" sheetId="15" r:id="rId38"/>
    <sheet name="不动产收益法写字楼" sheetId="75" r:id="rId39"/>
    <sheet name="不动产收益法车库" sheetId="74" r:id="rId40"/>
    <sheet name="不动产比较法-工业" sheetId="37" state="hidden" r:id="rId41"/>
    <sheet name="不动产比较法-车位" sheetId="35" state="hidden" r:id="rId42"/>
    <sheet name="不动产比较法-仓储" sheetId="36" state="hidden" r:id="rId43"/>
    <sheet name="存贷款利率" sheetId="65" state="hidden" r:id="rId44"/>
    <sheet name="Sheet1" sheetId="71" state="hidden" r:id="rId45"/>
  </sheets>
  <externalReferences>
    <externalReference r:id="rId46"/>
  </externalReferences>
  <definedNames>
    <definedName name="_xlnm._FilterDatabase" localSheetId="23"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5" i="66" l="1"/>
  <c r="B15" i="66"/>
  <c r="I48" i="39"/>
  <c r="G48" i="39"/>
  <c r="E48" i="39"/>
  <c r="Q73" i="75"/>
  <c r="Q60" i="75"/>
  <c r="D60" i="75"/>
  <c r="Q59" i="75"/>
  <c r="K59" i="75"/>
  <c r="P75" i="75"/>
  <c r="F58" i="75"/>
  <c r="Q52" i="75"/>
  <c r="J50" i="75"/>
  <c r="J51" i="75"/>
  <c r="M47" i="75"/>
  <c r="L46" i="75"/>
  <c r="F34" i="75"/>
  <c r="F61" i="75"/>
  <c r="F33" i="75"/>
  <c r="F60" i="75"/>
  <c r="F32" i="75"/>
  <c r="F59" i="75"/>
  <c r="F31" i="75"/>
  <c r="F28" i="75"/>
  <c r="C28" i="75"/>
  <c r="F23" i="75"/>
  <c r="D24" i="75"/>
  <c r="D23" i="75"/>
  <c r="D22" i="75"/>
  <c r="F21" i="75"/>
  <c r="M20" i="75"/>
  <c r="F20" i="75"/>
  <c r="M19" i="75"/>
  <c r="M18" i="75"/>
  <c r="F18" i="75"/>
  <c r="M17" i="75"/>
  <c r="F17" i="75"/>
  <c r="F15" i="75"/>
  <c r="G1" i="75"/>
  <c r="M22" i="75"/>
  <c r="F7" i="75"/>
  <c r="L47" i="75"/>
  <c r="F8" i="75"/>
  <c r="F9" i="75"/>
  <c r="M24" i="75"/>
  <c r="L59" i="75"/>
  <c r="F49" i="75"/>
  <c r="M7" i="75"/>
  <c r="F50" i="75"/>
  <c r="C48" i="75"/>
  <c r="P62" i="75"/>
  <c r="M8" i="75"/>
  <c r="F16" i="75"/>
  <c r="M23" i="75"/>
  <c r="F13" i="75"/>
  <c r="F43" i="75"/>
  <c r="F35" i="75"/>
  <c r="M21" i="75"/>
  <c r="M26" i="75"/>
  <c r="F40" i="75"/>
  <c r="M27" i="75"/>
  <c r="M29" i="75"/>
  <c r="F42" i="75"/>
  <c r="F38" i="75"/>
  <c r="F37" i="75"/>
  <c r="F26" i="75"/>
  <c r="F36" i="75"/>
  <c r="M28" i="75"/>
  <c r="J36" i="75"/>
  <c r="M6" i="75"/>
  <c r="J15" i="75"/>
  <c r="F6" i="75"/>
  <c r="M9" i="75"/>
  <c r="L48" i="75"/>
  <c r="Q72" i="75"/>
  <c r="C27" i="75"/>
  <c r="F70" i="75"/>
  <c r="F67" i="75"/>
  <c r="F64" i="75"/>
  <c r="F62" i="75"/>
  <c r="C61" i="75"/>
  <c r="C34" i="75"/>
  <c r="J6" i="75"/>
  <c r="F63" i="75"/>
  <c r="L56" i="75"/>
  <c r="L57" i="75"/>
  <c r="L60" i="75"/>
  <c r="J57" i="75"/>
  <c r="J55" i="75"/>
  <c r="J58" i="75"/>
  <c r="Q51" i="75"/>
  <c r="L58" i="75"/>
  <c r="I54" i="75"/>
  <c r="J53" i="75"/>
  <c r="F65" i="75"/>
  <c r="J20" i="75"/>
  <c r="C6" i="75"/>
  <c r="Q75" i="75"/>
  <c r="Q62" i="75"/>
  <c r="C17" i="75"/>
  <c r="Q67" i="75"/>
  <c r="Q58" i="75"/>
  <c r="Q53" i="75"/>
  <c r="F1" i="75"/>
  <c r="Q61" i="75"/>
  <c r="Q74" i="75"/>
  <c r="E59" i="39"/>
  <c r="G19" i="6"/>
  <c r="G22" i="6"/>
  <c r="P75" i="74"/>
  <c r="Q73" i="74"/>
  <c r="P62" i="74"/>
  <c r="Q60" i="74"/>
  <c r="D60" i="74"/>
  <c r="Q59" i="74"/>
  <c r="K59" i="74"/>
  <c r="F58" i="74"/>
  <c r="Q52" i="74"/>
  <c r="J50" i="74"/>
  <c r="J51" i="74"/>
  <c r="M47" i="74"/>
  <c r="L46" i="74"/>
  <c r="F34" i="74"/>
  <c r="F61" i="74"/>
  <c r="F33" i="74"/>
  <c r="F60" i="74"/>
  <c r="F32" i="74"/>
  <c r="F59" i="74"/>
  <c r="F31" i="74"/>
  <c r="F28" i="74"/>
  <c r="C28" i="74"/>
  <c r="F23" i="74"/>
  <c r="D24" i="74"/>
  <c r="F21" i="74"/>
  <c r="M20" i="74"/>
  <c r="F20" i="74"/>
  <c r="M19" i="74"/>
  <c r="M18" i="74"/>
  <c r="F18" i="74"/>
  <c r="M17" i="74"/>
  <c r="F17" i="74"/>
  <c r="F15" i="74"/>
  <c r="D22" i="74"/>
  <c r="D23" i="74"/>
  <c r="I30" i="34"/>
  <c r="G30" i="34"/>
  <c r="E30" i="34"/>
  <c r="C30" i="34"/>
  <c r="I48" i="34"/>
  <c r="G48" i="34"/>
  <c r="E48" i="34"/>
  <c r="C34" i="34"/>
  <c r="C24" i="34"/>
  <c r="C20" i="34"/>
  <c r="C18" i="34"/>
  <c r="C16" i="34"/>
  <c r="C22" i="6"/>
  <c r="M13" i="3"/>
  <c r="O13" i="3"/>
  <c r="C20" i="6"/>
  <c r="F20" i="6"/>
  <c r="I47" i="21"/>
  <c r="G47" i="21"/>
  <c r="E47" i="21"/>
  <c r="D4" i="31"/>
  <c r="E4" i="31"/>
  <c r="F4" i="31"/>
  <c r="G4" i="31"/>
  <c r="H4" i="31"/>
  <c r="I4" i="31"/>
  <c r="J4" i="31"/>
  <c r="K4" i="31"/>
  <c r="C4" i="31"/>
  <c r="D3" i="31"/>
  <c r="E3" i="31"/>
  <c r="F3" i="31"/>
  <c r="G3" i="31"/>
  <c r="H3" i="31"/>
  <c r="I3" i="31"/>
  <c r="J3" i="31"/>
  <c r="K3" i="31"/>
  <c r="L3" i="31"/>
  <c r="C3" i="31"/>
  <c r="B25" i="31"/>
  <c r="B24" i="31"/>
  <c r="A25" i="31"/>
  <c r="A24" i="31"/>
  <c r="B3" i="4"/>
  <c r="F19" i="6"/>
  <c r="AH5" i="59"/>
  <c r="AG5" i="59"/>
  <c r="AF5" i="59"/>
  <c r="AE5" i="59"/>
  <c r="AD5" i="59"/>
  <c r="Q5" i="59"/>
  <c r="P5" i="59"/>
  <c r="O5" i="59"/>
  <c r="N5" i="59"/>
  <c r="L3" i="59"/>
  <c r="AH3" i="59"/>
  <c r="K3" i="59"/>
  <c r="J3" i="59"/>
  <c r="I3" i="59"/>
  <c r="AH6" i="59"/>
  <c r="AG6" i="59"/>
  <c r="AE6" i="59"/>
  <c r="AF6" i="59"/>
  <c r="AD6" i="59"/>
  <c r="Q6" i="59"/>
  <c r="Q7" i="59"/>
  <c r="P6" i="59"/>
  <c r="P7" i="59"/>
  <c r="O6" i="59"/>
  <c r="O7" i="59"/>
  <c r="N6" i="59"/>
  <c r="N7" i="59"/>
  <c r="AH7" i="59"/>
  <c r="AG7" i="59"/>
  <c r="AE7" i="59"/>
  <c r="AF7" i="59"/>
  <c r="AD7" i="59"/>
  <c r="Q8" i="59"/>
  <c r="P8" i="59"/>
  <c r="O8" i="59"/>
  <c r="N8" i="59"/>
  <c r="M19" i="46"/>
  <c r="J50" i="15"/>
  <c r="J51" i="15"/>
  <c r="D10" i="59"/>
  <c r="AH8" i="59"/>
  <c r="AG8" i="59"/>
  <c r="AE8" i="59"/>
  <c r="AF8" i="59"/>
  <c r="AD8" i="59"/>
  <c r="AE9" i="59"/>
  <c r="AF9" i="59"/>
  <c r="AG9" i="59"/>
  <c r="AH9" i="59"/>
  <c r="AD9" i="59"/>
  <c r="Q9" i="59"/>
  <c r="P9" i="59"/>
  <c r="O9" i="59"/>
  <c r="N9" i="59"/>
  <c r="N10" i="59"/>
  <c r="Q10" i="59"/>
  <c r="P10" i="59"/>
  <c r="O10" i="59"/>
  <c r="K59" i="15"/>
  <c r="P62" i="15"/>
  <c r="Q74" i="44"/>
  <c r="Q61" i="44"/>
  <c r="Q60" i="44"/>
  <c r="Q53" i="44"/>
  <c r="J51" i="44"/>
  <c r="J52" i="44"/>
  <c r="M48" i="44"/>
  <c r="A16" i="55"/>
  <c r="B67" i="63"/>
  <c r="A15" i="55"/>
  <c r="A14" i="55"/>
  <c r="A11" i="55"/>
  <c r="A10" i="55"/>
  <c r="A9" i="55"/>
  <c r="A8" i="55"/>
  <c r="A6" i="54"/>
  <c r="A8" i="54"/>
  <c r="B53" i="63"/>
  <c r="A7" i="54"/>
  <c r="A27" i="51"/>
  <c r="Q11" i="59"/>
  <c r="O11" i="59"/>
  <c r="N12" i="59"/>
  <c r="O12" i="59"/>
  <c r="P12" i="59"/>
  <c r="Q12" i="59"/>
  <c r="N11" i="59"/>
  <c r="P11" i="59"/>
  <c r="K75" i="9"/>
  <c r="K6" i="4"/>
  <c r="O76" i="9"/>
  <c r="L76" i="9"/>
  <c r="B22" i="31"/>
  <c r="E16" i="66"/>
  <c r="F16" i="66"/>
  <c r="E17" i="66"/>
  <c r="F17" i="66"/>
  <c r="E18" i="66"/>
  <c r="F18" i="66"/>
  <c r="E19" i="66"/>
  <c r="F19" i="66"/>
  <c r="E20" i="66"/>
  <c r="F20" i="66"/>
  <c r="E21" i="66"/>
  <c r="F21" i="66"/>
  <c r="E22" i="66"/>
  <c r="F22" i="66"/>
  <c r="E23" i="66"/>
  <c r="F23" i="66"/>
  <c r="B3" i="66"/>
  <c r="B9" i="59"/>
  <c r="B8" i="59"/>
  <c r="B7" i="59"/>
  <c r="E9" i="59"/>
  <c r="E8" i="59"/>
  <c r="E7" i="59"/>
  <c r="E6" i="59"/>
  <c r="E5" i="59"/>
  <c r="F9" i="59"/>
  <c r="F8" i="59"/>
  <c r="F7" i="59"/>
  <c r="F6" i="59"/>
  <c r="F5" i="59"/>
  <c r="U9" i="59"/>
  <c r="S9"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c r="T9" i="59"/>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B21" i="63"/>
  <c r="C56" i="10"/>
  <c r="C55" i="10"/>
  <c r="C54" i="10"/>
  <c r="B49" i="63"/>
  <c r="B44" i="63"/>
  <c r="B40" i="63"/>
  <c r="B30" i="63"/>
  <c r="B27" i="63"/>
  <c r="B25" i="63"/>
  <c r="A11" i="51"/>
  <c r="B10" i="63"/>
  <c r="A26" i="64"/>
  <c r="A26" i="51"/>
  <c r="B19" i="63"/>
  <c r="K39" i="9"/>
  <c r="K40" i="9"/>
  <c r="B58"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N4" i="63"/>
  <c r="I19" i="46"/>
  <c r="Q13" i="59"/>
  <c r="P13" i="59"/>
  <c r="E13" i="59"/>
  <c r="O13" i="59"/>
  <c r="N13" i="59"/>
  <c r="B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C53" i="59"/>
  <c r="B53" i="59"/>
  <c r="N53" i="59"/>
  <c r="F52" i="59"/>
  <c r="F51"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E36" i="59"/>
  <c r="E37" i="59"/>
  <c r="U37" i="59"/>
  <c r="O34" i="59"/>
  <c r="C35" i="59"/>
  <c r="D35" i="59"/>
  <c r="N34" i="59"/>
  <c r="B35" i="59"/>
  <c r="D34" i="59"/>
  <c r="T33" i="59"/>
  <c r="Q33" i="59"/>
  <c r="P33" i="59"/>
  <c r="O33" i="59"/>
  <c r="N33" i="59"/>
  <c r="D33" i="59"/>
  <c r="Q32" i="59"/>
  <c r="P32" i="59"/>
  <c r="O32" i="59"/>
  <c r="N32" i="59"/>
  <c r="Q31" i="59"/>
  <c r="P31" i="59"/>
  <c r="O31" i="59"/>
  <c r="N31" i="59"/>
  <c r="Q30" i="59"/>
  <c r="F31" i="59"/>
  <c r="F32" i="59"/>
  <c r="F33" i="59"/>
  <c r="V33" i="59"/>
  <c r="P30" i="59"/>
  <c r="E31" i="59"/>
  <c r="E32" i="59"/>
  <c r="E33" i="59"/>
  <c r="U33" i="59"/>
  <c r="O30" i="59"/>
  <c r="C31" i="59"/>
  <c r="C32" i="59"/>
  <c r="D32"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AB23" i="59"/>
  <c r="P23" i="59"/>
  <c r="O23" i="59"/>
  <c r="Y23" i="59"/>
  <c r="Z23" i="59"/>
  <c r="N23" i="59"/>
  <c r="Q22" i="59"/>
  <c r="AB22" i="59"/>
  <c r="P22" i="59"/>
  <c r="AA22" i="59"/>
  <c r="O22" i="59"/>
  <c r="Y22" i="59"/>
  <c r="Z22" i="59"/>
  <c r="C23" i="59"/>
  <c r="C24" i="59"/>
  <c r="C25" i="59"/>
  <c r="T25" i="59"/>
  <c r="N22" i="59"/>
  <c r="B23" i="59"/>
  <c r="B24" i="59"/>
  <c r="B25" i="59"/>
  <c r="S25" i="59"/>
  <c r="D22" i="59"/>
  <c r="Q21" i="59"/>
  <c r="AB21" i="59"/>
  <c r="P21" i="59"/>
  <c r="AA21" i="59"/>
  <c r="O21" i="59"/>
  <c r="N21" i="59"/>
  <c r="X21" i="59"/>
  <c r="Q20" i="59"/>
  <c r="P20" i="59"/>
  <c r="AA20" i="59"/>
  <c r="O20" i="59"/>
  <c r="Y20" i="59"/>
  <c r="Z20" i="59"/>
  <c r="N20" i="59"/>
  <c r="X20" i="59"/>
  <c r="Q19" i="59"/>
  <c r="AB19" i="59"/>
  <c r="P19" i="59"/>
  <c r="AA19" i="59"/>
  <c r="O19" i="59"/>
  <c r="N19" i="59"/>
  <c r="X19" i="59"/>
  <c r="Q18" i="59"/>
  <c r="F19" i="59"/>
  <c r="P18" i="59"/>
  <c r="AA18" i="59"/>
  <c r="E19" i="59"/>
  <c r="E20" i="59"/>
  <c r="E21" i="59"/>
  <c r="U21" i="59"/>
  <c r="O18" i="59"/>
  <c r="Y18" i="59"/>
  <c r="Z18" i="59"/>
  <c r="N18" i="59"/>
  <c r="X18" i="59"/>
  <c r="D18" i="59"/>
  <c r="Q17" i="59"/>
  <c r="AB17" i="59"/>
  <c r="P17" i="59"/>
  <c r="O17" i="59"/>
  <c r="Y17" i="59"/>
  <c r="Z17" i="59"/>
  <c r="N17" i="59"/>
  <c r="X17" i="59"/>
  <c r="Q16" i="59"/>
  <c r="AB16" i="59"/>
  <c r="P16" i="59"/>
  <c r="AA16" i="59"/>
  <c r="O16" i="59"/>
  <c r="Y16" i="59"/>
  <c r="Z16" i="59"/>
  <c r="N16" i="59"/>
  <c r="Q15" i="59"/>
  <c r="AB15" i="59"/>
  <c r="P15" i="59"/>
  <c r="O15" i="59"/>
  <c r="Y15" i="59"/>
  <c r="Z15" i="59"/>
  <c r="N15" i="59"/>
  <c r="X15" i="59"/>
  <c r="Q14" i="59"/>
  <c r="AB14" i="59"/>
  <c r="P14" i="59"/>
  <c r="AA14" i="59"/>
  <c r="O14" i="59"/>
  <c r="C15" i="59"/>
  <c r="C16" i="59"/>
  <c r="C17" i="59"/>
  <c r="T17" i="59"/>
  <c r="N14" i="59"/>
  <c r="B15" i="59"/>
  <c r="B16" i="59"/>
  <c r="B17" i="59"/>
  <c r="S17" i="59"/>
  <c r="D14" i="59"/>
  <c r="X3" i="59"/>
  <c r="X11" i="59"/>
  <c r="X13" i="59"/>
  <c r="AA10" i="59"/>
  <c r="AA12" i="59"/>
  <c r="Y10" i="59"/>
  <c r="Z10" i="59"/>
  <c r="Y11" i="59"/>
  <c r="Z11" i="59"/>
  <c r="Y12" i="59"/>
  <c r="Z12" i="59"/>
  <c r="Y13" i="59"/>
  <c r="Z13" i="59"/>
  <c r="Y3" i="59"/>
  <c r="Z3" i="59"/>
  <c r="AB13" i="59"/>
  <c r="AB10" i="59"/>
  <c r="AB12" i="59"/>
  <c r="E15" i="59"/>
  <c r="E16" i="59"/>
  <c r="E17" i="59"/>
  <c r="U17" i="59"/>
  <c r="B36" i="59"/>
  <c r="B37" i="59"/>
  <c r="S37" i="59"/>
  <c r="S53" i="59"/>
  <c r="AA24" i="59"/>
  <c r="F20" i="59"/>
  <c r="F21" i="59"/>
  <c r="V21" i="59"/>
  <c r="F28" i="59"/>
  <c r="F29" i="59"/>
  <c r="V29" i="59"/>
  <c r="F44" i="59"/>
  <c r="F45" i="59"/>
  <c r="V45" i="59"/>
  <c r="D15" i="59"/>
  <c r="D23" i="59"/>
  <c r="C36" i="59"/>
  <c r="C37" i="59"/>
  <c r="T37" i="59"/>
  <c r="C40" i="59"/>
  <c r="C41" i="59"/>
  <c r="T41" i="59"/>
  <c r="D39" i="59"/>
  <c r="C48" i="59"/>
  <c r="C49" i="59"/>
  <c r="T49" i="59"/>
  <c r="D47" i="59"/>
  <c r="Q52" i="59"/>
  <c r="T53" i="59"/>
  <c r="O53" i="59"/>
  <c r="D53" i="59"/>
  <c r="C52" i="59"/>
  <c r="P53" i="59"/>
  <c r="U53" i="59"/>
  <c r="Q53" i="59"/>
  <c r="C56" i="59"/>
  <c r="E56" i="59"/>
  <c r="E55" i="59"/>
  <c r="D57" i="59"/>
  <c r="C60" i="59"/>
  <c r="E60" i="59"/>
  <c r="E59" i="59"/>
  <c r="D61" i="59"/>
  <c r="C64" i="59"/>
  <c r="E64" i="59"/>
  <c r="E63" i="59"/>
  <c r="D65" i="59"/>
  <c r="C68" i="59"/>
  <c r="C72" i="59"/>
  <c r="D72" i="59"/>
  <c r="U16" i="4"/>
  <c r="S16" i="4"/>
  <c r="Q16" i="4"/>
  <c r="O16" i="4"/>
  <c r="M16" i="4"/>
  <c r="K16" i="4"/>
  <c r="C71" i="59"/>
  <c r="D71" i="59"/>
  <c r="D64" i="59"/>
  <c r="C63" i="59"/>
  <c r="D63" i="59"/>
  <c r="D56" i="59"/>
  <c r="C55" i="59"/>
  <c r="D55" i="59"/>
  <c r="C51" i="59"/>
  <c r="O51" i="59"/>
  <c r="O52" i="59"/>
  <c r="D52" i="59"/>
  <c r="D68" i="59"/>
  <c r="C67" i="59"/>
  <c r="D67" i="59"/>
  <c r="D60" i="59"/>
  <c r="C59" i="59"/>
  <c r="D59" i="59"/>
  <c r="D48" i="59"/>
  <c r="D40" i="59"/>
  <c r="D36" i="59"/>
  <c r="D16" i="59"/>
  <c r="D25" i="59"/>
  <c r="D37" i="59"/>
  <c r="D49" i="59"/>
  <c r="D51"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F21" i="21"/>
  <c r="AA21" i="21"/>
  <c r="C21" i="21"/>
  <c r="Q27" i="40"/>
  <c r="Z27" i="40"/>
  <c r="D96" i="40"/>
  <c r="E96" i="40"/>
  <c r="F27" i="40"/>
  <c r="AA27" i="40"/>
  <c r="Q31" i="39"/>
  <c r="Z31" i="39"/>
  <c r="D105" i="39"/>
  <c r="E105" i="39"/>
  <c r="F31" i="39"/>
  <c r="AA31" i="39"/>
  <c r="G20" i="20"/>
  <c r="B85" i="46"/>
  <c r="C22" i="20"/>
  <c r="B65" i="46"/>
  <c r="S18" i="36"/>
  <c r="S18" i="35"/>
  <c r="S21" i="37"/>
  <c r="S27" i="40"/>
  <c r="C31" i="39"/>
  <c r="B74" i="46"/>
  <c r="E66" i="36"/>
  <c r="H18" i="35"/>
  <c r="J18" i="35"/>
  <c r="H21" i="37"/>
  <c r="J21" i="37"/>
  <c r="E84" i="34"/>
  <c r="F84" i="34"/>
  <c r="G84" i="34"/>
  <c r="J21" i="34"/>
  <c r="H21" i="34"/>
  <c r="F21" i="33"/>
  <c r="H21" i="33"/>
  <c r="J21" i="33"/>
  <c r="H21"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G1" i="74"/>
  <c r="T4" i="1"/>
  <c r="K12" i="1"/>
  <c r="M12" i="1"/>
  <c r="O12" i="1"/>
  <c r="P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7" i="31"/>
  <c r="S27" i="31"/>
  <c r="R28" i="31"/>
  <c r="S28" i="31"/>
  <c r="R29" i="31"/>
  <c r="S29" i="31"/>
  <c r="R30" i="31"/>
  <c r="S30" i="31"/>
  <c r="R31" i="31"/>
  <c r="R32" i="31"/>
  <c r="S32" i="31"/>
  <c r="R33" i="31"/>
  <c r="R34" i="31"/>
  <c r="S34" i="31"/>
  <c r="R35" i="31"/>
  <c r="S35" i="31"/>
  <c r="R36" i="31"/>
  <c r="S36" i="31"/>
  <c r="R37" i="31"/>
  <c r="S37" i="31"/>
  <c r="R38" i="31"/>
  <c r="S38" i="31"/>
  <c r="R39" i="31"/>
  <c r="R40" i="31"/>
  <c r="S40" i="31"/>
  <c r="R41" i="31"/>
  <c r="S41" i="31"/>
  <c r="R42" i="31"/>
  <c r="S42" i="31"/>
  <c r="R43" i="31"/>
  <c r="S43" i="31"/>
  <c r="R44" i="31"/>
  <c r="S44" i="31"/>
  <c r="R45" i="31"/>
  <c r="R46" i="31"/>
  <c r="S46" i="31"/>
  <c r="R47" i="31"/>
  <c r="S47" i="31"/>
  <c r="R48" i="31"/>
  <c r="S48" i="31"/>
  <c r="R49" i="31"/>
  <c r="R50" i="31"/>
  <c r="S50" i="31"/>
  <c r="R51" i="31"/>
  <c r="S51" i="31"/>
  <c r="R52" i="31"/>
  <c r="S52" i="31"/>
  <c r="R53" i="31"/>
  <c r="S53" i="31"/>
  <c r="R54" i="31"/>
  <c r="S54" i="31"/>
  <c r="R55" i="31"/>
  <c r="S55" i="31"/>
  <c r="R56" i="31"/>
  <c r="S56" i="31"/>
  <c r="R57" i="31"/>
  <c r="R58" i="31"/>
  <c r="S58" i="31"/>
  <c r="R59" i="31"/>
  <c r="S59" i="31"/>
  <c r="R60" i="31"/>
  <c r="S60" i="31"/>
  <c r="R61" i="31"/>
  <c r="S61" i="31"/>
  <c r="R62" i="31"/>
  <c r="S62" i="31"/>
  <c r="R63" i="31"/>
  <c r="R64" i="31"/>
  <c r="S64" i="31"/>
  <c r="R65" i="31"/>
  <c r="S65" i="31"/>
  <c r="R66" i="31"/>
  <c r="S66" i="31"/>
  <c r="R67" i="31"/>
  <c r="R68" i="31"/>
  <c r="S68" i="31"/>
  <c r="R69" i="31"/>
  <c r="S69" i="31"/>
  <c r="R70" i="31"/>
  <c r="S70" i="31"/>
  <c r="R71" i="31"/>
  <c r="S71" i="31"/>
  <c r="R72" i="31"/>
  <c r="S72" i="31"/>
  <c r="R73" i="31"/>
  <c r="R74" i="31"/>
  <c r="S74" i="31"/>
  <c r="R75" i="31"/>
  <c r="S75" i="31"/>
  <c r="R76" i="31"/>
  <c r="S76" i="31"/>
  <c r="R77" i="31"/>
  <c r="S77" i="31"/>
  <c r="R78" i="31"/>
  <c r="S78" i="31"/>
  <c r="R79" i="31"/>
  <c r="S79" i="31"/>
  <c r="R80" i="31"/>
  <c r="S80" i="31"/>
  <c r="R81" i="31"/>
  <c r="R82" i="31"/>
  <c r="S82" i="31"/>
  <c r="R83" i="31"/>
  <c r="S83" i="31"/>
  <c r="R84" i="31"/>
  <c r="S84" i="31"/>
  <c r="R85" i="31"/>
  <c r="S85" i="31"/>
  <c r="R86" i="31"/>
  <c r="S86" i="31"/>
  <c r="R87" i="31"/>
  <c r="R88" i="31"/>
  <c r="S88" i="31"/>
  <c r="R89" i="31"/>
  <c r="S89" i="31"/>
  <c r="R90" i="31"/>
  <c r="S90" i="31"/>
  <c r="R91" i="31"/>
  <c r="S91" i="31"/>
  <c r="R92" i="31"/>
  <c r="S92" i="31"/>
  <c r="R93" i="31"/>
  <c r="R94" i="31"/>
  <c r="S94" i="31"/>
  <c r="R95" i="31"/>
  <c r="S95" i="31"/>
  <c r="R96" i="31"/>
  <c r="S96" i="31"/>
  <c r="R97" i="31"/>
  <c r="R98" i="31"/>
  <c r="S98" i="31"/>
  <c r="R99" i="31"/>
  <c r="S99" i="31"/>
  <c r="R100" i="31"/>
  <c r="S100" i="31"/>
  <c r="R101" i="31"/>
  <c r="S101" i="31"/>
  <c r="R102" i="31"/>
  <c r="S102" i="31"/>
  <c r="R103" i="31"/>
  <c r="R104" i="31"/>
  <c r="S104" i="31"/>
  <c r="R105" i="31"/>
  <c r="S105" i="31"/>
  <c r="R106" i="31"/>
  <c r="S106" i="31"/>
  <c r="R107" i="31"/>
  <c r="R108" i="31"/>
  <c r="S108" i="31"/>
  <c r="R109" i="31"/>
  <c r="S109" i="31"/>
  <c r="R110" i="31"/>
  <c r="S110" i="31"/>
  <c r="R111" i="31"/>
  <c r="S111" i="31"/>
  <c r="R112" i="31"/>
  <c r="S112" i="31"/>
  <c r="R113" i="31"/>
  <c r="S113" i="31"/>
  <c r="R114" i="31"/>
  <c r="S114" i="31"/>
  <c r="R115" i="31"/>
  <c r="S115" i="31"/>
  <c r="R116" i="31"/>
  <c r="S116" i="31"/>
  <c r="R117" i="31"/>
  <c r="R118" i="31"/>
  <c r="S118" i="31"/>
  <c r="R119" i="31"/>
  <c r="S119" i="31"/>
  <c r="R120" i="31"/>
  <c r="S120" i="31"/>
  <c r="R121" i="31"/>
  <c r="R122" i="31"/>
  <c r="S122" i="31"/>
  <c r="R123" i="31"/>
  <c r="R124" i="31"/>
  <c r="S124" i="31"/>
  <c r="R125" i="31"/>
  <c r="S125" i="31"/>
  <c r="R126" i="31"/>
  <c r="S126" i="31"/>
  <c r="R127" i="31"/>
  <c r="S127" i="31"/>
  <c r="R128" i="31"/>
  <c r="S128" i="31"/>
  <c r="R129" i="31"/>
  <c r="R130" i="31"/>
  <c r="S130" i="31"/>
  <c r="R131" i="31"/>
  <c r="S131" i="31"/>
  <c r="R132" i="31"/>
  <c r="S132" i="31"/>
  <c r="R133" i="31"/>
  <c r="S133" i="31"/>
  <c r="R134" i="31"/>
  <c r="S134" i="31"/>
  <c r="R135" i="31"/>
  <c r="R136" i="31"/>
  <c r="S136" i="31"/>
  <c r="R137" i="31"/>
  <c r="S137" i="31"/>
  <c r="R138" i="31"/>
  <c r="S138" i="31"/>
  <c r="R139" i="31"/>
  <c r="R140" i="31"/>
  <c r="S140" i="31"/>
  <c r="R141" i="31"/>
  <c r="S141" i="31"/>
  <c r="R142" i="31"/>
  <c r="S142" i="31"/>
  <c r="R143" i="31"/>
  <c r="S143" i="31"/>
  <c r="R144" i="31"/>
  <c r="S144" i="31"/>
  <c r="R145" i="31"/>
  <c r="R146" i="31"/>
  <c r="S146" i="31"/>
  <c r="R147" i="31"/>
  <c r="S147" i="31"/>
  <c r="R148" i="31"/>
  <c r="S148" i="31"/>
  <c r="R149" i="31"/>
  <c r="S149" i="31"/>
  <c r="R150" i="31"/>
  <c r="S150" i="31"/>
  <c r="R151" i="31"/>
  <c r="R152" i="31"/>
  <c r="S152" i="31"/>
  <c r="R153" i="31"/>
  <c r="S153" i="31"/>
  <c r="R154" i="31"/>
  <c r="S154" i="31"/>
  <c r="R155" i="31"/>
  <c r="R156" i="31"/>
  <c r="S156" i="31"/>
  <c r="R157" i="31"/>
  <c r="S157" i="31"/>
  <c r="R158" i="31"/>
  <c r="S158" i="31"/>
  <c r="R159" i="31"/>
  <c r="S159" i="31"/>
  <c r="R160" i="31"/>
  <c r="S160" i="31"/>
  <c r="R161" i="31"/>
  <c r="R162" i="31"/>
  <c r="S162" i="31"/>
  <c r="R163" i="31"/>
  <c r="S163" i="31"/>
  <c r="R164" i="31"/>
  <c r="S164" i="31"/>
  <c r="R165" i="31"/>
  <c r="S165" i="31"/>
  <c r="R166" i="31"/>
  <c r="S166" i="31"/>
  <c r="R167" i="31"/>
  <c r="R168" i="31"/>
  <c r="S168" i="31"/>
  <c r="R169" i="31"/>
  <c r="S169" i="31"/>
  <c r="R170" i="31"/>
  <c r="S170" i="31"/>
  <c r="R171" i="31"/>
  <c r="R172" i="31"/>
  <c r="S172" i="31"/>
  <c r="R173" i="31"/>
  <c r="S173" i="31"/>
  <c r="R174" i="31"/>
  <c r="S174" i="31"/>
  <c r="R175" i="31"/>
  <c r="S175" i="31"/>
  <c r="R176" i="31"/>
  <c r="S176" i="31"/>
  <c r="R177" i="31"/>
  <c r="R178" i="31"/>
  <c r="S178" i="31"/>
  <c r="R179" i="31"/>
  <c r="S179" i="31"/>
  <c r="R180" i="31"/>
  <c r="S180" i="31"/>
  <c r="R181" i="31"/>
  <c r="S181" i="31"/>
  <c r="R182" i="31"/>
  <c r="S182" i="31"/>
  <c r="R183" i="31"/>
  <c r="R184" i="31"/>
  <c r="S184" i="31"/>
  <c r="R185" i="31"/>
  <c r="S185" i="31"/>
  <c r="R186" i="31"/>
  <c r="S186" i="31"/>
  <c r="R187" i="31"/>
  <c r="R188" i="31"/>
  <c r="S188" i="31"/>
  <c r="R189" i="31"/>
  <c r="S189" i="31"/>
  <c r="R190" i="31"/>
  <c r="S190" i="31"/>
  <c r="R191" i="31"/>
  <c r="S191" i="31"/>
  <c r="R192" i="31"/>
  <c r="S192" i="31"/>
  <c r="R193" i="31"/>
  <c r="R194" i="31"/>
  <c r="S194" i="31"/>
  <c r="R195" i="31"/>
  <c r="S195" i="31"/>
  <c r="R196" i="31"/>
  <c r="S196" i="31"/>
  <c r="R197" i="31"/>
  <c r="S197" i="31"/>
  <c r="R198" i="31"/>
  <c r="S198" i="31"/>
  <c r="R199" i="31"/>
  <c r="R200" i="31"/>
  <c r="S200" i="31"/>
  <c r="R201" i="31"/>
  <c r="S201" i="31"/>
  <c r="R202" i="31"/>
  <c r="S202" i="31"/>
  <c r="R203" i="31"/>
  <c r="R204" i="31"/>
  <c r="S204" i="31"/>
  <c r="R205" i="31"/>
  <c r="S205" i="31"/>
  <c r="R206" i="31"/>
  <c r="S206" i="31"/>
  <c r="R207" i="31"/>
  <c r="S207" i="31"/>
  <c r="R208" i="31"/>
  <c r="S208" i="31"/>
  <c r="R209" i="31"/>
  <c r="R210" i="31"/>
  <c r="S210" i="31"/>
  <c r="R211" i="31"/>
  <c r="S211" i="31"/>
  <c r="R212" i="31"/>
  <c r="S212" i="31"/>
  <c r="R213" i="31"/>
  <c r="S213" i="31"/>
  <c r="R214" i="31"/>
  <c r="S214" i="31"/>
  <c r="R215" i="31"/>
  <c r="R216" i="31"/>
  <c r="S216" i="31"/>
  <c r="R217" i="31"/>
  <c r="S217" i="31"/>
  <c r="R218" i="31"/>
  <c r="S218" i="31"/>
  <c r="R219" i="31"/>
  <c r="R220" i="31"/>
  <c r="S220" i="31"/>
  <c r="R221" i="31"/>
  <c r="S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c r="R426" i="31"/>
  <c r="S426" i="31"/>
  <c r="R427" i="31"/>
  <c r="R428" i="31"/>
  <c r="S428" i="31"/>
  <c r="R429" i="31"/>
  <c r="S429" i="31"/>
  <c r="R430" i="31"/>
  <c r="S430" i="31"/>
  <c r="R431" i="31"/>
  <c r="S431" i="31"/>
  <c r="R432" i="31"/>
  <c r="S432" i="31"/>
  <c r="R433" i="31"/>
  <c r="S433" i="31"/>
  <c r="R434" i="31"/>
  <c r="S434" i="31"/>
  <c r="R435" i="31"/>
  <c r="R436" i="31"/>
  <c r="S436" i="31"/>
  <c r="R437" i="31"/>
  <c r="S437" i="31"/>
  <c r="R438" i="31"/>
  <c r="S438" i="31"/>
  <c r="R439" i="31"/>
  <c r="S439" i="31"/>
  <c r="R440" i="31"/>
  <c r="S440" i="31"/>
  <c r="R441" i="31"/>
  <c r="R442" i="31"/>
  <c r="S442" i="31"/>
  <c r="R443" i="31"/>
  <c r="S443" i="31"/>
  <c r="R444" i="31"/>
  <c r="S444" i="31"/>
  <c r="R445" i="31"/>
  <c r="S445" i="31"/>
  <c r="R446" i="31"/>
  <c r="S446" i="31"/>
  <c r="R447" i="31"/>
  <c r="R448" i="31"/>
  <c r="S448" i="31"/>
  <c r="R449" i="31"/>
  <c r="S449" i="31"/>
  <c r="R450" i="31"/>
  <c r="S450" i="31"/>
  <c r="R451" i="31"/>
  <c r="R452" i="31"/>
  <c r="S452" i="31"/>
  <c r="R453" i="31"/>
  <c r="S453" i="31"/>
  <c r="R454" i="31"/>
  <c r="S454" i="31"/>
  <c r="R455" i="31"/>
  <c r="S455" i="31"/>
  <c r="R456" i="31"/>
  <c r="S456" i="31"/>
  <c r="R457" i="31"/>
  <c r="R458" i="31"/>
  <c r="S458" i="31"/>
  <c r="R459" i="31"/>
  <c r="S459" i="31"/>
  <c r="R460" i="31"/>
  <c r="S460" i="31"/>
  <c r="R461" i="31"/>
  <c r="R462" i="31"/>
  <c r="S462" i="31"/>
  <c r="R463" i="31"/>
  <c r="S463" i="31"/>
  <c r="R464" i="31"/>
  <c r="S464" i="31"/>
  <c r="R465" i="31"/>
  <c r="S465" i="31"/>
  <c r="R466" i="31"/>
  <c r="S466" i="31"/>
  <c r="R467" i="31"/>
  <c r="R468" i="31"/>
  <c r="S468" i="31"/>
  <c r="R469" i="31"/>
  <c r="R470" i="31"/>
  <c r="S470" i="31"/>
  <c r="R471" i="31"/>
  <c r="S471" i="31"/>
  <c r="R472" i="31"/>
  <c r="S472" i="31"/>
  <c r="R473" i="31"/>
  <c r="S473" i="31"/>
  <c r="R474" i="31"/>
  <c r="S474" i="31"/>
  <c r="R475" i="31"/>
  <c r="R476" i="31"/>
  <c r="S476" i="31"/>
  <c r="R477" i="31"/>
  <c r="S477" i="31"/>
  <c r="R478" i="31"/>
  <c r="S478" i="31"/>
  <c r="R479" i="31"/>
  <c r="R480" i="31"/>
  <c r="S480" i="31"/>
  <c r="R481" i="31"/>
  <c r="S481" i="31"/>
  <c r="R482" i="31"/>
  <c r="S482" i="31"/>
  <c r="R483" i="31"/>
  <c r="R484" i="31"/>
  <c r="S484" i="31"/>
  <c r="R485" i="31"/>
  <c r="S485" i="31"/>
  <c r="R486" i="31"/>
  <c r="S486" i="31"/>
  <c r="R487" i="31"/>
  <c r="R488" i="31"/>
  <c r="S488" i="31"/>
  <c r="R489" i="31"/>
  <c r="S489" i="31"/>
  <c r="R490" i="31"/>
  <c r="S490" i="31"/>
  <c r="R491" i="31"/>
  <c r="R492" i="31"/>
  <c r="S492" i="31"/>
  <c r="R493" i="31"/>
  <c r="S493" i="31"/>
  <c r="R494" i="31"/>
  <c r="R495" i="31"/>
  <c r="S495" i="31"/>
  <c r="R496" i="31"/>
  <c r="R497" i="31"/>
  <c r="S497" i="31"/>
  <c r="R498" i="31"/>
  <c r="S498" i="31"/>
  <c r="R499" i="31"/>
  <c r="S499" i="31"/>
  <c r="R500" i="31"/>
  <c r="S500" i="31"/>
  <c r="R501" i="31"/>
  <c r="R502" i="31"/>
  <c r="S502" i="31"/>
  <c r="R503" i="31"/>
  <c r="S503" i="31"/>
  <c r="R504" i="31"/>
  <c r="S504" i="31"/>
  <c r="R505" i="31"/>
  <c r="R506" i="31"/>
  <c r="S506" i="31"/>
  <c r="R507" i="31"/>
  <c r="R508" i="31"/>
  <c r="S508" i="31"/>
  <c r="R509" i="31"/>
  <c r="S509" i="31"/>
  <c r="R510" i="31"/>
  <c r="S510" i="31"/>
  <c r="R511" i="31"/>
  <c r="S511" i="31"/>
  <c r="R512" i="31"/>
  <c r="S512" i="31"/>
  <c r="R513" i="31"/>
  <c r="R514" i="31"/>
  <c r="S514" i="31"/>
  <c r="R515" i="31"/>
  <c r="S515" i="31"/>
  <c r="R516" i="31"/>
  <c r="S516" i="31"/>
  <c r="R517" i="31"/>
  <c r="S517" i="31"/>
  <c r="R518" i="31"/>
  <c r="S518" i="31"/>
  <c r="R519" i="31"/>
  <c r="R520" i="31"/>
  <c r="S520" i="31"/>
  <c r="R521" i="31"/>
  <c r="S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42" i="39"/>
  <c r="AA42" i="39"/>
  <c r="H10" i="39"/>
  <c r="AB10" i="39"/>
  <c r="H11" i="39"/>
  <c r="AB11" i="39"/>
  <c r="H42" i="39"/>
  <c r="AB42" i="39"/>
  <c r="J10" i="39"/>
  <c r="AC10" i="39"/>
  <c r="J11" i="39"/>
  <c r="AC11"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19" i="31"/>
  <c r="S215" i="31"/>
  <c r="S209" i="31"/>
  <c r="S203" i="31"/>
  <c r="S199" i="31"/>
  <c r="S193" i="31"/>
  <c r="S187" i="31"/>
  <c r="S183" i="31"/>
  <c r="S177" i="31"/>
  <c r="S171" i="31"/>
  <c r="S167" i="31"/>
  <c r="S161" i="31"/>
  <c r="S155" i="31"/>
  <c r="S151" i="31"/>
  <c r="S145" i="31"/>
  <c r="S139" i="31"/>
  <c r="S135" i="31"/>
  <c r="S129" i="31"/>
  <c r="S123" i="31"/>
  <c r="S496" i="31"/>
  <c r="S494" i="31"/>
  <c r="S491" i="31"/>
  <c r="S487" i="31"/>
  <c r="S483" i="31"/>
  <c r="S479" i="31"/>
  <c r="S475" i="31"/>
  <c r="S469" i="31"/>
  <c r="S441" i="31"/>
  <c r="S435" i="31"/>
  <c r="S121" i="31"/>
  <c r="S117" i="31"/>
  <c r="S467" i="31"/>
  <c r="S461" i="31"/>
  <c r="S457" i="31"/>
  <c r="S451" i="31"/>
  <c r="S49" i="31"/>
  <c r="S45" i="31"/>
  <c r="S39" i="31"/>
  <c r="S33" i="31"/>
  <c r="S73" i="31"/>
  <c r="S67" i="31"/>
  <c r="S63" i="31"/>
  <c r="S57" i="31"/>
  <c r="S97" i="31"/>
  <c r="S93" i="31"/>
  <c r="S87" i="31"/>
  <c r="S81" i="31"/>
  <c r="S31" i="31"/>
  <c r="S103" i="31"/>
  <c r="S107" i="31"/>
  <c r="S447" i="31"/>
  <c r="S507"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U42" i="34"/>
  <c r="J42" i="34"/>
  <c r="F42" i="34"/>
  <c r="S42" i="34"/>
  <c r="J38" i="34"/>
  <c r="D114" i="34"/>
  <c r="F38" i="34"/>
  <c r="AA38" i="34"/>
  <c r="D112" i="34"/>
  <c r="E112" i="34"/>
  <c r="F112" i="34"/>
  <c r="G112" i="34"/>
  <c r="F40" i="33"/>
  <c r="J41" i="33"/>
  <c r="AC41" i="33"/>
  <c r="D113" i="33"/>
  <c r="F37" i="33"/>
  <c r="AA37" i="33"/>
  <c r="D111" i="33"/>
  <c r="E111" i="33"/>
  <c r="F111" i="33"/>
  <c r="G111" i="33"/>
  <c r="H111" i="33"/>
  <c r="I111" i="33"/>
  <c r="J111" i="33"/>
  <c r="K111" i="33"/>
  <c r="L111" i="33"/>
  <c r="M111" i="33"/>
  <c r="S519"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H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W43" i="34"/>
  <c r="D118" i="34"/>
  <c r="E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W27" i="34"/>
  <c r="D88" i="34"/>
  <c r="E88" i="34"/>
  <c r="F88" i="34"/>
  <c r="G88" i="34"/>
  <c r="H88" i="34"/>
  <c r="I88" i="34"/>
  <c r="J88" i="34"/>
  <c r="K88" i="34"/>
  <c r="L88" i="34"/>
  <c r="M88" i="34"/>
  <c r="D86" i="34"/>
  <c r="E86" i="34"/>
  <c r="D82" i="34"/>
  <c r="E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Q39" i="34"/>
  <c r="Z39" i="34"/>
  <c r="J39" i="34"/>
  <c r="AC39" i="34"/>
  <c r="H39" i="34"/>
  <c r="U39" i="34"/>
  <c r="F39" i="34"/>
  <c r="AA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D85" i="21"/>
  <c r="E85" i="21"/>
  <c r="D81" i="21"/>
  <c r="E81" i="21"/>
  <c r="F81" i="21"/>
  <c r="G81" i="21"/>
  <c r="D77" i="21"/>
  <c r="E77" i="21"/>
  <c r="F77" i="21"/>
  <c r="G77" i="21"/>
  <c r="B130" i="21"/>
  <c r="B128" i="21"/>
  <c r="B126" i="21"/>
  <c r="B98" i="21"/>
  <c r="B96" i="21"/>
  <c r="B94" i="21"/>
  <c r="B92" i="21"/>
  <c r="B90" i="21"/>
  <c r="B74" i="21"/>
  <c r="B72"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I5" i="3"/>
  <c r="BJ13" i="3"/>
  <c r="BK13" i="3"/>
  <c r="BM13" i="3"/>
  <c r="BN13" i="3"/>
  <c r="BO13" i="3"/>
  <c r="BP13" i="3"/>
  <c r="BS13" i="3"/>
  <c r="BT13" i="3"/>
  <c r="BB570" i="3"/>
  <c r="BC570" i="3"/>
  <c r="BD570" i="3"/>
  <c r="BE570" i="3"/>
  <c r="BA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39" i="21"/>
  <c r="AB39" i="21"/>
  <c r="J34" i="21"/>
  <c r="W34" i="21"/>
  <c r="H36" i="21"/>
  <c r="U36" i="21"/>
  <c r="F35" i="21"/>
  <c r="AA35" i="21"/>
  <c r="H26" i="21"/>
  <c r="F19" i="21"/>
  <c r="AA19" i="21"/>
  <c r="H19" i="21"/>
  <c r="AB19" i="21"/>
  <c r="J19" i="21"/>
  <c r="W19" i="21"/>
  <c r="J12" i="21"/>
  <c r="H12" i="21"/>
  <c r="U12" i="21"/>
  <c r="J26" i="21"/>
  <c r="W26" i="21"/>
  <c r="F26" i="21"/>
  <c r="AA26" i="21"/>
  <c r="AB41" i="21"/>
  <c r="AA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W33" i="33"/>
  <c r="U38" i="33"/>
  <c r="W8" i="21"/>
  <c r="H39" i="37"/>
  <c r="AB39" i="37"/>
  <c r="AB27" i="35"/>
  <c r="S10" i="40"/>
  <c r="W10" i="40"/>
  <c r="S11" i="40"/>
  <c r="U11" i="40"/>
  <c r="S36" i="40"/>
  <c r="U36" i="40"/>
  <c r="AC35" i="21"/>
  <c r="C29" i="39"/>
  <c r="C23" i="39"/>
  <c r="S42" i="39"/>
  <c r="H32" i="33"/>
  <c r="AB32" i="33"/>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AB43" i="34"/>
  <c r="E114" i="34"/>
  <c r="H36" i="34"/>
  <c r="U36" i="34"/>
  <c r="F33" i="34"/>
  <c r="S33" i="34"/>
  <c r="J10" i="34"/>
  <c r="AC10" i="34"/>
  <c r="U9" i="34"/>
  <c r="W8" i="34"/>
  <c r="S38" i="33"/>
  <c r="E113" i="33"/>
  <c r="F36" i="33"/>
  <c r="S36" i="33"/>
  <c r="F19" i="33"/>
  <c r="S19" i="33"/>
  <c r="J19" i="33"/>
  <c r="W40" i="33"/>
  <c r="AB30" i="36"/>
  <c r="AC34" i="36"/>
  <c r="S22" i="35"/>
  <c r="H29" i="35"/>
  <c r="U34" i="37"/>
  <c r="S34" i="37"/>
  <c r="AA34" i="37"/>
  <c r="AB42" i="34"/>
  <c r="W36" i="34"/>
  <c r="F113" i="33"/>
  <c r="G113" i="33"/>
  <c r="H113" i="33"/>
  <c r="I113" i="33"/>
  <c r="J113" i="33"/>
  <c r="K113" i="33"/>
  <c r="L113" i="33"/>
  <c r="M113" i="33"/>
  <c r="H37" i="33"/>
  <c r="AB37" i="33"/>
  <c r="S37" i="33"/>
  <c r="AC42" i="34"/>
  <c r="W42" i="34"/>
  <c r="AA42" i="34"/>
  <c r="AC38" i="34"/>
  <c r="W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U46" i="21"/>
  <c r="AC30" i="21"/>
  <c r="W30" i="21"/>
  <c r="AB30" i="21"/>
  <c r="S28" i="21"/>
  <c r="AA28" i="21"/>
  <c r="AB14" i="21"/>
  <c r="W14" i="21"/>
  <c r="AC14" i="21"/>
  <c r="S46" i="33"/>
  <c r="U36" i="37"/>
  <c r="AC13" i="36"/>
  <c r="AB45" i="33"/>
  <c r="AB31"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1" i="31"/>
  <c r="O27" i="31"/>
  <c r="O28" i="31"/>
  <c r="O26" i="31"/>
  <c r="M27" i="31"/>
  <c r="M28" i="31"/>
  <c r="M26" i="31"/>
  <c r="I26" i="31"/>
  <c r="I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J16" i="35"/>
  <c r="W16" i="35"/>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W9" i="21"/>
  <c r="J32" i="21"/>
  <c r="AC32" i="21"/>
  <c r="G13" i="3"/>
  <c r="G5" i="3"/>
  <c r="B3" i="3"/>
  <c r="AO6" i="3"/>
  <c r="AC5" i="3"/>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E80" i="34"/>
  <c r="F80"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F43" i="39"/>
  <c r="AA43" i="39"/>
  <c r="H43" i="39"/>
  <c r="U43" i="39"/>
  <c r="J43" i="39"/>
  <c r="AC43" i="39"/>
  <c r="F99" i="37"/>
  <c r="AC27" i="37"/>
  <c r="U25" i="35"/>
  <c r="S45" i="34"/>
  <c r="U31" i="34"/>
  <c r="AC40" i="37"/>
  <c r="W40" i="37"/>
  <c r="W27" i="33"/>
  <c r="AC45" i="21"/>
  <c r="S28" i="33"/>
  <c r="S14" i="21"/>
  <c r="AA44" i="34"/>
  <c r="AB29" i="35"/>
  <c r="U29" i="35"/>
  <c r="AC19" i="33"/>
  <c r="W19" i="33"/>
  <c r="AC34" i="37"/>
  <c r="S35" i="37"/>
  <c r="AA35" i="37"/>
  <c r="AB10" i="35"/>
  <c r="AA32" i="21"/>
  <c r="BL571" i="3"/>
  <c r="BA571" i="3"/>
  <c r="AZ571" i="3"/>
  <c r="BL570" i="3"/>
  <c r="AZ570" i="3"/>
  <c r="BE5" i="3"/>
  <c r="F42" i="21"/>
  <c r="AA42" i="21"/>
  <c r="AB40" i="33"/>
  <c r="U40" i="33"/>
  <c r="AA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U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103"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C12" i="21"/>
  <c r="W12" i="21"/>
  <c r="S35" i="21"/>
  <c r="U8" i="21"/>
  <c r="AB8" i="21"/>
  <c r="S34" i="21"/>
  <c r="AC36" i="21"/>
  <c r="AB8" i="33"/>
  <c r="U8" i="33"/>
  <c r="E106" i="33"/>
  <c r="H34" i="33"/>
  <c r="U34" i="33"/>
  <c r="F34" i="33"/>
  <c r="S34" i="33"/>
  <c r="E121" i="33"/>
  <c r="F41" i="33"/>
  <c r="S41" i="33"/>
  <c r="AC34" i="34"/>
  <c r="W34" i="34"/>
  <c r="S39" i="34"/>
  <c r="E78" i="34"/>
  <c r="F15" i="34"/>
  <c r="AA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J16" i="39"/>
  <c r="AC16" i="39"/>
  <c r="E97" i="39"/>
  <c r="F23" i="39"/>
  <c r="AA23" i="39"/>
  <c r="F15" i="40"/>
  <c r="AA15" i="40"/>
  <c r="J15" i="40"/>
  <c r="H15" i="40"/>
  <c r="AB15" i="40"/>
  <c r="E92" i="40"/>
  <c r="F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AB38" i="39"/>
  <c r="J16" i="40"/>
  <c r="W16" i="40"/>
  <c r="J14" i="40"/>
  <c r="W14" i="40"/>
  <c r="H42" i="40"/>
  <c r="H40" i="40"/>
  <c r="U40" i="40"/>
  <c r="H34" i="40"/>
  <c r="U34" i="40"/>
  <c r="AZ391" i="3"/>
  <c r="AZ399" i="3"/>
  <c r="AZ403" i="3"/>
  <c r="AZ407" i="3"/>
  <c r="AZ415" i="3"/>
  <c r="AZ423" i="3"/>
  <c r="AZ431" i="3"/>
  <c r="AZ439" i="3"/>
  <c r="AZ454" i="3"/>
  <c r="B41" i="1"/>
  <c r="F27" i="4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66" i="9"/>
  <c r="P72" i="9"/>
  <c r="F72" i="9"/>
  <c r="AC14" i="40"/>
  <c r="W35" i="40"/>
  <c r="S33" i="40"/>
  <c r="AB32" i="40"/>
  <c r="AC47" i="39"/>
  <c r="S47" i="39"/>
  <c r="AC41" i="40"/>
  <c r="W41" i="40"/>
  <c r="U41" i="40"/>
  <c r="J23" i="40"/>
  <c r="AC23" i="40"/>
  <c r="G92" i="40"/>
  <c r="F23" i="40"/>
  <c r="S23" i="40"/>
  <c r="AC15" i="40"/>
  <c r="W15" i="40"/>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J29" i="39"/>
  <c r="AC29" i="39"/>
  <c r="AB33" i="36"/>
  <c r="AA11" i="36"/>
  <c r="AA14" i="35"/>
  <c r="S14" i="35"/>
  <c r="G99" i="37"/>
  <c r="F33" i="37"/>
  <c r="U46" i="34"/>
  <c r="AA14" i="34"/>
  <c r="W12" i="34"/>
  <c r="U29" i="33"/>
  <c r="AC13" i="33"/>
  <c r="W32" i="33"/>
  <c r="H15" i="33"/>
  <c r="U15" i="33"/>
  <c r="AA11" i="33"/>
  <c r="U16" i="40"/>
  <c r="W34" i="40"/>
  <c r="AB34" i="40"/>
  <c r="AB42" i="40"/>
  <c r="U42" i="40"/>
  <c r="AC16" i="40"/>
  <c r="W32" i="40"/>
  <c r="H25" i="40"/>
  <c r="AB25" i="40"/>
  <c r="F94" i="40"/>
  <c r="G94" i="40"/>
  <c r="U47" i="39"/>
  <c r="J37" i="34"/>
  <c r="AC37" i="34"/>
  <c r="J36" i="33"/>
  <c r="W36" i="33"/>
  <c r="S41" i="40"/>
  <c r="AB23" i="40"/>
  <c r="J23" i="39"/>
  <c r="AC23" i="39"/>
  <c r="AA41" i="33"/>
  <c r="AA34" i="33"/>
  <c r="F106" i="33"/>
  <c r="G106" i="33"/>
  <c r="H106" i="33"/>
  <c r="I106" i="33"/>
  <c r="J106" i="33"/>
  <c r="K106" i="33"/>
  <c r="L106" i="33"/>
  <c r="M106" i="33"/>
  <c r="J34" i="33"/>
  <c r="AC34" i="33"/>
  <c r="U30" i="40"/>
  <c r="AA37" i="39"/>
  <c r="W29" i="35"/>
  <c r="AC39" i="39"/>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J35" i="33"/>
  <c r="W35" i="33"/>
  <c r="S32" i="33"/>
  <c r="AC15" i="33"/>
  <c r="H11" i="33"/>
  <c r="U11" i="33"/>
  <c r="H10" i="33"/>
  <c r="U10" i="33"/>
  <c r="I66" i="33"/>
  <c r="J10" i="33"/>
  <c r="AC10" i="33"/>
  <c r="U11" i="37"/>
  <c r="AC16" i="35"/>
  <c r="AC13" i="40"/>
  <c r="J11" i="34"/>
  <c r="W11" i="34"/>
  <c r="AC36" i="33"/>
  <c r="F25" i="40"/>
  <c r="AA25" i="40"/>
  <c r="J11" i="33"/>
  <c r="W11" i="33"/>
  <c r="H33" i="37"/>
  <c r="AB33" i="37"/>
  <c r="U20" i="35"/>
  <c r="AB20" i="35"/>
  <c r="W23" i="40"/>
  <c r="D73" i="9"/>
  <c r="N73" i="9"/>
  <c r="AP11" i="1"/>
  <c r="B11" i="1"/>
  <c r="E11" i="1"/>
  <c r="K11" i="1"/>
  <c r="M11" i="1"/>
  <c r="B9" i="1"/>
  <c r="E9" i="1"/>
  <c r="K9" i="1"/>
  <c r="M9" i="1"/>
  <c r="B7" i="1"/>
  <c r="E7" i="1"/>
  <c r="K7" i="1"/>
  <c r="M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S32" i="34"/>
  <c r="AB33" i="34"/>
  <c r="AA12" i="34"/>
  <c r="AC32" i="34"/>
  <c r="U44" i="34"/>
  <c r="U34" i="34"/>
  <c r="J25" i="34"/>
  <c r="AC25" i="34"/>
  <c r="H25" i="34"/>
  <c r="U25" i="34"/>
  <c r="F25" i="34"/>
  <c r="AA25" i="34"/>
  <c r="U10" i="34"/>
  <c r="W44" i="34"/>
  <c r="W29" i="34"/>
  <c r="AC21" i="34"/>
  <c r="W21" i="34"/>
  <c r="AB21" i="34"/>
  <c r="U21"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43" i="21"/>
  <c r="W28" i="21"/>
  <c r="AC46" i="21"/>
  <c r="AC26" i="21"/>
  <c r="F15" i="21"/>
  <c r="S15" i="21"/>
  <c r="J15" i="21"/>
  <c r="W15" i="21"/>
  <c r="H15" i="21"/>
  <c r="U15" i="21"/>
  <c r="W13" i="21"/>
  <c r="AC21" i="21"/>
  <c r="W21" i="21"/>
  <c r="W44" i="21"/>
  <c r="AC19"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U11" i="39"/>
  <c r="U31" i="39"/>
  <c r="AB31" i="39"/>
  <c r="S38" i="39"/>
  <c r="M20" i="15"/>
  <c r="D96" i="9"/>
  <c r="F28" i="15"/>
  <c r="A18" i="64"/>
  <c r="B74" i="63"/>
  <c r="C53" i="10"/>
  <c r="A25" i="64"/>
  <c r="A18" i="51"/>
  <c r="B14" i="63"/>
  <c r="BA16" i="3"/>
  <c r="BA17" i="3"/>
  <c r="AZ17" i="3"/>
  <c r="F3" i="35"/>
  <c r="K1" i="43"/>
  <c r="K1" i="12"/>
  <c r="G1" i="44"/>
  <c r="I4" i="6"/>
  <c r="AZ15" i="3"/>
  <c r="BK5" i="3"/>
  <c r="BO5" i="3"/>
  <c r="BP5" i="3"/>
  <c r="BN5" i="3"/>
  <c r="BL18" i="3"/>
  <c r="AZ18" i="3"/>
  <c r="BC5" i="3"/>
  <c r="BD5" i="3"/>
  <c r="BR5" i="3"/>
  <c r="G28" i="6"/>
  <c r="BS5" i="3"/>
  <c r="BQ5" i="3"/>
  <c r="BL16" i="3"/>
  <c r="BL5" i="3"/>
  <c r="BM5" i="3"/>
  <c r="BA13" i="3"/>
  <c r="AZ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6" i="63"/>
  <c r="L5" i="54"/>
  <c r="B39" i="63"/>
  <c r="K5" i="54"/>
  <c r="B38" i="63"/>
  <c r="T41" i="4"/>
  <c r="A17" i="64"/>
  <c r="B46" i="50"/>
  <c r="B4" i="63"/>
  <c r="C46" i="36"/>
  <c r="D46" i="36"/>
  <c r="E46" i="36"/>
  <c r="F46" i="36"/>
  <c r="G46" i="36"/>
  <c r="H46" i="36"/>
  <c r="I46" i="36"/>
  <c r="C59" i="34"/>
  <c r="D59" i="34"/>
  <c r="E59" i="34"/>
  <c r="F59" i="34"/>
  <c r="G59" i="34"/>
  <c r="H59" i="34"/>
  <c r="I59" i="34"/>
  <c r="J59" i="34"/>
  <c r="C48" i="35"/>
  <c r="D48" i="35"/>
  <c r="C52" i="37"/>
  <c r="D52" i="37"/>
  <c r="E52" i="37"/>
  <c r="F7" i="33"/>
  <c r="AA7" i="33"/>
  <c r="J7" i="33"/>
  <c r="C67" i="40"/>
  <c r="D65" i="40"/>
  <c r="H7" i="33"/>
  <c r="AB7" i="33"/>
  <c r="O19" i="46"/>
  <c r="H73"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O9" i="1"/>
  <c r="O11" i="1"/>
  <c r="G1" i="15"/>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47" i="34"/>
  <c r="AB13" i="34"/>
  <c r="AC13" i="34"/>
  <c r="S47"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W31" i="39"/>
  <c r="S45" i="39"/>
  <c r="AB43" i="39"/>
  <c r="AC46" i="39"/>
  <c r="W42" i="39"/>
  <c r="AC37" i="39"/>
  <c r="W16" i="39"/>
  <c r="W25" i="39"/>
  <c r="W45" i="39"/>
  <c r="AA46" i="39"/>
  <c r="W10" i="39"/>
  <c r="U42" i="39"/>
  <c r="S32" i="40"/>
  <c r="C27" i="39"/>
  <c r="C17" i="40"/>
  <c r="C19" i="40"/>
  <c r="C17" i="39"/>
  <c r="C19" i="39"/>
  <c r="C21" i="39"/>
  <c r="C23" i="40"/>
  <c r="B48" i="46"/>
  <c r="B51" i="46"/>
  <c r="B55" i="46"/>
  <c r="B59" i="46"/>
  <c r="B62" i="46"/>
  <c r="B66" i="46"/>
  <c r="B53" i="46"/>
  <c r="B64" i="46"/>
  <c r="D24" i="15"/>
  <c r="G6" i="1"/>
  <c r="F29" i="6"/>
  <c r="F28" i="6"/>
  <c r="F30" i="6"/>
  <c r="S14" i="36"/>
  <c r="AB20" i="36"/>
  <c r="AA20" i="36"/>
  <c r="AC14" i="36"/>
  <c r="W14" i="36"/>
  <c r="U14" i="36"/>
  <c r="AB14" i="36"/>
  <c r="AA26" i="35"/>
  <c r="S26" i="35"/>
  <c r="U26" i="35"/>
  <c r="AB26" i="35"/>
  <c r="W26" i="35"/>
  <c r="AC26" i="35"/>
  <c r="S19" i="37"/>
  <c r="W19" i="37"/>
  <c r="AB19" i="37"/>
  <c r="U19" i="37"/>
  <c r="AC17" i="37"/>
  <c r="W17" i="37"/>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35" i="3"/>
  <c r="A17" i="51"/>
  <c r="B13" i="63"/>
  <c r="AN6" i="3"/>
  <c r="E59" i="3"/>
  <c r="E464" i="3"/>
  <c r="E209" i="3"/>
  <c r="E450" i="3"/>
  <c r="E5" i="6"/>
  <c r="D12" i="11"/>
  <c r="C12" i="11"/>
  <c r="E186" i="3"/>
  <c r="E263" i="3"/>
  <c r="E82" i="3"/>
  <c r="E99" i="3"/>
  <c r="E101" i="3"/>
  <c r="E32" i="3"/>
  <c r="E447" i="3"/>
  <c r="Q6" i="3"/>
  <c r="E500" i="3"/>
  <c r="AE6" i="3"/>
  <c r="E113" i="3"/>
  <c r="E257" i="3"/>
  <c r="O6" i="3"/>
  <c r="E291" i="3"/>
  <c r="E527" i="3"/>
  <c r="E365" i="3"/>
  <c r="E248" i="3"/>
  <c r="E336" i="3"/>
  <c r="AR6" i="3"/>
  <c r="E65" i="3"/>
  <c r="E513" i="3"/>
  <c r="E345" i="3"/>
  <c r="E72" i="3"/>
  <c r="E440" i="3"/>
  <c r="E331" i="3"/>
  <c r="E362" i="3"/>
  <c r="E150" i="3"/>
  <c r="E314" i="3"/>
  <c r="E502" i="3"/>
  <c r="E489" i="3"/>
  <c r="E286" i="3"/>
  <c r="E183" i="3"/>
  <c r="E320" i="3"/>
  <c r="E45" i="3"/>
  <c r="E284" i="3"/>
  <c r="E42"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BA5" i="3"/>
  <c r="G29" i="6"/>
  <c r="E29" i="6"/>
  <c r="K15" i="1"/>
  <c r="AZ16" i="3"/>
  <c r="E14" i="6"/>
  <c r="E66" i="39"/>
  <c r="E15" i="6"/>
  <c r="E62" i="40"/>
  <c r="E11" i="6"/>
  <c r="E63" i="39"/>
  <c r="H70" i="46"/>
  <c r="H72" i="46"/>
  <c r="A9" i="64"/>
  <c r="A9" i="51"/>
  <c r="B9" i="63"/>
  <c r="A25" i="51"/>
  <c r="B18" i="63"/>
  <c r="A3" i="55"/>
  <c r="B56" i="63"/>
  <c r="F52" i="37"/>
  <c r="G52" i="37"/>
  <c r="H52" i="37"/>
  <c r="E48" i="35"/>
  <c r="F48" i="35"/>
  <c r="G48" i="35"/>
  <c r="W7" i="33"/>
  <c r="AC7" i="33"/>
  <c r="V48" i="33"/>
  <c r="I48" i="33"/>
  <c r="I52" i="33"/>
  <c r="J52" i="33"/>
  <c r="U7" i="33"/>
  <c r="T48" i="33"/>
  <c r="G48" i="33"/>
  <c r="D67" i="40"/>
  <c r="E65" i="40"/>
  <c r="S7" i="33"/>
  <c r="R48" i="33"/>
  <c r="G66" i="36"/>
  <c r="J18" i="36"/>
  <c r="W18" i="36"/>
  <c r="AE8" i="1"/>
  <c r="AC18" i="36"/>
  <c r="AG6" i="1"/>
  <c r="L20" i="6"/>
  <c r="L19" i="6"/>
  <c r="E61" i="40"/>
  <c r="G52" i="33"/>
  <c r="H52" i="33"/>
  <c r="E67" i="40"/>
  <c r="F65" i="40"/>
  <c r="F67" i="40"/>
  <c r="G65" i="40"/>
  <c r="H65" i="40"/>
  <c r="G67" i="40"/>
  <c r="C45" i="9"/>
  <c r="H14" i="66"/>
  <c r="B7" i="66"/>
  <c r="C44" i="9"/>
  <c r="G14" i="66"/>
  <c r="B6" i="66"/>
  <c r="O40" i="9"/>
  <c r="K31" i="9"/>
  <c r="K32" i="9"/>
  <c r="R7" i="54"/>
  <c r="B52" i="63"/>
  <c r="O39" i="9"/>
  <c r="K29" i="9"/>
  <c r="K30" i="9"/>
  <c r="R6" i="54"/>
  <c r="B50" i="63"/>
  <c r="N76" i="9"/>
  <c r="C46" i="9"/>
  <c r="K33" i="9"/>
  <c r="K34" i="9"/>
  <c r="O41" i="9"/>
  <c r="I14" i="66"/>
  <c r="B8" i="66"/>
  <c r="R8" i="54"/>
  <c r="B54" i="63"/>
  <c r="F43" i="74"/>
  <c r="M31" i="44"/>
  <c r="F7" i="74"/>
  <c r="M6" i="15"/>
  <c r="I3" i="65"/>
  <c r="F37" i="15"/>
  <c r="F36" i="15"/>
  <c r="F40" i="74"/>
  <c r="F16" i="74"/>
  <c r="M23" i="74"/>
  <c r="M6" i="74"/>
  <c r="N7" i="65"/>
  <c r="B10" i="67"/>
  <c r="M29" i="44"/>
  <c r="M9" i="15"/>
  <c r="L48" i="15"/>
  <c r="J15" i="74"/>
  <c r="J3" i="65"/>
  <c r="I5" i="65"/>
  <c r="F9" i="74"/>
  <c r="F7" i="15"/>
  <c r="F43" i="15"/>
  <c r="M28" i="15"/>
  <c r="E10" i="67"/>
  <c r="F39" i="44"/>
  <c r="F40" i="44"/>
  <c r="F9" i="44"/>
  <c r="F40" i="15"/>
  <c r="C16" i="75"/>
  <c r="B11" i="67"/>
  <c r="L48" i="74"/>
  <c r="M24" i="44"/>
  <c r="F42" i="15"/>
  <c r="M27" i="74"/>
  <c r="L47" i="15"/>
  <c r="M24" i="74"/>
  <c r="I4" i="65"/>
  <c r="F43" i="44"/>
  <c r="M26" i="15"/>
  <c r="J5" i="65"/>
  <c r="F9" i="15"/>
  <c r="N3" i="65"/>
  <c r="M8" i="74"/>
  <c r="B9" i="67"/>
  <c r="M24" i="15"/>
  <c r="B13" i="67"/>
  <c r="M23" i="15"/>
  <c r="M26" i="74"/>
  <c r="F10" i="44"/>
  <c r="F14" i="67"/>
  <c r="F8" i="67"/>
  <c r="B8" i="67"/>
  <c r="M28" i="74"/>
  <c r="F38" i="15"/>
  <c r="M30" i="44"/>
  <c r="I6" i="65"/>
  <c r="E11" i="67"/>
  <c r="J36" i="74"/>
  <c r="F10" i="67"/>
  <c r="J4" i="65"/>
  <c r="F11" i="44"/>
  <c r="F15" i="44"/>
  <c r="E12" i="67"/>
  <c r="M25" i="44"/>
  <c r="F13" i="67"/>
  <c r="I7" i="65"/>
  <c r="E14" i="67"/>
  <c r="J7" i="65"/>
  <c r="L47" i="74"/>
  <c r="F38" i="44"/>
  <c r="N5" i="65"/>
  <c r="N6" i="65"/>
  <c r="L48" i="44"/>
  <c r="M11" i="44"/>
  <c r="F16" i="15"/>
  <c r="M22" i="74"/>
  <c r="F6" i="74"/>
  <c r="F26" i="74"/>
  <c r="E13" i="67"/>
  <c r="F12" i="67"/>
  <c r="F13" i="15"/>
  <c r="M29" i="15"/>
  <c r="F13" i="74"/>
  <c r="E9" i="67"/>
  <c r="F6" i="15"/>
  <c r="F8" i="44"/>
  <c r="B12" i="67"/>
  <c r="AE7" i="1"/>
  <c r="M28" i="44"/>
  <c r="M26" i="44"/>
  <c r="B14" i="67"/>
  <c r="F26" i="15"/>
  <c r="J6" i="65"/>
  <c r="J17" i="44"/>
  <c r="F45" i="44"/>
  <c r="M10" i="44"/>
  <c r="F38" i="74"/>
  <c r="L49" i="44"/>
  <c r="F9" i="67"/>
  <c r="M29" i="74"/>
  <c r="M27" i="15"/>
  <c r="J15" i="15"/>
  <c r="F28" i="44"/>
  <c r="E8" i="67"/>
  <c r="F42" i="74"/>
  <c r="F11" i="67"/>
  <c r="M22" i="15"/>
  <c r="N4" i="65"/>
  <c r="F18" i="44"/>
  <c r="F37" i="74"/>
  <c r="M9" i="74"/>
  <c r="M8" i="44"/>
  <c r="M8" i="15"/>
  <c r="F8" i="74"/>
  <c r="J36" i="15"/>
  <c r="F8" i="15"/>
  <c r="F36" i="74"/>
  <c r="AB15" i="39"/>
  <c r="S15" i="39"/>
  <c r="W15" i="39"/>
  <c r="J19" i="39"/>
  <c r="W19" i="39"/>
  <c r="U16" i="39"/>
  <c r="AB16" i="39"/>
  <c r="S16" i="39"/>
  <c r="G103" i="39"/>
  <c r="H29" i="39"/>
  <c r="U29" i="39"/>
  <c r="H19" i="39"/>
  <c r="F50" i="74"/>
  <c r="L59" i="74"/>
  <c r="L58" i="74"/>
  <c r="F64" i="74"/>
  <c r="F67" i="74"/>
  <c r="C27" i="74"/>
  <c r="Q72" i="74"/>
  <c r="F65" i="74"/>
  <c r="L60" i="74"/>
  <c r="L57" i="74"/>
  <c r="I54" i="74"/>
  <c r="J53" i="74"/>
  <c r="L56" i="74"/>
  <c r="J57" i="74"/>
  <c r="J55" i="74"/>
  <c r="J58" i="74"/>
  <c r="Q51" i="74"/>
  <c r="F63" i="74"/>
  <c r="M7" i="74"/>
  <c r="J6" i="74"/>
  <c r="F49" i="74"/>
  <c r="C48" i="74"/>
  <c r="C6" i="74"/>
  <c r="F70" i="74"/>
  <c r="M6" i="1"/>
  <c r="O6" i="1"/>
  <c r="P6" i="1"/>
  <c r="P75" i="15"/>
  <c r="U30" i="34"/>
  <c r="AC30" i="34"/>
  <c r="W25" i="34"/>
  <c r="AB25" i="34"/>
  <c r="AC43" i="34"/>
  <c r="F86" i="34"/>
  <c r="G86" i="34"/>
  <c r="H23" i="34"/>
  <c r="J23" i="34"/>
  <c r="F23" i="34"/>
  <c r="AA23" i="34"/>
  <c r="F82" i="34"/>
  <c r="G82" i="34"/>
  <c r="J19" i="34"/>
  <c r="AC19" i="34"/>
  <c r="F19" i="34"/>
  <c r="AA19" i="34"/>
  <c r="H19" i="34"/>
  <c r="AB19" i="34"/>
  <c r="U17" i="34"/>
  <c r="U15" i="34"/>
  <c r="S43" i="34"/>
  <c r="AB29" i="34"/>
  <c r="AA29" i="34"/>
  <c r="S21" i="34"/>
  <c r="S17" i="34"/>
  <c r="S25" i="34"/>
  <c r="U28" i="34"/>
  <c r="AA30" i="34"/>
  <c r="J28" i="34"/>
  <c r="F118" i="34"/>
  <c r="G118" i="34"/>
  <c r="F40" i="34"/>
  <c r="S40" i="34"/>
  <c r="H40" i="34"/>
  <c r="AC35" i="34"/>
  <c r="W37" i="34"/>
  <c r="H112" i="34"/>
  <c r="I112" i="34"/>
  <c r="J112" i="34"/>
  <c r="K112" i="34"/>
  <c r="L112" i="34"/>
  <c r="M112" i="34"/>
  <c r="F37" i="34"/>
  <c r="H37" i="34"/>
  <c r="AB38" i="34"/>
  <c r="F70" i="34"/>
  <c r="G70" i="34"/>
  <c r="H70" i="34"/>
  <c r="F11" i="34"/>
  <c r="S11" i="34"/>
  <c r="AC11" i="34"/>
  <c r="S10" i="34"/>
  <c r="AA36" i="34"/>
  <c r="U43" i="34"/>
  <c r="AC40" i="34"/>
  <c r="AB36" i="34"/>
  <c r="AA33" i="34"/>
  <c r="W33" i="34"/>
  <c r="AA27" i="34"/>
  <c r="U27" i="34"/>
  <c r="S23" i="34"/>
  <c r="S19" i="34"/>
  <c r="W19" i="34"/>
  <c r="W17" i="34"/>
  <c r="S15" i="34"/>
  <c r="W15" i="34"/>
  <c r="W10" i="34"/>
  <c r="F29" i="39"/>
  <c r="AA29" i="39"/>
  <c r="AC19" i="39"/>
  <c r="AA21" i="39"/>
  <c r="F97" i="39"/>
  <c r="G97" i="39"/>
  <c r="H23" i="39"/>
  <c r="AB23" i="39"/>
  <c r="W11" i="39"/>
  <c r="E8" i="6"/>
  <c r="E58" i="39"/>
  <c r="L27" i="6"/>
  <c r="E13" i="6"/>
  <c r="E10" i="6"/>
  <c r="E12" i="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360" i="3"/>
  <c r="E373" i="3"/>
  <c r="E392" i="3"/>
  <c r="E216" i="3"/>
  <c r="E396" i="3"/>
  <c r="E325" i="3"/>
  <c r="E334" i="3"/>
  <c r="E324" i="3"/>
  <c r="E228" i="3"/>
  <c r="E559" i="3"/>
  <c r="E40" i="3"/>
  <c r="AF6" i="3"/>
  <c r="E290" i="3"/>
  <c r="E281" i="3"/>
  <c r="E198" i="3"/>
  <c r="E51" i="3"/>
  <c r="E466" i="3"/>
  <c r="Y6" i="3"/>
  <c r="E211" i="3"/>
  <c r="E126" i="3"/>
  <c r="E73" i="3"/>
  <c r="E305" i="3"/>
  <c r="E204" i="3"/>
  <c r="E166" i="3"/>
  <c r="E425" i="3"/>
  <c r="E289" i="3"/>
  <c r="E97" i="3"/>
  <c r="E119" i="3"/>
  <c r="E33" i="3"/>
  <c r="E547" i="3"/>
  <c r="E274" i="3"/>
  <c r="E262" i="3"/>
  <c r="E164" i="3"/>
  <c r="E424" i="3"/>
  <c r="E311" i="3"/>
  <c r="E492" i="3"/>
  <c r="E53" i="40"/>
  <c r="E161" i="3"/>
  <c r="E157" i="3"/>
  <c r="E270" i="3"/>
  <c r="E280" i="3"/>
  <c r="E283" i="3"/>
  <c r="E2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L16" i="4"/>
  <c r="N16" i="4"/>
  <c r="K17" i="4"/>
  <c r="A22" i="51"/>
  <c r="B16" i="63"/>
  <c r="E476" i="3"/>
  <c r="C33" i="21"/>
  <c r="G3" i="46"/>
  <c r="G22" i="46"/>
  <c r="I7" i="6"/>
  <c r="AB44" i="21"/>
  <c r="S44" i="21"/>
  <c r="W23" i="39"/>
  <c r="W34" i="39"/>
  <c r="AA44" i="39"/>
  <c r="C18" i="9"/>
  <c r="AB33" i="39"/>
  <c r="AB25" i="39"/>
  <c r="AB17" i="39"/>
  <c r="U41" i="39"/>
  <c r="AA40" i="21"/>
  <c r="H113" i="21"/>
  <c r="J37" i="21"/>
  <c r="F37" i="21"/>
  <c r="H37" i="21"/>
  <c r="F66" i="21"/>
  <c r="G66" i="21"/>
  <c r="H66" i="21"/>
  <c r="I66" i="21"/>
  <c r="F10" i="21"/>
  <c r="H10" i="21"/>
  <c r="J10" i="21"/>
  <c r="AC10" i="21"/>
  <c r="U35" i="21"/>
  <c r="AC40" i="21"/>
  <c r="AC38" i="21"/>
  <c r="AA38" i="21"/>
  <c r="AA36" i="21"/>
  <c r="AB32" i="21"/>
  <c r="U42" i="21"/>
  <c r="W42" i="21"/>
  <c r="S42" i="21"/>
  <c r="U40" i="21"/>
  <c r="U39" i="21"/>
  <c r="S39" i="21"/>
  <c r="U38" i="21"/>
  <c r="AB36" i="21"/>
  <c r="AB34" i="21"/>
  <c r="W32" i="21"/>
  <c r="F85" i="21"/>
  <c r="G85" i="21"/>
  <c r="J23" i="21"/>
  <c r="F23" i="21"/>
  <c r="S23" i="21"/>
  <c r="H23" i="21"/>
  <c r="AA23" i="21"/>
  <c r="S21" i="21"/>
  <c r="U19" i="21"/>
  <c r="S19" i="21"/>
  <c r="W17" i="21"/>
  <c r="U17" i="21"/>
  <c r="F79" i="21"/>
  <c r="G79" i="21"/>
  <c r="F17" i="21"/>
  <c r="S17" i="21"/>
  <c r="U9" i="21"/>
  <c r="AA9" i="21"/>
  <c r="S8" i="21"/>
  <c r="W10" i="21"/>
  <c r="AC15" i="21"/>
  <c r="AB15" i="21"/>
  <c r="AA15" i="21"/>
  <c r="C16" i="46"/>
  <c r="C5" i="46"/>
  <c r="S41" i="39"/>
  <c r="J36" i="39"/>
  <c r="AC36" i="39"/>
  <c r="F36" i="39"/>
  <c r="AA36" i="39"/>
  <c r="H36" i="39"/>
  <c r="AB36" i="39"/>
  <c r="S34" i="39"/>
  <c r="AA33" i="39"/>
  <c r="E14" i="52"/>
  <c r="S36" i="39"/>
  <c r="U34" i="39"/>
  <c r="AC33" i="39"/>
  <c r="W29" i="39"/>
  <c r="F101" i="39"/>
  <c r="G101" i="39"/>
  <c r="H27" i="39"/>
  <c r="F27" i="39"/>
  <c r="J27" i="39"/>
  <c r="AC27" i="39"/>
  <c r="S25" i="39"/>
  <c r="S23" i="39"/>
  <c r="S17" i="39"/>
  <c r="U14" i="39"/>
  <c r="W14" i="39"/>
  <c r="U38" i="39"/>
  <c r="AC31" i="39"/>
  <c r="S31" i="39"/>
  <c r="W27" i="39"/>
  <c r="S14" i="39"/>
  <c r="AC21" i="39"/>
  <c r="AB21" i="39"/>
  <c r="AA19" i="39"/>
  <c r="AC17" i="39"/>
  <c r="W43" i="39"/>
  <c r="W41" i="39"/>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F27" i="6"/>
  <c r="F31" i="6"/>
  <c r="E296" i="3"/>
  <c r="E94" i="3"/>
  <c r="E158" i="3"/>
  <c r="E104" i="3"/>
  <c r="E390" i="3"/>
  <c r="E278" i="3"/>
  <c r="E337" i="3"/>
  <c r="E193" i="3"/>
  <c r="E78" i="3"/>
  <c r="E427" i="3"/>
  <c r="AM6" i="3"/>
  <c r="E49" i="3"/>
  <c r="E194" i="3"/>
  <c r="E381" i="3"/>
  <c r="E265" i="3"/>
  <c r="E156" i="3"/>
  <c r="E443" i="3"/>
  <c r="E250" i="3"/>
  <c r="E395" i="3"/>
  <c r="E411" i="3"/>
  <c r="M18" i="15"/>
  <c r="F31" i="43"/>
  <c r="D86" i="9"/>
  <c r="F29" i="12"/>
  <c r="F32" i="15"/>
  <c r="F59" i="15"/>
  <c r="F71" i="9"/>
  <c r="Q16" i="1"/>
  <c r="F24" i="43"/>
  <c r="C26" i="43"/>
  <c r="D24" i="43"/>
  <c r="E58" i="40"/>
  <c r="D21" i="12"/>
  <c r="C21" i="12"/>
  <c r="G16" i="1"/>
  <c r="H12" i="39"/>
  <c r="AB12" i="39"/>
  <c r="E67" i="39"/>
  <c r="H16" i="1"/>
  <c r="D58" i="21"/>
  <c r="E58" i="21"/>
  <c r="F58" i="21"/>
  <c r="G58" i="21"/>
  <c r="H58" i="21"/>
  <c r="I58" i="21"/>
  <c r="J58" i="21"/>
  <c r="K58" i="21"/>
  <c r="L58" i="21"/>
  <c r="M58" i="21"/>
  <c r="N58" i="21"/>
  <c r="O58" i="21"/>
  <c r="H7" i="21"/>
  <c r="C72" i="39"/>
  <c r="D70" i="39"/>
  <c r="C25" i="12"/>
  <c r="C15" i="43"/>
  <c r="C15" i="12"/>
  <c r="C27" i="43"/>
  <c r="C31" i="43"/>
  <c r="C28" i="15"/>
  <c r="AP16" i="1"/>
  <c r="F22" i="11"/>
  <c r="C30" i="44"/>
  <c r="I65" i="40"/>
  <c r="H67" i="40"/>
  <c r="J46" i="36"/>
  <c r="K46" i="36"/>
  <c r="L46" i="36"/>
  <c r="M46" i="36"/>
  <c r="N46" i="36"/>
  <c r="O46" i="36"/>
  <c r="J7" i="36"/>
  <c r="H48" i="35"/>
  <c r="I48" i="35"/>
  <c r="J48" i="35"/>
  <c r="K48" i="35"/>
  <c r="L48" i="35"/>
  <c r="M48" i="35"/>
  <c r="N48" i="35"/>
  <c r="O48" i="35"/>
  <c r="J7" i="35"/>
  <c r="H7" i="35"/>
  <c r="K59" i="34"/>
  <c r="L59" i="34"/>
  <c r="M59" i="34"/>
  <c r="N59" i="34"/>
  <c r="O59" i="34"/>
  <c r="J7" i="34"/>
  <c r="I52" i="37"/>
  <c r="J52" i="37"/>
  <c r="K52" i="37"/>
  <c r="L52" i="37"/>
  <c r="M52" i="37"/>
  <c r="N52" i="37"/>
  <c r="O52" i="37"/>
  <c r="F7" i="37"/>
  <c r="H7" i="37"/>
  <c r="F18" i="11"/>
  <c r="C18" i="11"/>
  <c r="F7" i="36"/>
  <c r="G30" i="6"/>
  <c r="G31" i="6"/>
  <c r="E28" i="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C11" i="21"/>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I11" i="46"/>
  <c r="AI13" i="46"/>
  <c r="AA11" i="46"/>
  <c r="AA13" i="46"/>
  <c r="C23" i="46"/>
  <c r="C21" i="46"/>
  <c r="AH11" i="46"/>
  <c r="AD11" i="46"/>
  <c r="Z11" i="46"/>
  <c r="Z13" i="46"/>
  <c r="F101" i="46"/>
  <c r="N101" i="46"/>
  <c r="K101" i="46"/>
  <c r="Z7" i="46"/>
  <c r="E101" i="46"/>
  <c r="F22" i="46"/>
  <c r="L101" i="46"/>
  <c r="N104" i="45"/>
  <c r="B113" i="46"/>
  <c r="J101" i="46"/>
  <c r="G101" i="46"/>
  <c r="C101" i="46"/>
  <c r="J22" i="46"/>
  <c r="H22" i="46"/>
  <c r="AB11" i="46"/>
  <c r="AB13" i="46"/>
  <c r="O7" i="1"/>
  <c r="P7" i="1"/>
  <c r="P9" i="1"/>
  <c r="P11" i="1"/>
  <c r="N69" i="9"/>
  <c r="G53" i="33"/>
  <c r="H53" i="33"/>
  <c r="R49" i="33"/>
  <c r="E48" i="33"/>
  <c r="H7" i="36"/>
  <c r="H7" i="34"/>
  <c r="J12" i="39"/>
  <c r="U18" i="36"/>
  <c r="D5" i="46"/>
  <c r="AZ520" i="3"/>
  <c r="J7" i="37"/>
  <c r="F7" i="35"/>
  <c r="F7" i="34"/>
  <c r="H69" i="46"/>
  <c r="H77" i="46"/>
  <c r="H76" i="46"/>
  <c r="U25" i="33"/>
  <c r="H47" i="46"/>
  <c r="AC39" i="37"/>
  <c r="W39" i="37"/>
  <c r="AZ392" i="3"/>
  <c r="AZ397" i="3"/>
  <c r="AZ408" i="3"/>
  <c r="AZ413" i="3"/>
  <c r="AZ424" i="3"/>
  <c r="S10" i="35"/>
  <c r="AC41" i="34"/>
  <c r="S45" i="21"/>
  <c r="AA27" i="33"/>
  <c r="W31" i="34"/>
  <c r="AB13" i="21"/>
  <c r="AB40" i="37"/>
  <c r="W46" i="33"/>
  <c r="W35" i="35"/>
  <c r="S28" i="34"/>
  <c r="AA28" i="34"/>
  <c r="W24" i="36"/>
  <c r="AC24" i="36"/>
  <c r="AZ432" i="3"/>
  <c r="F9" i="33"/>
  <c r="H9" i="33"/>
  <c r="F9" i="36"/>
  <c r="H9" i="36"/>
  <c r="H24" i="36"/>
  <c r="A30" i="51"/>
  <c r="B22" i="63"/>
  <c r="A30" i="64"/>
  <c r="AZ451" i="3"/>
  <c r="AZ457" i="3"/>
  <c r="AZ470" i="3"/>
  <c r="AZ473" i="3"/>
  <c r="AZ318" i="3"/>
  <c r="AZ334" i="3"/>
  <c r="AZ350" i="3"/>
  <c r="AZ208" i="3"/>
  <c r="AZ211" i="3"/>
  <c r="AZ219" i="3"/>
  <c r="AZ235" i="3"/>
  <c r="AZ248" i="3"/>
  <c r="AZ251" i="3"/>
  <c r="AZ264" i="3"/>
  <c r="AZ267" i="3"/>
  <c r="AZ271" i="3"/>
  <c r="AZ283" i="3"/>
  <c r="AZ287" i="3"/>
  <c r="AZ156" i="3"/>
  <c r="AZ159" i="3"/>
  <c r="AZ172" i="3"/>
  <c r="AZ175" i="3"/>
  <c r="AZ202" i="3"/>
  <c r="AZ21" i="3"/>
  <c r="AZ28" i="3"/>
  <c r="AZ34" i="3"/>
  <c r="AZ37" i="3"/>
  <c r="AZ44" i="3"/>
  <c r="AZ50" i="3"/>
  <c r="AZ53" i="3"/>
  <c r="AZ60" i="3"/>
  <c r="AZ72" i="3"/>
  <c r="AZ76" i="3"/>
  <c r="AZ80" i="3"/>
  <c r="AZ83" i="3"/>
  <c r="AZ96" i="3"/>
  <c r="AZ100" i="3"/>
  <c r="AZ103" i="3"/>
  <c r="AZ105" i="3"/>
  <c r="I21" i="57"/>
  <c r="D1" i="57"/>
  <c r="E10" i="57"/>
  <c r="AZ109" i="3"/>
  <c r="D41" i="59"/>
  <c r="D17" i="59"/>
  <c r="D24" i="59"/>
  <c r="D27" i="59"/>
  <c r="C28" i="59"/>
  <c r="C44" i="59"/>
  <c r="D43" i="59"/>
  <c r="E51" i="59"/>
  <c r="P52" i="59"/>
  <c r="B54" i="46"/>
  <c r="C27" i="40"/>
  <c r="Q51" i="59"/>
  <c r="Q50" i="59"/>
  <c r="O50" i="59"/>
  <c r="D31" i="59"/>
  <c r="AB11" i="59"/>
  <c r="AB3" i="59"/>
  <c r="AA13" i="59"/>
  <c r="AA11" i="59"/>
  <c r="AA3" i="59"/>
  <c r="X12" i="59"/>
  <c r="X10" i="59"/>
  <c r="X14" i="59"/>
  <c r="Y14" i="59"/>
  <c r="Z14" i="59"/>
  <c r="F15" i="59"/>
  <c r="F16" i="59"/>
  <c r="F17" i="59"/>
  <c r="V17" i="59"/>
  <c r="AA15" i="59"/>
  <c r="X16" i="59"/>
  <c r="AA17" i="59"/>
  <c r="B19" i="59"/>
  <c r="B20" i="59"/>
  <c r="B21" i="59"/>
  <c r="S21" i="59"/>
  <c r="C19" i="59"/>
  <c r="AB18" i="59"/>
  <c r="Y19" i="59"/>
  <c r="Z19" i="59"/>
  <c r="AB20" i="59"/>
  <c r="Y21" i="59"/>
  <c r="Z21" i="59"/>
  <c r="X22" i="59"/>
  <c r="E23" i="59"/>
  <c r="E24" i="59"/>
  <c r="E25" i="59"/>
  <c r="U25" i="59"/>
  <c r="F23" i="59"/>
  <c r="F24" i="59"/>
  <c r="F25" i="59"/>
  <c r="V25" i="59"/>
  <c r="X23" i="59"/>
  <c r="AA23" i="59"/>
  <c r="Y9" i="59"/>
  <c r="Z9" i="59"/>
  <c r="C13" i="59"/>
  <c r="AB9" i="59"/>
  <c r="F13" i="59"/>
  <c r="A28" i="64"/>
  <c r="AH10" i="46"/>
  <c r="AH12" i="46"/>
  <c r="AH13" i="46"/>
  <c r="AD10" i="46"/>
  <c r="AD12" i="46"/>
  <c r="C8" i="59"/>
  <c r="D9" i="59"/>
  <c r="X8" i="59"/>
  <c r="Y6" i="59"/>
  <c r="Z6" i="59"/>
  <c r="AB6" i="59"/>
  <c r="X6" i="59"/>
  <c r="AA6" i="59"/>
  <c r="B52" i="59"/>
  <c r="S13" i="59"/>
  <c r="B12" i="59"/>
  <c r="B11" i="59"/>
  <c r="U13" i="59"/>
  <c r="E12" i="59"/>
  <c r="E11" i="59"/>
  <c r="AA7" i="59"/>
  <c r="V9" i="59"/>
  <c r="K76" i="9"/>
  <c r="K77" i="9"/>
  <c r="K79" i="9"/>
  <c r="K81" i="9"/>
  <c r="AA9" i="59"/>
  <c r="X9" i="59"/>
  <c r="Y8" i="59"/>
  <c r="Z8" i="59"/>
  <c r="AA8" i="59"/>
  <c r="AB8" i="59"/>
  <c r="X7" i="59"/>
  <c r="X5" i="59"/>
  <c r="AA5" i="59"/>
  <c r="Y7" i="59"/>
  <c r="Z7" i="59"/>
  <c r="AB7" i="59"/>
  <c r="Y5" i="59"/>
  <c r="Z5" i="59"/>
  <c r="AB5" i="59"/>
  <c r="B6" i="52"/>
  <c r="E7" i="52"/>
  <c r="C4" i="4"/>
  <c r="B20" i="55"/>
  <c r="B70" i="63"/>
  <c r="E6" i="52"/>
  <c r="E4" i="52"/>
  <c r="B7" i="52"/>
  <c r="E5" i="52"/>
  <c r="P21" i="46"/>
  <c r="B6" i="59"/>
  <c r="B5" i="59"/>
  <c r="P22" i="46"/>
  <c r="P23" i="46"/>
  <c r="P25" i="46"/>
  <c r="B73" i="39"/>
  <c r="P24" i="46"/>
  <c r="B68" i="40"/>
  <c r="E22" i="52"/>
  <c r="B22" i="52"/>
  <c r="B10" i="52"/>
  <c r="B11" i="52"/>
  <c r="B4" i="52"/>
  <c r="E9" i="52"/>
  <c r="C8" i="44"/>
  <c r="F63" i="15"/>
  <c r="F67" i="15"/>
  <c r="C4" i="65"/>
  <c r="B39" i="1"/>
  <c r="J60" i="44"/>
  <c r="J54" i="44"/>
  <c r="I55" i="44"/>
  <c r="J58" i="44"/>
  <c r="J56" i="44"/>
  <c r="J59" i="44"/>
  <c r="Q52" i="44"/>
  <c r="L57" i="44"/>
  <c r="J61" i="44"/>
  <c r="Q50" i="44"/>
  <c r="Q72" i="15"/>
  <c r="I1" i="65"/>
  <c r="Q73" i="44"/>
  <c r="F64" i="15"/>
  <c r="L60" i="44"/>
  <c r="L59" i="44"/>
  <c r="C27" i="15"/>
  <c r="F65" i="15"/>
  <c r="F50" i="15"/>
  <c r="L59" i="15"/>
  <c r="L58" i="15"/>
  <c r="F49" i="15"/>
  <c r="M7" i="15"/>
  <c r="J6" i="15"/>
  <c r="C29" i="44"/>
  <c r="F70" i="15"/>
  <c r="M9" i="44"/>
  <c r="J8" i="44"/>
  <c r="C6" i="15"/>
  <c r="J1" i="65"/>
  <c r="E20" i="46"/>
  <c r="I54" i="15"/>
  <c r="J57" i="15"/>
  <c r="J55" i="15"/>
  <c r="J58" i="15"/>
  <c r="Q51" i="15"/>
  <c r="J53" i="15"/>
  <c r="L56" i="15"/>
  <c r="E17" i="52"/>
  <c r="E11" i="52"/>
  <c r="E15" i="52"/>
  <c r="E13" i="52"/>
  <c r="E4" i="4"/>
  <c r="B21" i="55"/>
  <c r="B72" i="63"/>
  <c r="B14" i="52"/>
  <c r="E8" i="52"/>
  <c r="E16" i="52"/>
  <c r="B5" i="52"/>
  <c r="B9" i="52"/>
  <c r="B16" i="52"/>
  <c r="B8" i="52"/>
  <c r="B13" i="52"/>
  <c r="E10" i="52"/>
  <c r="E21" i="52"/>
  <c r="F31" i="15"/>
  <c r="F33" i="44"/>
  <c r="M19" i="44"/>
  <c r="F58" i="15"/>
  <c r="M17" i="15"/>
  <c r="C16" i="15"/>
  <c r="E2" i="65"/>
  <c r="C16" i="74"/>
  <c r="C18" i="44"/>
  <c r="E3" i="65"/>
  <c r="F33" i="12"/>
  <c r="C34" i="12"/>
  <c r="D33" i="12"/>
  <c r="AB29" i="39"/>
  <c r="U23" i="39"/>
  <c r="U19" i="39"/>
  <c r="AB19" i="39"/>
  <c r="M11" i="75"/>
  <c r="J10" i="75"/>
  <c r="J5" i="75"/>
  <c r="F11" i="75"/>
  <c r="Q53" i="74"/>
  <c r="F1" i="74"/>
  <c r="Q75" i="74"/>
  <c r="Q62" i="74"/>
  <c r="Q67" i="74"/>
  <c r="Q58" i="74"/>
  <c r="Q61" i="74"/>
  <c r="Q74" i="74"/>
  <c r="M101" i="46"/>
  <c r="M103" i="46"/>
  <c r="M11" i="74"/>
  <c r="J10" i="74"/>
  <c r="J5" i="74"/>
  <c r="F11" i="74"/>
  <c r="AB23" i="34"/>
  <c r="U23" i="34"/>
  <c r="W23" i="34"/>
  <c r="AC23" i="34"/>
  <c r="U19" i="34"/>
  <c r="AA40" i="34"/>
  <c r="AC28" i="34"/>
  <c r="W28" i="34"/>
  <c r="U40" i="34"/>
  <c r="AB40" i="34"/>
  <c r="AA11" i="34"/>
  <c r="AA37" i="34"/>
  <c r="S37" i="34"/>
  <c r="U37" i="34"/>
  <c r="AB37" i="34"/>
  <c r="I70" i="34"/>
  <c r="J70" i="34"/>
  <c r="K70" i="34"/>
  <c r="L70" i="34"/>
  <c r="M70" i="34"/>
  <c r="H11" i="34"/>
  <c r="S29" i="39"/>
  <c r="AG11" i="46"/>
  <c r="AG13" i="46"/>
  <c r="E16" i="6"/>
  <c r="H12" i="40"/>
  <c r="AB12" i="40"/>
  <c r="E64" i="39"/>
  <c r="E59" i="40"/>
  <c r="E65" i="39"/>
  <c r="E60" i="40"/>
  <c r="F12" i="40"/>
  <c r="S12" i="40"/>
  <c r="J12" i="40"/>
  <c r="W12" i="40"/>
  <c r="AF11" i="46"/>
  <c r="AF13" i="46"/>
  <c r="E22" i="46"/>
  <c r="D22" i="46"/>
  <c r="I101" i="46"/>
  <c r="I104" i="46"/>
  <c r="AJ11" i="46"/>
  <c r="AJ13" i="46"/>
  <c r="E27" i="6"/>
  <c r="K24" i="6"/>
  <c r="M24" i="6"/>
  <c r="I24" i="6"/>
  <c r="S24" i="6"/>
  <c r="H101" i="46"/>
  <c r="H105" i="46"/>
  <c r="J33" i="21"/>
  <c r="F33" i="21"/>
  <c r="H33" i="21"/>
  <c r="Y11" i="46"/>
  <c r="Y13" i="46"/>
  <c r="H11" i="21"/>
  <c r="F11" i="21"/>
  <c r="J11" i="21"/>
  <c r="AE11" i="46"/>
  <c r="AE13" i="46"/>
  <c r="D101" i="46"/>
  <c r="AC11" i="46"/>
  <c r="AC13" i="46"/>
  <c r="D18" i="9"/>
  <c r="M44" i="9"/>
  <c r="M43" i="9"/>
  <c r="U36" i="39"/>
  <c r="U37" i="21"/>
  <c r="AB37" i="21"/>
  <c r="W37" i="21"/>
  <c r="AC37" i="21"/>
  <c r="S37" i="21"/>
  <c r="AA37" i="21"/>
  <c r="AA10" i="21"/>
  <c r="S10" i="21"/>
  <c r="U10" i="21"/>
  <c r="AB10" i="21"/>
  <c r="AB23" i="21"/>
  <c r="U23" i="21"/>
  <c r="W23" i="21"/>
  <c r="AC23" i="21"/>
  <c r="AA17" i="21"/>
  <c r="W36" i="39"/>
  <c r="AB27" i="39"/>
  <c r="U27" i="39"/>
  <c r="AA27" i="39"/>
  <c r="S27" i="39"/>
  <c r="AD13" i="46"/>
  <c r="I106" i="46"/>
  <c r="AC6" i="3"/>
  <c r="H6" i="3"/>
  <c r="U12" i="39"/>
  <c r="F12" i="39"/>
  <c r="AA12" i="39"/>
  <c r="E70" i="39"/>
  <c r="D72" i="39"/>
  <c r="J7" i="21"/>
  <c r="F7" i="21"/>
  <c r="AB7" i="21"/>
  <c r="U7" i="21"/>
  <c r="C29" i="59"/>
  <c r="D28" i="59"/>
  <c r="B51" i="59"/>
  <c r="N52" i="59"/>
  <c r="C20" i="59"/>
  <c r="D19" i="59"/>
  <c r="P51" i="59"/>
  <c r="P50" i="59"/>
  <c r="D44" i="59"/>
  <c r="C45" i="59"/>
  <c r="AZ5" i="3"/>
  <c r="AB24" i="36"/>
  <c r="U24" i="36"/>
  <c r="AA9" i="36"/>
  <c r="S9" i="36"/>
  <c r="AA9" i="33"/>
  <c r="S9" i="33"/>
  <c r="S7" i="35"/>
  <c r="AA7" i="35"/>
  <c r="R38" i="35"/>
  <c r="AB7" i="36"/>
  <c r="T36" i="36"/>
  <c r="G36" i="36"/>
  <c r="U7" i="36"/>
  <c r="C48" i="33"/>
  <c r="C49" i="33"/>
  <c r="B3" i="33"/>
  <c r="B2" i="33"/>
  <c r="M86" i="9"/>
  <c r="N86" i="9"/>
  <c r="M84" i="9"/>
  <c r="N84" i="9"/>
  <c r="M88" i="9"/>
  <c r="N88" i="9"/>
  <c r="M87" i="9"/>
  <c r="N87" i="9"/>
  <c r="M85" i="9"/>
  <c r="N85" i="9"/>
  <c r="M83" i="9"/>
  <c r="N83" i="9"/>
  <c r="N89" i="9"/>
  <c r="O89" i="9"/>
  <c r="G103" i="46"/>
  <c r="G106" i="46"/>
  <c r="G107" i="46"/>
  <c r="G109" i="46"/>
  <c r="G104" i="46"/>
  <c r="G102"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B115" i="46"/>
  <c r="B116" i="46"/>
  <c r="C116" i="46"/>
  <c r="D117" i="46"/>
  <c r="E117" i="46"/>
  <c r="F117" i="46"/>
  <c r="G117" i="46"/>
  <c r="H117" i="46"/>
  <c r="I116" i="46"/>
  <c r="J116" i="46"/>
  <c r="K116" i="46"/>
  <c r="L116" i="46"/>
  <c r="M116"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7" i="46"/>
  <c r="F105" i="46"/>
  <c r="U7" i="37"/>
  <c r="AB7" i="37"/>
  <c r="T42" i="37"/>
  <c r="G42" i="37"/>
  <c r="AB7" i="35"/>
  <c r="T38" i="35"/>
  <c r="G38" i="35"/>
  <c r="U7" i="35"/>
  <c r="J65" i="40"/>
  <c r="I67" i="40"/>
  <c r="C7" i="59"/>
  <c r="D8" i="59"/>
  <c r="F12" i="59"/>
  <c r="F11" i="59"/>
  <c r="V13" i="59"/>
  <c r="D13" i="59"/>
  <c r="T13" i="59"/>
  <c r="C12" i="59"/>
  <c r="AB9" i="36"/>
  <c r="U9" i="36"/>
  <c r="AB9" i="33"/>
  <c r="U9" i="33"/>
  <c r="AA7" i="34"/>
  <c r="R49" i="34"/>
  <c r="S7" i="34"/>
  <c r="AC7" i="37"/>
  <c r="V42" i="37"/>
  <c r="I42" i="37"/>
  <c r="W7" i="37"/>
  <c r="W12" i="39"/>
  <c r="AC12" i="39"/>
  <c r="AB7" i="34"/>
  <c r="U7" i="34"/>
  <c r="E53" i="33"/>
  <c r="F53" i="33"/>
  <c r="E52" i="33"/>
  <c r="F52" i="33"/>
  <c r="I53" i="33"/>
  <c r="J53" i="33"/>
  <c r="C104" i="46"/>
  <c r="C107" i="46"/>
  <c r="C109" i="46"/>
  <c r="C103" i="46"/>
  <c r="C106" i="46"/>
  <c r="C105" i="46"/>
  <c r="C102" i="46"/>
  <c r="J107" i="46"/>
  <c r="J106" i="46"/>
  <c r="J104" i="46"/>
  <c r="J105" i="46"/>
  <c r="J109" i="46"/>
  <c r="J102" i="46"/>
  <c r="J103" i="46"/>
  <c r="N103" i="46"/>
  <c r="N104" i="46"/>
  <c r="N106" i="46"/>
  <c r="N105" i="46"/>
  <c r="N107" i="46"/>
  <c r="N109" i="46"/>
  <c r="N102" i="46"/>
  <c r="K26" i="6"/>
  <c r="M26" i="6"/>
  <c r="I26" i="6"/>
  <c r="S26" i="6"/>
  <c r="E30" i="6"/>
  <c r="K14" i="1"/>
  <c r="S7" i="36"/>
  <c r="AA7" i="36"/>
  <c r="R36" i="36"/>
  <c r="AA7" i="37"/>
  <c r="R42" i="37"/>
  <c r="S7" i="37"/>
  <c r="AC7" i="34"/>
  <c r="V49" i="34"/>
  <c r="I49" i="34"/>
  <c r="W7" i="34"/>
  <c r="AC7" i="35"/>
  <c r="V38" i="35"/>
  <c r="I38" i="35"/>
  <c r="W7" i="35"/>
  <c r="W7" i="36"/>
  <c r="AC7" i="36"/>
  <c r="V36" i="36"/>
  <c r="I36" i="36"/>
  <c r="C48" i="15"/>
  <c r="F17" i="11"/>
  <c r="C17" i="11"/>
  <c r="C19" i="11"/>
  <c r="B40" i="1"/>
  <c r="O17" i="46"/>
  <c r="G20" i="46"/>
  <c r="P17" i="46"/>
  <c r="M17" i="46"/>
  <c r="N17" i="46"/>
  <c r="Q61" i="15"/>
  <c r="Q74" i="15"/>
  <c r="Q76" i="44"/>
  <c r="Q63" i="44"/>
  <c r="Q54" i="44"/>
  <c r="F1" i="44"/>
  <c r="F13" i="44"/>
  <c r="C12" i="44"/>
  <c r="C7" i="44"/>
  <c r="M11" i="15"/>
  <c r="J10" i="15"/>
  <c r="J5" i="15"/>
  <c r="F11" i="15"/>
  <c r="M13" i="44"/>
  <c r="J12" i="44"/>
  <c r="J7" i="44"/>
  <c r="F1" i="15"/>
  <c r="Q53" i="15"/>
  <c r="Q75" i="15"/>
  <c r="Q62" i="15"/>
  <c r="Q75" i="44"/>
  <c r="Q62" i="44"/>
  <c r="AE6" i="1"/>
  <c r="AE9" i="1"/>
  <c r="F24" i="74"/>
  <c r="C24" i="74"/>
  <c r="F24" i="75"/>
  <c r="C52" i="75"/>
  <c r="C47" i="75"/>
  <c r="C10" i="75"/>
  <c r="C5" i="75"/>
  <c r="J24" i="75"/>
  <c r="J18" i="75"/>
  <c r="J26" i="75"/>
  <c r="K25" i="6"/>
  <c r="M25" i="6"/>
  <c r="I25" i="6"/>
  <c r="S25" i="6"/>
  <c r="M105" i="46"/>
  <c r="E31" i="6"/>
  <c r="K22" i="6"/>
  <c r="M104" i="46"/>
  <c r="I109" i="46"/>
  <c r="M102" i="46"/>
  <c r="M106" i="46"/>
  <c r="M107" i="46"/>
  <c r="M109" i="46"/>
  <c r="C52" i="74"/>
  <c r="C47" i="74"/>
  <c r="C10" i="74"/>
  <c r="C5" i="74"/>
  <c r="J24" i="74"/>
  <c r="J18" i="74"/>
  <c r="J26" i="74"/>
  <c r="T49" i="34"/>
  <c r="G49" i="34"/>
  <c r="G53" i="34"/>
  <c r="H53" i="34"/>
  <c r="AB11" i="34"/>
  <c r="U11" i="34"/>
  <c r="M22" i="6"/>
  <c r="I22" i="6"/>
  <c r="S22" i="6"/>
  <c r="S9" i="1"/>
  <c r="H106" i="46"/>
  <c r="U12" i="40"/>
  <c r="AC12" i="40"/>
  <c r="H109" i="46"/>
  <c r="H104" i="46"/>
  <c r="K20" i="6"/>
  <c r="M20" i="6"/>
  <c r="I20" i="6"/>
  <c r="S20" i="6"/>
  <c r="K19" i="6"/>
  <c r="K21" i="6"/>
  <c r="M21" i="6"/>
  <c r="I21" i="6"/>
  <c r="S21" i="6"/>
  <c r="K23" i="6"/>
  <c r="M23" i="6"/>
  <c r="I23" i="6"/>
  <c r="S23" i="6"/>
  <c r="AA12" i="40"/>
  <c r="I107" i="46"/>
  <c r="I102" i="46"/>
  <c r="I103" i="46"/>
  <c r="I105" i="46"/>
  <c r="U33" i="21"/>
  <c r="AB33" i="21"/>
  <c r="W33" i="21"/>
  <c r="AC33" i="21"/>
  <c r="AA33" i="21"/>
  <c r="S33" i="21"/>
  <c r="H107" i="46"/>
  <c r="H102" i="46"/>
  <c r="H103" i="46"/>
  <c r="S11" i="21"/>
  <c r="AA11" i="21"/>
  <c r="D103" i="46"/>
  <c r="D102" i="46"/>
  <c r="D109" i="46"/>
  <c r="D106" i="46"/>
  <c r="D107" i="46"/>
  <c r="D104" i="46"/>
  <c r="D105" i="46"/>
  <c r="W11" i="21"/>
  <c r="AC11" i="21"/>
  <c r="U11" i="21"/>
  <c r="AB11" i="21"/>
  <c r="T48" i="21"/>
  <c r="G48" i="21"/>
  <c r="G52" i="21"/>
  <c r="H52" i="21"/>
  <c r="E41" i="46"/>
  <c r="C41" i="46"/>
  <c r="C20" i="46"/>
  <c r="E6" i="3"/>
  <c r="S12" i="39"/>
  <c r="S7" i="46"/>
  <c r="S6" i="46"/>
  <c r="S2" i="46"/>
  <c r="S5" i="46"/>
  <c r="S3" i="46"/>
  <c r="S4" i="46"/>
  <c r="S7" i="21"/>
  <c r="AA7" i="21"/>
  <c r="W7" i="21"/>
  <c r="AC7" i="21"/>
  <c r="V48" i="21"/>
  <c r="I48" i="21"/>
  <c r="F70" i="39"/>
  <c r="E72" i="39"/>
  <c r="I42" i="35"/>
  <c r="J42" i="35"/>
  <c r="I53" i="34"/>
  <c r="J53" i="34"/>
  <c r="E42" i="37"/>
  <c r="I47" i="37"/>
  <c r="J47" i="37"/>
  <c r="R43" i="37"/>
  <c r="M14" i="1"/>
  <c r="K16" i="1"/>
  <c r="D12" i="59"/>
  <c r="C11" i="59"/>
  <c r="D11" i="59"/>
  <c r="D7" i="59"/>
  <c r="C6" i="59"/>
  <c r="G46" i="37"/>
  <c r="H46" i="37"/>
  <c r="G47" i="37"/>
  <c r="H47" i="37"/>
  <c r="G40" i="36"/>
  <c r="H40" i="36"/>
  <c r="G41" i="36"/>
  <c r="H41" i="36"/>
  <c r="T45" i="59"/>
  <c r="D45" i="59"/>
  <c r="I40" i="36"/>
  <c r="J40" i="36"/>
  <c r="E36" i="36"/>
  <c r="I41" i="36"/>
  <c r="J41" i="36"/>
  <c r="R37" i="36"/>
  <c r="M19" i="6"/>
  <c r="I46" i="37"/>
  <c r="J46" i="37"/>
  <c r="E49" i="34"/>
  <c r="I54" i="34"/>
  <c r="J54" i="34"/>
  <c r="K65" i="40"/>
  <c r="J67" i="40"/>
  <c r="G42" i="35"/>
  <c r="H42" i="35"/>
  <c r="G43" i="35"/>
  <c r="H43" i="35"/>
  <c r="C115" i="46"/>
  <c r="D113" i="46"/>
  <c r="E38" i="35"/>
  <c r="R39" i="35"/>
  <c r="AY6" i="3"/>
  <c r="E3" i="6"/>
  <c r="C21" i="59"/>
  <c r="D20" i="59"/>
  <c r="N51" i="59"/>
  <c r="N50" i="59"/>
  <c r="T29" i="59"/>
  <c r="D29" i="59"/>
  <c r="J28" i="44"/>
  <c r="J26" i="44"/>
  <c r="J20" i="44"/>
  <c r="F21" i="43"/>
  <c r="C23" i="43"/>
  <c r="D21" i="43"/>
  <c r="F24" i="15"/>
  <c r="C24" i="15"/>
  <c r="F26" i="44"/>
  <c r="C26" i="44"/>
  <c r="F26" i="12"/>
  <c r="C20" i="11"/>
  <c r="C21" i="11"/>
  <c r="C22" i="11"/>
  <c r="C23" i="11"/>
  <c r="B2" i="11"/>
  <c r="C34" i="44"/>
  <c r="C40" i="44"/>
  <c r="C52" i="15"/>
  <c r="C47" i="15"/>
  <c r="C10" i="15"/>
  <c r="C5" i="15"/>
  <c r="J26" i="15"/>
  <c r="J24" i="15"/>
  <c r="J18" i="15"/>
  <c r="F41" i="74"/>
  <c r="F41" i="15"/>
  <c r="F46" i="44"/>
  <c r="F41" i="75"/>
  <c r="L52" i="44"/>
  <c r="F68" i="75"/>
  <c r="J29" i="75"/>
  <c r="C38" i="75"/>
  <c r="C33" i="75"/>
  <c r="C32" i="75"/>
  <c r="C60" i="75"/>
  <c r="C59" i="75"/>
  <c r="C65" i="75"/>
  <c r="C24" i="75"/>
  <c r="F68" i="15"/>
  <c r="F68" i="74"/>
  <c r="J29" i="15"/>
  <c r="J29" i="74"/>
  <c r="J31" i="44"/>
  <c r="Q67" i="44"/>
  <c r="C60" i="74"/>
  <c r="C59" i="74"/>
  <c r="C65" i="74"/>
  <c r="C38" i="74"/>
  <c r="C33" i="74"/>
  <c r="C32" i="74"/>
  <c r="R50" i="34"/>
  <c r="C49" i="34"/>
  <c r="G54" i="34"/>
  <c r="H54" i="34"/>
  <c r="S7" i="1"/>
  <c r="S6" i="1"/>
  <c r="S8" i="1"/>
  <c r="K27" i="6"/>
  <c r="R48" i="21"/>
  <c r="E48" i="21"/>
  <c r="I52" i="21"/>
  <c r="J52" i="21"/>
  <c r="G53" i="21"/>
  <c r="H53" i="21"/>
  <c r="F72" i="39"/>
  <c r="G70" i="39"/>
  <c r="T21" i="59"/>
  <c r="D21" i="59"/>
  <c r="D3" i="6"/>
  <c r="C40" i="39"/>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504" i="3"/>
  <c r="AY537" i="3"/>
  <c r="AY100" i="3"/>
  <c r="AY53" i="3"/>
  <c r="AY83" i="3"/>
  <c r="AY73" i="3"/>
  <c r="AY47" i="3"/>
  <c r="AY74" i="3"/>
  <c r="AY182" i="3"/>
  <c r="AY144" i="3"/>
  <c r="AY126" i="3"/>
  <c r="AY98" i="3"/>
  <c r="AY4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3" i="35"/>
  <c r="F43" i="35"/>
  <c r="E42" i="35"/>
  <c r="F42" i="35"/>
  <c r="L65" i="40"/>
  <c r="K67" i="40"/>
  <c r="C50" i="34"/>
  <c r="E40" i="36"/>
  <c r="F40" i="36"/>
  <c r="E41" i="36"/>
  <c r="F41" i="36"/>
  <c r="C43" i="37"/>
  <c r="B3" i="37"/>
  <c r="B2" i="37"/>
  <c r="C42" i="37"/>
  <c r="I43" i="35"/>
  <c r="J43" i="35"/>
  <c r="D16" i="12"/>
  <c r="E6" i="6"/>
  <c r="L38" i="9"/>
  <c r="B14" i="66"/>
  <c r="B1" i="66"/>
  <c r="D45" i="9"/>
  <c r="D16" i="43"/>
  <c r="C16" i="43"/>
  <c r="C21" i="4"/>
  <c r="O5" i="54"/>
  <c r="B45" i="63"/>
  <c r="D10" i="11"/>
  <c r="D44" i="9"/>
  <c r="D46" i="9"/>
  <c r="C38" i="35"/>
  <c r="C39" i="35"/>
  <c r="B3" i="35"/>
  <c r="B2" i="35"/>
  <c r="E54" i="34"/>
  <c r="F54" i="34"/>
  <c r="E53" i="34"/>
  <c r="F53" i="34"/>
  <c r="I19" i="6"/>
  <c r="M27" i="6"/>
  <c r="C37" i="36"/>
  <c r="B3" i="36"/>
  <c r="B2" i="36"/>
  <c r="C36" i="36"/>
  <c r="C5" i="59"/>
  <c r="D6" i="59"/>
  <c r="M16" i="1"/>
  <c r="O14" i="1"/>
  <c r="O16" i="1"/>
  <c r="E46" i="37"/>
  <c r="F46" i="37"/>
  <c r="E47" i="37"/>
  <c r="F47" i="37"/>
  <c r="Q69" i="44"/>
  <c r="L58" i="44"/>
  <c r="L61" i="44"/>
  <c r="L47" i="44"/>
  <c r="C32" i="15"/>
  <c r="C38" i="15"/>
  <c r="B3" i="11"/>
  <c r="C59" i="15"/>
  <c r="C65" i="15"/>
  <c r="C27" i="12"/>
  <c r="D26" i="12"/>
  <c r="C32" i="12"/>
  <c r="D30" i="12"/>
  <c r="Q49" i="44"/>
  <c r="Q55" i="44"/>
  <c r="C17" i="15"/>
  <c r="C19" i="44"/>
  <c r="C17" i="74"/>
  <c r="Q58" i="44"/>
  <c r="C58" i="75"/>
  <c r="C31" i="75"/>
  <c r="B3" i="34"/>
  <c r="B2" i="34"/>
  <c r="R49" i="21"/>
  <c r="C48" i="21"/>
  <c r="S16" i="1"/>
  <c r="T6" i="1"/>
  <c r="B4" i="11"/>
  <c r="B5" i="11"/>
  <c r="F40" i="39"/>
  <c r="H40" i="39"/>
  <c r="J40" i="39"/>
  <c r="H70" i="39"/>
  <c r="G72" i="39"/>
  <c r="E52" i="21"/>
  <c r="F52" i="21"/>
  <c r="E53" i="21"/>
  <c r="F53" i="21"/>
  <c r="I53" i="21"/>
  <c r="J53" i="21"/>
  <c r="D5" i="59"/>
  <c r="M20" i="46"/>
  <c r="C19" i="46"/>
  <c r="P14" i="1"/>
  <c r="P16" i="1"/>
  <c r="C13" i="12"/>
  <c r="C13" i="43"/>
  <c r="N16" i="1"/>
  <c r="C29" i="43"/>
  <c r="L16" i="1"/>
  <c r="S19" i="6"/>
  <c r="S27" i="6"/>
  <c r="I27" i="6"/>
  <c r="D22" i="12"/>
  <c r="C22" i="12"/>
  <c r="C20" i="12"/>
  <c r="D13" i="11"/>
  <c r="C13" i="11"/>
  <c r="E68" i="39"/>
  <c r="H19" i="6"/>
  <c r="K38" i="9"/>
  <c r="C14" i="66"/>
  <c r="B2" i="66"/>
  <c r="D24" i="6"/>
  <c r="D26" i="6"/>
  <c r="D22" i="6"/>
  <c r="D11" i="6"/>
  <c r="D12" i="6"/>
  <c r="H20" i="6"/>
  <c r="H25" i="6"/>
  <c r="D9" i="6"/>
  <c r="D5" i="6"/>
  <c r="D29" i="6"/>
  <c r="H22" i="6"/>
  <c r="D15" i="6"/>
  <c r="H26" i="6"/>
  <c r="F46" i="9"/>
  <c r="E46" i="9"/>
  <c r="E63" i="40"/>
  <c r="C22" i="4"/>
  <c r="D19" i="6"/>
  <c r="D21" i="6"/>
  <c r="D25" i="6"/>
  <c r="D10" i="6"/>
  <c r="D13" i="6"/>
  <c r="H21" i="6"/>
  <c r="H24" i="6"/>
  <c r="D6" i="6"/>
  <c r="D23" i="6"/>
  <c r="D14" i="6"/>
  <c r="D28" i="6"/>
  <c r="D30" i="6"/>
  <c r="D20" i="6"/>
  <c r="D8" i="6"/>
  <c r="H23" i="6"/>
  <c r="E45" i="9"/>
  <c r="F45" i="9"/>
  <c r="F44" i="9"/>
  <c r="E44" i="9"/>
  <c r="C8" i="66"/>
  <c r="C6" i="66"/>
  <c r="C7" i="66"/>
  <c r="D19" i="12"/>
  <c r="C19" i="12"/>
  <c r="C16" i="12"/>
  <c r="L67" i="40"/>
  <c r="M65" i="40"/>
  <c r="Q68" i="44"/>
  <c r="Q77" i="44"/>
  <c r="Q59" i="44"/>
  <c r="Q64" i="44"/>
  <c r="C49" i="21"/>
  <c r="B3" i="21"/>
  <c r="T11" i="1"/>
  <c r="T13" i="1"/>
  <c r="T8" i="1"/>
  <c r="T9" i="1"/>
  <c r="T7" i="1"/>
  <c r="T10" i="1"/>
  <c r="T12" i="1"/>
  <c r="B2" i="21"/>
  <c r="D16" i="6"/>
  <c r="AB40" i="39"/>
  <c r="U40" i="39"/>
  <c r="AC40" i="39"/>
  <c r="W40" i="39"/>
  <c r="AA40" i="39"/>
  <c r="S40" i="39"/>
  <c r="H27" i="6"/>
  <c r="R20" i="6"/>
  <c r="R7" i="1"/>
  <c r="R23" i="6"/>
  <c r="R25" i="6"/>
  <c r="H72" i="39"/>
  <c r="I70" i="39"/>
  <c r="R19" i="6"/>
  <c r="D27" i="6"/>
  <c r="D31" i="6"/>
  <c r="R22" i="6"/>
  <c r="R9" i="1"/>
  <c r="R24" i="6"/>
  <c r="C17" i="43"/>
  <c r="C14" i="43"/>
  <c r="C39" i="46"/>
  <c r="T7" i="46"/>
  <c r="V7" i="46"/>
  <c r="T9" i="46"/>
  <c r="V9" i="46"/>
  <c r="C37" i="46"/>
  <c r="T8" i="46"/>
  <c r="V8" i="46"/>
  <c r="T13" i="46"/>
  <c r="V13" i="46"/>
  <c r="C34" i="46"/>
  <c r="T15" i="46"/>
  <c r="V15" i="46"/>
  <c r="T5" i="46"/>
  <c r="V5" i="46"/>
  <c r="T10" i="46"/>
  <c r="V10" i="46"/>
  <c r="T2" i="46"/>
  <c r="V2" i="46"/>
  <c r="C38" i="46"/>
  <c r="C35" i="46"/>
  <c r="T12" i="46"/>
  <c r="V12" i="46"/>
  <c r="T3" i="46"/>
  <c r="V3" i="46"/>
  <c r="C33" i="46"/>
  <c r="T16" i="46"/>
  <c r="V16" i="46"/>
  <c r="C36" i="46"/>
  <c r="T4" i="46"/>
  <c r="V4" i="46"/>
  <c r="T11" i="46"/>
  <c r="V11" i="46"/>
  <c r="T14" i="46"/>
  <c r="V14" i="46"/>
  <c r="T6" i="46"/>
  <c r="V6" i="46"/>
  <c r="C29" i="46"/>
  <c r="N65" i="40"/>
  <c r="N67" i="40"/>
  <c r="F9" i="40"/>
  <c r="M67" i="40"/>
  <c r="J9" i="40"/>
  <c r="R21" i="6"/>
  <c r="A6" i="64"/>
  <c r="A6" i="51"/>
  <c r="B7" i="63"/>
  <c r="A20" i="64"/>
  <c r="A20" i="51"/>
  <c r="B15" i="63"/>
  <c r="N5" i="54"/>
  <c r="B43" i="63"/>
  <c r="R26" i="6"/>
  <c r="D6" i="66"/>
  <c r="D8" i="66"/>
  <c r="D7" i="66"/>
  <c r="C14" i="12"/>
  <c r="C17" i="12"/>
  <c r="C14" i="15"/>
  <c r="C16" i="44"/>
  <c r="C14" i="74"/>
  <c r="C14" i="75"/>
  <c r="C18" i="75"/>
  <c r="C15" i="75"/>
  <c r="C18" i="74"/>
  <c r="C15" i="74"/>
  <c r="C20" i="44"/>
  <c r="C17" i="44"/>
  <c r="C18" i="15"/>
  <c r="C15" i="15"/>
  <c r="T16" i="1"/>
  <c r="R8" i="1"/>
  <c r="R27" i="6"/>
  <c r="R6" i="1"/>
  <c r="I72" i="39"/>
  <c r="J70" i="39"/>
  <c r="C18" i="12"/>
  <c r="C23" i="12"/>
  <c r="C18" i="43"/>
  <c r="C19" i="43"/>
  <c r="C25" i="43"/>
  <c r="C24" i="43"/>
  <c r="W9" i="40"/>
  <c r="AC9" i="40"/>
  <c r="V44" i="40"/>
  <c r="I44" i="40"/>
  <c r="S9" i="40"/>
  <c r="AA9" i="40"/>
  <c r="R44" i="40"/>
  <c r="E29" i="46"/>
  <c r="C30" i="46"/>
  <c r="E30" i="46"/>
  <c r="E35" i="46"/>
  <c r="G35" i="46"/>
  <c r="I35" i="46"/>
  <c r="G39" i="46"/>
  <c r="I39" i="46"/>
  <c r="E39" i="46"/>
  <c r="I6" i="6"/>
  <c r="C13" i="39"/>
  <c r="I5" i="6"/>
  <c r="E36" i="46"/>
  <c r="G36" i="46"/>
  <c r="I36" i="46"/>
  <c r="E33" i="46"/>
  <c r="G33" i="46"/>
  <c r="I33" i="46"/>
  <c r="E38" i="46"/>
  <c r="G38" i="46"/>
  <c r="I38" i="46"/>
  <c r="G37" i="46"/>
  <c r="I37" i="46"/>
  <c r="E37" i="46"/>
  <c r="E34" i="46"/>
  <c r="G34" i="46"/>
  <c r="I34" i="46"/>
  <c r="H9" i="40"/>
  <c r="F35" i="15"/>
  <c r="F35" i="74"/>
  <c r="M21" i="74"/>
  <c r="F7" i="67"/>
  <c r="M23" i="44"/>
  <c r="M21" i="15"/>
  <c r="F37" i="44"/>
  <c r="C19" i="75"/>
  <c r="C20" i="75"/>
  <c r="C26" i="75"/>
  <c r="C19" i="74"/>
  <c r="C20" i="74"/>
  <c r="C26" i="74"/>
  <c r="F62" i="74"/>
  <c r="C61" i="74"/>
  <c r="C58" i="74"/>
  <c r="C34" i="74"/>
  <c r="C31" i="74"/>
  <c r="J20" i="74"/>
  <c r="C19" i="15"/>
  <c r="C20" i="15"/>
  <c r="C26" i="15"/>
  <c r="C21" i="44"/>
  <c r="C22" i="44"/>
  <c r="C25" i="44"/>
  <c r="C34" i="15"/>
  <c r="F62" i="15"/>
  <c r="C61" i="15"/>
  <c r="J22" i="44"/>
  <c r="C36" i="44"/>
  <c r="J20" i="15"/>
  <c r="R16" i="1"/>
  <c r="H13" i="39"/>
  <c r="J13" i="39"/>
  <c r="F13" i="39"/>
  <c r="K70" i="39"/>
  <c r="J72" i="39"/>
  <c r="E4" i="67"/>
  <c r="U9" i="40"/>
  <c r="AB9" i="40"/>
  <c r="T44" i="40"/>
  <c r="G44" i="40"/>
  <c r="C27" i="46"/>
  <c r="C22" i="43"/>
  <c r="C21" i="43"/>
  <c r="C28" i="43"/>
  <c r="C30" i="43"/>
  <c r="C32" i="43"/>
  <c r="B2" i="43"/>
  <c r="R45" i="40"/>
  <c r="E44" i="40"/>
  <c r="I49" i="40"/>
  <c r="J49" i="40"/>
  <c r="I48" i="40"/>
  <c r="J48" i="40"/>
  <c r="C26" i="46"/>
  <c r="E7" i="67"/>
  <c r="C23" i="75"/>
  <c r="C29" i="75"/>
  <c r="C23" i="74"/>
  <c r="C29" i="74"/>
  <c r="Q50" i="74"/>
  <c r="C23" i="15"/>
  <c r="C29" i="15"/>
  <c r="C36" i="15"/>
  <c r="C28" i="44"/>
  <c r="C31" i="44"/>
  <c r="AC13" i="39"/>
  <c r="W13" i="39"/>
  <c r="AA13" i="39"/>
  <c r="S13" i="39"/>
  <c r="AB13" i="39"/>
  <c r="U13" i="39"/>
  <c r="L70" i="39"/>
  <c r="K72" i="39"/>
  <c r="E3" i="67"/>
  <c r="C44" i="40"/>
  <c r="C45" i="40"/>
  <c r="B2" i="46"/>
  <c r="E48" i="40"/>
  <c r="F48" i="40"/>
  <c r="E49" i="40"/>
  <c r="F49" i="40"/>
  <c r="B4" i="43"/>
  <c r="B5" i="43"/>
  <c r="B3" i="43"/>
  <c r="G48" i="40"/>
  <c r="H48" i="40"/>
  <c r="G49" i="40"/>
  <c r="H49" i="40"/>
  <c r="B7" i="67"/>
  <c r="Q50" i="75"/>
  <c r="C56" i="75"/>
  <c r="C63" i="75"/>
  <c r="C36" i="75"/>
  <c r="J19" i="75"/>
  <c r="J17" i="75"/>
  <c r="J14" i="75"/>
  <c r="J59" i="75"/>
  <c r="J60" i="75"/>
  <c r="Q49" i="75"/>
  <c r="C13" i="75"/>
  <c r="C56" i="74"/>
  <c r="C63" i="74"/>
  <c r="J19" i="74"/>
  <c r="J17" i="74"/>
  <c r="C13" i="74"/>
  <c r="J35" i="74"/>
  <c r="J59" i="74"/>
  <c r="J60" i="74"/>
  <c r="Q49" i="74"/>
  <c r="C36" i="74"/>
  <c r="J14" i="74"/>
  <c r="J22" i="74"/>
  <c r="C56" i="15"/>
  <c r="C63" i="15"/>
  <c r="J19" i="15"/>
  <c r="J17" i="15"/>
  <c r="C33" i="15"/>
  <c r="C31" i="15"/>
  <c r="Q50" i="15"/>
  <c r="J14" i="15"/>
  <c r="J22" i="15"/>
  <c r="J59" i="15"/>
  <c r="J60" i="15"/>
  <c r="Q49" i="15"/>
  <c r="C13" i="15"/>
  <c r="C37" i="15"/>
  <c r="J21" i="44"/>
  <c r="J19" i="44"/>
  <c r="Q51" i="44"/>
  <c r="J16" i="44"/>
  <c r="J15" i="44"/>
  <c r="J25" i="44"/>
  <c r="C35" i="44"/>
  <c r="C33" i="44"/>
  <c r="C38" i="44"/>
  <c r="C15" i="44"/>
  <c r="C43" i="44"/>
  <c r="M70" i="39"/>
  <c r="L72" i="39"/>
  <c r="B2" i="67"/>
  <c r="B54" i="40"/>
  <c r="F54" i="40"/>
  <c r="B56" i="40"/>
  <c r="F56" i="40"/>
  <c r="B55" i="40"/>
  <c r="F55" i="40"/>
  <c r="B60" i="40"/>
  <c r="F60" i="40"/>
  <c r="B62" i="40"/>
  <c r="F62" i="40"/>
  <c r="B61" i="40"/>
  <c r="F61" i="40"/>
  <c r="B53" i="40"/>
  <c r="F53" i="40"/>
  <c r="B58" i="40"/>
  <c r="F58" i="40"/>
  <c r="B57" i="40"/>
  <c r="F57" i="40"/>
  <c r="B59" i="40"/>
  <c r="F59" i="40"/>
  <c r="F63" i="40"/>
  <c r="B2" i="40"/>
  <c r="D4" i="46"/>
  <c r="B3" i="46"/>
  <c r="B4" i="46"/>
  <c r="C37" i="75"/>
  <c r="J35" i="75"/>
  <c r="C55" i="75"/>
  <c r="C64" i="75"/>
  <c r="C57" i="75"/>
  <c r="C66" i="75"/>
  <c r="C67" i="75"/>
  <c r="Q71" i="75"/>
  <c r="J22" i="75"/>
  <c r="J13" i="75"/>
  <c r="J23" i="75"/>
  <c r="C30" i="75"/>
  <c r="C39" i="75"/>
  <c r="Q71" i="74"/>
  <c r="C37" i="74"/>
  <c r="C30" i="74"/>
  <c r="C39" i="74"/>
  <c r="J39" i="74"/>
  <c r="J40" i="74"/>
  <c r="C55" i="74"/>
  <c r="C64" i="74"/>
  <c r="C57" i="74"/>
  <c r="C66" i="74"/>
  <c r="C67" i="74"/>
  <c r="C70" i="74"/>
  <c r="J13" i="74"/>
  <c r="J23" i="74"/>
  <c r="J16" i="74"/>
  <c r="J25" i="74"/>
  <c r="Q71" i="15"/>
  <c r="C30" i="15"/>
  <c r="C39" i="15"/>
  <c r="C40" i="15"/>
  <c r="Q66" i="15"/>
  <c r="J13" i="15"/>
  <c r="J23" i="15"/>
  <c r="J16" i="15"/>
  <c r="J25" i="15"/>
  <c r="C55" i="15"/>
  <c r="C64" i="15"/>
  <c r="C60" i="15"/>
  <c r="C58" i="15"/>
  <c r="J35" i="15"/>
  <c r="J24" i="44"/>
  <c r="J18" i="44"/>
  <c r="J27" i="44"/>
  <c r="C39" i="44"/>
  <c r="C32" i="44"/>
  <c r="C42" i="44"/>
  <c r="Q72" i="44"/>
  <c r="N70" i="39"/>
  <c r="N72" i="39"/>
  <c r="H9" i="39"/>
  <c r="M72" i="39"/>
  <c r="J9" i="39"/>
  <c r="B5" i="40"/>
  <c r="B4" i="40"/>
  <c r="B3" i="40"/>
  <c r="B4" i="67"/>
  <c r="B3" i="67"/>
  <c r="L51" i="75"/>
  <c r="L51" i="74"/>
  <c r="J16" i="75"/>
  <c r="J25" i="75"/>
  <c r="J39" i="15"/>
  <c r="J40" i="15"/>
  <c r="Q68" i="75"/>
  <c r="C70" i="75"/>
  <c r="C40" i="75"/>
  <c r="C46" i="75"/>
  <c r="Q70" i="75"/>
  <c r="Q69" i="75"/>
  <c r="J39" i="75"/>
  <c r="J40" i="75"/>
  <c r="Q70" i="74"/>
  <c r="Q69" i="74"/>
  <c r="Q68" i="74"/>
  <c r="C40" i="74"/>
  <c r="Q66" i="74"/>
  <c r="Q76" i="74"/>
  <c r="C57" i="15"/>
  <c r="C66" i="15"/>
  <c r="C67" i="15"/>
  <c r="C70" i="15"/>
  <c r="L57" i="15"/>
  <c r="L60" i="15"/>
  <c r="L46" i="15"/>
  <c r="B2" i="15"/>
  <c r="Q70" i="15"/>
  <c r="Q69" i="15"/>
  <c r="Q57" i="15"/>
  <c r="C43" i="15"/>
  <c r="J42" i="15"/>
  <c r="J43" i="15"/>
  <c r="Q48" i="15"/>
  <c r="Q54" i="15"/>
  <c r="Q71" i="44"/>
  <c r="Q70" i="44"/>
  <c r="C44" i="44"/>
  <c r="C45" i="44"/>
  <c r="B2" i="44"/>
  <c r="AC9" i="39"/>
  <c r="V49" i="39"/>
  <c r="I49" i="39"/>
  <c r="W9" i="39"/>
  <c r="F9" i="39"/>
  <c r="AB9" i="39"/>
  <c r="T49" i="39"/>
  <c r="G49" i="39"/>
  <c r="U9" i="39"/>
  <c r="L51" i="15"/>
  <c r="Q68" i="15"/>
  <c r="Q66" i="75"/>
  <c r="Q76" i="75"/>
  <c r="Q48" i="75"/>
  <c r="Q54" i="75"/>
  <c r="B2" i="75"/>
  <c r="Q57" i="75"/>
  <c r="Q63" i="75"/>
  <c r="C43" i="75"/>
  <c r="J42" i="75"/>
  <c r="J43" i="75"/>
  <c r="Q57" i="74"/>
  <c r="Q63" i="74"/>
  <c r="J42" i="74"/>
  <c r="J43" i="74"/>
  <c r="Q48" i="74"/>
  <c r="Q54" i="74"/>
  <c r="C46" i="74"/>
  <c r="C43" i="74"/>
  <c r="B2" i="74"/>
  <c r="E10" i="12"/>
  <c r="C46" i="15"/>
  <c r="B3" i="15"/>
  <c r="C8" i="12"/>
  <c r="C10" i="12"/>
  <c r="Q58" i="15"/>
  <c r="Q63" i="15"/>
  <c r="Q67" i="15"/>
  <c r="Q76" i="15"/>
  <c r="B5" i="44"/>
  <c r="B3" i="44"/>
  <c r="B4" i="44"/>
  <c r="G54" i="39"/>
  <c r="H54" i="39"/>
  <c r="G53" i="39"/>
  <c r="H53" i="39"/>
  <c r="S9" i="39"/>
  <c r="AA9" i="39"/>
  <c r="R49" i="39"/>
  <c r="I53" i="39"/>
  <c r="J53" i="39"/>
  <c r="D10" i="12"/>
  <c r="C6" i="12"/>
  <c r="B3" i="75"/>
  <c r="D8" i="12"/>
  <c r="B3" i="74"/>
  <c r="E8" i="12"/>
  <c r="E49" i="39"/>
  <c r="R50" i="39"/>
  <c r="C24" i="12"/>
  <c r="C29" i="12"/>
  <c r="C50" i="39"/>
  <c r="C49" i="39"/>
  <c r="E53" i="39"/>
  <c r="F53" i="39"/>
  <c r="E54" i="39"/>
  <c r="F54" i="39"/>
  <c r="I54" i="39"/>
  <c r="J54" i="39"/>
  <c r="C35" i="12"/>
  <c r="C33" i="12"/>
  <c r="C28" i="12"/>
  <c r="C26" i="12"/>
  <c r="C31" i="12"/>
  <c r="C30" i="12"/>
  <c r="B62" i="39"/>
  <c r="F62" i="39"/>
  <c r="B64" i="39"/>
  <c r="F64" i="39"/>
  <c r="B66" i="39"/>
  <c r="F66" i="39"/>
  <c r="B58" i="39"/>
  <c r="F58" i="39"/>
  <c r="B61" i="39"/>
  <c r="F61" i="39"/>
  <c r="B67" i="39"/>
  <c r="F67" i="39"/>
  <c r="B65" i="39"/>
  <c r="F65" i="39"/>
  <c r="B60" i="39"/>
  <c r="F60" i="39"/>
  <c r="B59" i="39"/>
  <c r="F59" i="39"/>
  <c r="B63" i="39"/>
  <c r="F63" i="39"/>
  <c r="C36" i="12"/>
  <c r="B2" i="12"/>
  <c r="B3" i="12"/>
  <c r="F68" i="39"/>
  <c r="B2" i="39"/>
  <c r="B3" i="39"/>
  <c r="D20" i="9"/>
  <c r="C20" i="9"/>
  <c r="D19" i="9"/>
  <c r="C19" i="9"/>
  <c r="L44" i="9"/>
  <c r="B4" i="12"/>
  <c r="B5" i="12"/>
  <c r="B4" i="39"/>
  <c r="B5" i="39"/>
  <c r="D22" i="9"/>
  <c r="L43" i="9"/>
  <c r="G19" i="9"/>
  <c r="C32" i="9"/>
  <c r="G20" i="9"/>
  <c r="D21" i="9"/>
  <c r="C21" i="9"/>
  <c r="G21" i="9"/>
  <c r="J21" i="9"/>
  <c r="G22" i="9"/>
  <c r="N43" i="9"/>
  <c r="O38" i="9"/>
  <c r="O43" i="9"/>
  <c r="C34" i="9"/>
  <c r="C42" i="9"/>
  <c r="C33" i="9"/>
  <c r="C35" i="9"/>
  <c r="F42" i="9"/>
  <c r="R24" i="31"/>
  <c r="R26" i="31"/>
  <c r="S26" i="31"/>
  <c r="R25" i="31"/>
  <c r="S25" i="31"/>
  <c r="D14" i="66"/>
  <c r="N68" i="9"/>
  <c r="D63" i="9"/>
  <c r="R5" i="54"/>
  <c r="B48" i="63"/>
  <c r="N38" i="9"/>
  <c r="K28" i="9"/>
  <c r="D42" i="9"/>
  <c r="Q5" i="54"/>
  <c r="B47" i="63"/>
  <c r="M38" i="9"/>
  <c r="K27" i="9"/>
  <c r="E42" i="9"/>
  <c r="P5" i="54"/>
  <c r="B46" i="63"/>
  <c r="K25" i="9"/>
  <c r="K26" i="9"/>
  <c r="S24" i="31"/>
  <c r="S22" i="31"/>
  <c r="D71" i="9"/>
  <c r="D66" i="9"/>
  <c r="N72" i="9"/>
  <c r="D77" i="9"/>
  <c r="N75" i="9"/>
  <c r="C111" i="9"/>
  <c r="C104" i="9"/>
  <c r="C103" i="9"/>
  <c r="D70" i="9"/>
  <c r="C90" i="9"/>
  <c r="C82" i="9"/>
  <c r="C81" i="9"/>
  <c r="C85" i="9"/>
  <c r="C86" i="9"/>
  <c r="D72" i="9"/>
  <c r="C96" i="9"/>
  <c r="C91" i="9"/>
  <c r="E14" i="66"/>
  <c r="F14" i="66"/>
  <c r="R22" i="31"/>
  <c r="B21" i="31"/>
  <c r="B20" i="31"/>
  <c r="C97" i="9"/>
  <c r="C113" i="9"/>
  <c r="C114" i="9"/>
  <c r="E114" i="9"/>
  <c r="E115" i="9"/>
  <c r="C98" i="9"/>
  <c r="E98" i="9"/>
  <c r="E99" i="9"/>
  <c r="C99" i="9"/>
  <c r="C115" i="9"/>
  <c r="D76" i="9"/>
  <c r="D74" i="9"/>
  <c r="N74" i="9"/>
  <c r="O77" i="9"/>
  <c r="Q77" i="9"/>
  <c r="O79" i="9"/>
  <c r="O81" i="9"/>
  <c r="O78" i="9"/>
  <c r="O80" i="9"/>
  <c r="D15" i="66"/>
  <c r="F15" i="66"/>
  <c r="E15" i="66"/>
  <c r="B5"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<sst xmlns="http://schemas.openxmlformats.org/spreadsheetml/2006/main" count="8402" uniqueCount="3337">
  <si>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</si>
  <si>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</si>
  <si>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</si>
  <si>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</si>
  <si>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</si>
  <si>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</si>
  <si>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</si>
  <si>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</si>
  <si>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</si>
  <si>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</si>
  <si>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</si>
  <si>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</si>
  <si>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</si>
  <si>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</si>
  <si>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</si>
  <si>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</si>
  <si>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</si>
  <si>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</si>
  <si>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</si>
  <si>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</si>
  <si>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</si>
  <si>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</si>
  <si>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</si>
  <si>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</si>
  <si>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</si>
  <si>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</si>
  <si>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</si>
  <si>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</si>
  <si>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</si>
  <si>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</si>
  <si>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</si>
  <si>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</si>
  <si>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</si>
  <si>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</si>
  <si>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</si>
  <si>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</si>
  <si>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</si>
  <si>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</si>
  <si>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</si>
  <si>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</si>
  <si>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</si>
  <si>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</si>
  <si>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</si>
  <si>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</si>
  <si>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</si>
  <si>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</si>
  <si>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</si>
  <si>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</si>
  <si>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</si>
  <si>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</si>
  <si>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</si>
  <si>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</si>
  <si>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</si>
  <si>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</si>
  <si>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</si>
  <si>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</si>
  <si>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</si>
  <si>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</si>
  <si>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</si>
  <si>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</si>
  <si>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</si>
  <si>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</si>
  <si>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</si>
  <si>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</si>
  <si>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</si>
  <si>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</si>
  <si>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</si>
  <si>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</si>
  <si>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</si>
  <si>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</si>
  <si>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</si>
  <si>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</si>
  <si>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</si>
  <si>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</si>
  <si>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</si>
  <si>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</si>
  <si>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</si>
  <si>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</si>
  <si>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</si>
  <si>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</si>
  <si>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</si>
  <si>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</si>
  <si>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</si>
  <si>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</si>
  <si>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</si>
  <si>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</si>
  <si>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</si>
  <si>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</si>
  <si>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</si>
  <si>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</si>
  <si>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</si>
  <si>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</si>
  <si>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</si>
  <si>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</si>
  <si>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</si>
  <si>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</si>
  <si>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</si>
  <si>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</si>
  <si>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</si>
  <si>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</si>
  <si>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</si>
  <si>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</si>
  <si>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</si>
  <si>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</si>
  <si>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</si>
  <si>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</si>
  <si>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</si>
  <si>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</si>
  <si>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</si>
  <si>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</si>
  <si>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</si>
  <si>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</si>
  <si>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</si>
  <si>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</si>
  <si>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</si>
  <si>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</si>
  <si>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</si>
  <si>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</si>
  <si>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</si>
  <si>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</si>
  <si>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</si>
  <si>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</si>
  <si>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</si>
  <si>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</si>
  <si>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</si>
  <si>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</si>
  <si>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</si>
  <si>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</si>
  <si>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</si>
  <si>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</si>
  <si>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</si>
  <si>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</si>
  <si>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</si>
  <si>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</si>
  <si>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</si>
  <si>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</si>
  <si>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</si>
  <si>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</si>
  <si>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</si>
  <si>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</si>
  <si>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</si>
  <si>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</si>
  <si>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</si>
  <si>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</si>
  <si>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</si>
  <si>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</si>
  <si>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</si>
  <si>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</si>
  <si>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</si>
  <si>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</si>
  <si>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</si>
  <si>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</si>
  <si>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</si>
  <si>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</si>
  <si>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</si>
  <si>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</si>
  <si>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</si>
  <si>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</si>
  <si>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</si>
  <si>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</si>
  <si>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</si>
  <si>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</si>
  <si>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</si>
  <si>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</si>
  <si>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</si>
  <si>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</si>
  <si>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</si>
  <si>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</si>
  <si>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</si>
  <si>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</si>
  <si>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</si>
  <si>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</si>
  <si>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</si>
  <si>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</si>
  <si>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</si>
  <si>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</si>
  <si>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</si>
  <si>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</si>
  <si>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</si>
  <si>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</si>
  <si>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</si>
  <si>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</si>
  <si>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</si>
  <si>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</si>
  <si>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</si>
  <si>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</si>
  <si>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</si>
  <si>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</si>
  <si>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</si>
  <si>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</si>
  <si>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</si>
  <si>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</si>
  <si>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</si>
  <si>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</si>
  <si>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</si>
  <si>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</si>
  <si>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</si>
  <si>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</si>
  <si>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</si>
  <si>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</si>
  <si>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</si>
  <si>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</si>
  <si>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</si>
  <si>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</si>
  <si>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</si>
  <si>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</si>
  <si>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</si>
  <si>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</si>
  <si>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</si>
  <si>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</si>
  <si>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</si>
  <si>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</si>
  <si>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</si>
  <si>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</si>
  <si>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</si>
  <si>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</si>
  <si>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</si>
  <si>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</si>
  <si>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</si>
  <si>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</si>
  <si>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</si>
  <si>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</si>
  <si>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</si>
  <si>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</si>
  <si>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</si>
  <si>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</si>
  <si>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</si>
  <si>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</si>
  <si>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</si>
  <si>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</si>
  <si>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</si>
  <si>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</si>
  <si>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</si>
  <si>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</si>
  <si>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</si>
  <si>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</si>
  <si>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</si>
  <si>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</si>
  <si>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</si>
  <si>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</si>
  <si>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</si>
  <si>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</si>
  <si>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</si>
  <si>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</si>
  <si>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</si>
  <si>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</si>
  <si>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</si>
  <si>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</si>
  <si>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</si>
  <si>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</si>
  <si>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</si>
  <si>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</si>
  <si>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</si>
  <si>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</si>
  <si>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</si>
  <si>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</si>
  <si>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</si>
  <si>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</si>
  <si>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</si>
  <si>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</si>
  <si>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</si>
  <si>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</si>
  <si>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</si>
  <si>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</si>
  <si>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</si>
  <si>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</si>
  <si>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</si>
  <si>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</si>
  <si>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</si>
  <si>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</si>
  <si>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</si>
  <si>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</si>
  <si>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</si>
  <si>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</si>
  <si>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</si>
  <si>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</si>
  <si>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</si>
  <si>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</si>
  <si>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</si>
  <si>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</si>
  <si>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</si>
  <si>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</si>
  <si>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</si>
  <si>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</si>
  <si>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</si>
  <si>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</si>
  <si>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</si>
  <si>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</si>
  <si>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</si>
  <si>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</si>
  <si>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</si>
  <si>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</si>
  <si>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</si>
  <si>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</si>
  <si>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</si>
  <si>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</si>
  <si>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</si>
  <si>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</si>
  <si>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</si>
  <si>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</si>
  <si>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</si>
  <si>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</si>
  <si>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</si>
  <si>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</si>
  <si>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</si>
  <si>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</si>
  <si>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</si>
  <si>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</si>
  <si>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</si>
  <si>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</si>
  <si>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</si>
  <si>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</si>
  <si>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</si>
  <si>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</si>
  <si>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</si>
  <si>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</si>
  <si>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</si>
  <si>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</si>
  <si>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</si>
  <si>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</si>
  <si>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</si>
  <si>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</si>
  <si>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</si>
  <si>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</si>
  <si>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</si>
  <si>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</si>
  <si>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</si>
  <si>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</si>
  <si>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</si>
  <si>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</si>
  <si>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</si>
  <si>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</si>
  <si>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</si>
  <si>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</si>
  <si>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</si>
  <si>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</si>
  <si>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</si>
  <si>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</si>
  <si>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</si>
  <si>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</si>
  <si>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</si>
  <si>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</si>
  <si>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</si>
  <si>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</si>
  <si>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</si>
  <si>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</si>
  <si>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</si>
  <si>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</si>
  <si>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</si>
  <si>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</si>
  <si>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</si>
  <si>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</si>
  <si>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</si>
  <si>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</si>
  <si>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</si>
  <si>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</si>
  <si>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</si>
  <si>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</si>
  <si>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</si>
  <si>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</si>
  <si>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</si>
  <si>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</si>
  <si>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</si>
  <si>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</si>
  <si>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</si>
  <si>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</si>
  <si>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</si>
  <si>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</si>
  <si>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</si>
  <si>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</si>
  <si>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</si>
  <si>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</si>
  <si>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</si>
  <si>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</si>
  <si>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</si>
  <si>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</si>
  <si>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</si>
  <si>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</si>
  <si>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</si>
  <si>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</si>
  <si>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</si>
  <si>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</si>
  <si>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</si>
  <si>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</si>
  <si>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</si>
  <si>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</si>
  <si>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</si>
  <si>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</si>
  <si>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</si>
  <si>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</si>
  <si>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</si>
  <si>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</si>
  <si>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</si>
  <si>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</si>
  <si>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</si>
  <si>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</si>
  <si>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</si>
  <si>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</si>
  <si>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</si>
  <si>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</si>
  <si>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</si>
  <si>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</si>
  <si>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</si>
  <si>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</si>
  <si>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</si>
  <si>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</si>
  <si>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</si>
  <si>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</si>
  <si>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</si>
  <si>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</si>
  <si>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</si>
  <si>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</si>
  <si>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</si>
  <si>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</si>
  <si>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</si>
  <si>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</si>
  <si>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</si>
  <si>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</si>
  <si>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</si>
  <si>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</si>
  <si>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</si>
  <si>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</si>
  <si>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</si>
  <si>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</si>
  <si>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</si>
  <si>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</si>
  <si>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</si>
  <si>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</si>
  <si>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</si>
  <si>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</si>
  <si>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</si>
  <si>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</si>
  <si>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</si>
  <si>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</si>
  <si>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</si>
  <si>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</si>
  <si>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</si>
  <si>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</si>
  <si>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</si>
  <si>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</si>
  <si>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</si>
  <si>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</si>
  <si>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</si>
  <si>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</si>
  <si>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</si>
  <si>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</si>
  <si>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</si>
  <si>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</si>
  <si>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</si>
  <si>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</si>
  <si>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</si>
  <si>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</si>
  <si>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</si>
  <si>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</si>
  <si>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</si>
  <si>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</si>
  <si>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</si>
  <si>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</si>
  <si>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</si>
  <si>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</si>
  <si>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</si>
  <si>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</si>
  <si>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</si>
  <si>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</si>
  <si>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</si>
  <si>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</si>
  <si>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</si>
  <si>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</si>
  <si>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</si>
  <si>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</si>
  <si>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</si>
  <si>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</si>
  <si>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</si>
  <si>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</si>
  <si>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</si>
  <si>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</si>
  <si>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</si>
  <si>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</si>
  <si>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</si>
  <si>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</si>
  <si>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</si>
  <si>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</si>
  <si>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</si>
  <si>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</si>
  <si>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</si>
  <si>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</si>
  <si>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</si>
  <si>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</si>
  <si>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</si>
  <si>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</si>
  <si>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</si>
  <si>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</si>
  <si>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</si>
  <si>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</si>
  <si>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</si>
  <si>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</si>
  <si>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</si>
  <si>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</si>
  <si>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</si>
  <si>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</si>
  <si>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</si>
  <si>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</si>
  <si>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</si>
  <si>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</si>
  <si>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</si>
  <si>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</si>
  <si>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</si>
  <si>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</si>
  <si>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</si>
  <si>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</si>
  <si>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</si>
  <si>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</si>
  <si>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</si>
  <si>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</si>
  <si>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</si>
  <si>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</si>
  <si>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</si>
  <si>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</si>
  <si>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</si>
  <si>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</si>
  <si>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</si>
  <si>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</si>
  <si>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</si>
  <si>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</si>
  <si>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</si>
  <si>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</si>
  <si>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</si>
  <si>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</si>
  <si>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</si>
  <si>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</si>
  <si>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</si>
  <si>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</si>
  <si>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</si>
  <si>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</si>
  <si>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</si>
  <si>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</si>
  <si>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</si>
  <si>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</si>
  <si>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</si>
  <si>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</si>
  <si>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</si>
  <si>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</si>
  <si>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</si>
  <si>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</si>
  <si>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</si>
  <si>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</si>
  <si>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</si>
  <si>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</si>
  <si>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</si>
  <si>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</si>
  <si>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</si>
  <si>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</si>
  <si>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</si>
  <si>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</si>
  <si>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</si>
  <si>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</si>
  <si>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</si>
  <si>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</si>
  <si>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</si>
  <si>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</si>
  <si>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</si>
  <si>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</si>
  <si>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</si>
  <si>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</si>
  <si>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</si>
  <si>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</si>
  <si>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</si>
  <si>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</si>
  <si>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</si>
  <si>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</si>
  <si>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</si>
  <si>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</si>
  <si>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</si>
  <si>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</si>
  <si>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</si>
  <si>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</si>
  <si>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</si>
  <si>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</si>
  <si>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</si>
  <si>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</si>
  <si>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</si>
  <si>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</si>
  <si>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</si>
  <si>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</si>
  <si>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</si>
  <si>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</si>
  <si>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</si>
  <si>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</si>
  <si>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</si>
  <si>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</si>
  <si>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</si>
  <si>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</si>
  <si>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</si>
  <si>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</si>
  <si>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</si>
  <si>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</si>
  <si>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</si>
  <si>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</si>
  <si>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</si>
  <si>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</si>
  <si>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</si>
  <si>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</si>
  <si>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</si>
  <si>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</si>
  <si>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</si>
  <si>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</si>
  <si>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</si>
  <si>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</si>
  <si>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</si>
  <si>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</si>
  <si>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</si>
  <si>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</si>
  <si>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</si>
  <si>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</si>
  <si>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</si>
  <si>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</si>
  <si>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</si>
  <si>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</si>
  <si>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</si>
  <si>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</si>
  <si>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</si>
  <si>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</si>
  <si>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</si>
  <si>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</si>
  <si>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</si>
  <si>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</si>
  <si>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</si>
  <si>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</si>
  <si>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</si>
  <si>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</si>
  <si>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</si>
  <si>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</si>
  <si>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</si>
  <si>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</si>
  <si>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</si>
  <si>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</si>
  <si>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</si>
  <si>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</si>
  <si>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</si>
  <si>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</si>
  <si>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</si>
  <si>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</si>
  <si>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</si>
  <si>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</si>
  <si>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</si>
  <si>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</si>
  <si>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</si>
  <si>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</si>
  <si>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</si>
  <si>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</si>
  <si>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</si>
  <si>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</si>
  <si>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</si>
  <si>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</si>
  <si>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</si>
  <si>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</si>
  <si>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</si>
  <si>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</si>
  <si>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</si>
  <si>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</si>
  <si>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</si>
  <si>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</si>
  <si>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</si>
  <si>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</si>
  <si>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</si>
  <si>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</si>
  <si>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</si>
  <si>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</si>
  <si>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</si>
  <si>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</si>
  <si>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</si>
  <si>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</si>
  <si>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</si>
  <si>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</si>
  <si>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</si>
  <si>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</si>
  <si>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</si>
  <si>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</si>
  <si>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</si>
  <si>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</si>
  <si>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</si>
  <si>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</si>
  <si>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</si>
  <si>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</si>
  <si>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</si>
  <si>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</si>
  <si>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</si>
  <si>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</si>
  <si>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</si>
  <si>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</si>
  <si>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</si>
  <si>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</si>
  <si>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</si>
  <si>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</si>
  <si>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</si>
  <si>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</si>
  <si>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</si>
  <si>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</si>
  <si>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</si>
  <si>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</si>
  <si>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</si>
  <si>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</si>
  <si>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</si>
  <si>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</si>
  <si>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</si>
  <si>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</si>
  <si>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</si>
  <si>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</si>
  <si>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</si>
  <si>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</si>
  <si>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</si>
  <si>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</si>
  <si>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</si>
  <si>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</si>
  <si>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</si>
  <si>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</si>
  <si>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</si>
  <si>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</si>
  <si>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</si>
  <si>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</si>
  <si>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</si>
  <si>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</si>
  <si>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</si>
  <si>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</si>
  <si>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</si>
  <si>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</si>
  <si>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</si>
  <si>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</si>
  <si>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</si>
  <si>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</si>
  <si>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</si>
  <si>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</si>
  <si>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</si>
  <si>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</si>
  <si>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</si>
  <si>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</si>
  <si>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</si>
  <si>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</si>
  <si>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</si>
  <si>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</si>
  <si>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</si>
  <si>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</si>
  <si>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</si>
  <si>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</si>
  <si>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</si>
  <si>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</si>
  <si>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</si>
  <si>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</si>
  <si>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</si>
  <si>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</si>
  <si>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</si>
  <si>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</si>
  <si>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</si>
  <si>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</si>
  <si>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</si>
  <si>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</si>
  <si>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</si>
  <si>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</si>
  <si>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</si>
  <si>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</si>
  <si>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</si>
  <si>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</si>
  <si>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</si>
  <si>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</si>
  <si>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</si>
  <si>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</si>
  <si>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</si>
  <si>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</si>
  <si>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</si>
  <si>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</si>
  <si>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</si>
  <si>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</si>
  <si>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</si>
  <si>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</si>
  <si>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</si>
  <si>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</si>
  <si>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</si>
  <si>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</si>
  <si>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</si>
  <si>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</si>
  <si>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</si>
  <si>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</si>
  <si>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</si>
  <si>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</si>
  <si>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</si>
  <si>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</si>
  <si>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</si>
  <si>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</si>
  <si>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</si>
  <si>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</si>
  <si>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</si>
  <si>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</si>
  <si>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</si>
  <si>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</si>
  <si>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</si>
  <si>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</si>
  <si>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</si>
  <si>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</si>
  <si>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</si>
  <si>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</si>
  <si>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</si>
  <si>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</si>
  <si>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</si>
  <si>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</si>
  <si>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</si>
  <si>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</si>
  <si>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</si>
  <si>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</si>
  <si>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</si>
  <si>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</si>
  <si>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</si>
  <si>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</si>
  <si>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</si>
  <si>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</si>
  <si>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</si>
  <si>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</si>
  <si>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</si>
  <si>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</si>
  <si>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</si>
  <si>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</si>
  <si>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</si>
  <si>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</si>
  <si>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</si>
  <si>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</si>
  <si>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</si>
  <si>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</si>
  <si>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</si>
  <si>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</si>
  <si>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</si>
  <si>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</si>
  <si>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</si>
  <si>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</si>
  <si>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</si>
  <si>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</si>
  <si>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</si>
  <si>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</si>
  <si>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</si>
  <si>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</si>
  <si>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</si>
  <si>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</si>
  <si>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</si>
  <si>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</si>
  <si>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</si>
  <si>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</si>
  <si>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</si>
  <si>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</si>
  <si>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</si>
  <si>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</si>
  <si>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</si>
  <si>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</si>
  <si>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</si>
  <si>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</si>
  <si>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</si>
  <si>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</si>
  <si>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</si>
  <si>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</si>
  <si>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</si>
  <si>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</si>
  <si>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</si>
  <si>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</si>
  <si>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</si>
  <si>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</si>
  <si>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</si>
  <si>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</si>
  <si>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</si>
  <si>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</si>
  <si>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</si>
  <si>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</si>
  <si>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</si>
  <si>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</si>
  <si>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</si>
  <si>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</si>
  <si>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</si>
  <si>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</si>
  <si>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</si>
  <si>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</si>
  <si>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</si>
  <si>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</si>
  <si>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</si>
  <si>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</si>
  <si>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</si>
  <si>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</si>
  <si>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</si>
  <si>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</si>
  <si>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</si>
  <si>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</si>
  <si>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</si>
  <si>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</si>
  <si>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</si>
  <si>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</si>
  <si>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</si>
  <si>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</si>
  <si>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</si>
  <si>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</si>
  <si>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</si>
  <si>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</si>
  <si>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</si>
  <si>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</si>
  <si>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</si>
  <si>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</si>
  <si>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</si>
  <si>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</si>
  <si>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</si>
  <si>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</si>
  <si>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</si>
  <si>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</si>
  <si>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</si>
  <si>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</si>
  <si>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</si>
  <si>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</si>
  <si>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</si>
  <si>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</si>
  <si>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</si>
  <si>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</si>
  <si>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</si>
  <si>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</si>
  <si>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</si>
  <si>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</si>
  <si>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</si>
  <si>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</si>
  <si>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</si>
  <si>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</si>
  <si>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</si>
  <si>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</si>
  <si>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</si>
  <si>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</si>
  <si>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</si>
  <si>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</si>
  <si>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</si>
  <si>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</si>
  <si>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</si>
  <si>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</si>
  <si>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</si>
  <si>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</si>
  <si>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</si>
  <si>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</si>
  <si>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</si>
  <si>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</si>
  <si>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</si>
  <si>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</si>
  <si>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</si>
  <si>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</si>
  <si>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</si>
  <si>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</si>
  <si>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</si>
  <si>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</si>
  <si>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</si>
  <si>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</si>
  <si>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</si>
  <si>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</si>
  <si>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</si>
  <si>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</si>
  <si>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</si>
  <si>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</si>
  <si>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</si>
  <si>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</si>
  <si>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</si>
  <si>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</si>
  <si>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</si>
  <si>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</si>
  <si>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</si>
  <si>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</si>
  <si>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</si>
  <si>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</si>
  <si>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</si>
  <si>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</si>
  <si>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</si>
  <si>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</si>
  <si>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</si>
  <si>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</si>
  <si>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</si>
  <si>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</si>
  <si>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</si>
  <si>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</si>
  <si>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</si>
  <si>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</si>
  <si>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</si>
  <si>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</si>
  <si>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</si>
  <si>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</si>
  <si>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</si>
  <si>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</si>
  <si>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</si>
  <si>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</si>
  <si>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</si>
  <si>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</si>
  <si>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</si>
  <si>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</si>
  <si>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</si>
  <si>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</si>
  <si>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</si>
  <si>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</si>
  <si>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</si>
  <si>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</si>
  <si>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</si>
  <si>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</si>
  <si>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</si>
  <si>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</si>
  <si>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</si>
  <si>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</si>
  <si>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</si>
  <si>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</si>
  <si>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</si>
  <si>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</si>
  <si>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</si>
  <si>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</si>
  <si>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</si>
  <si>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</si>
  <si>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</si>
  <si>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</si>
  <si>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</si>
  <si>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</si>
  <si>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</si>
  <si>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</si>
  <si>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</si>
  <si>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</si>
  <si>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</si>
  <si>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</si>
  <si>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</si>
  <si>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</si>
  <si>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</si>
  <si>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</si>
  <si>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</si>
  <si>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</si>
  <si>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</si>
  <si>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</si>
  <si>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</si>
  <si>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</si>
  <si>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</si>
  <si>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</si>
  <si>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</si>
  <si>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</si>
  <si>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</si>
  <si>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</si>
  <si>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</si>
  <si>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</si>
  <si>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</si>
  <si>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</si>
  <si>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</si>
  <si>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</si>
  <si>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</si>
  <si>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</si>
  <si>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</si>
  <si>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</si>
  <si>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</si>
  <si>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</si>
  <si>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</si>
  <si>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</si>
  <si>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</si>
  <si>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</si>
  <si>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</si>
  <si>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</si>
  <si>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</si>
  <si>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</si>
  <si>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</si>
  <si>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</si>
  <si>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</si>
  <si>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</si>
  <si>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</si>
  <si>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</si>
  <si>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</si>
  <si>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</si>
  <si>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</si>
  <si>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</si>
  <si>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</si>
  <si>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</si>
  <si>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</si>
  <si>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</si>
  <si>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</si>
  <si>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</si>
  <si>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</si>
  <si>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</si>
  <si>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</si>
  <si>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</si>
  <si>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</si>
  <si>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</si>
  <si>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</si>
  <si>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</si>
  <si>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</si>
  <si>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</si>
  <si>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</si>
  <si>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</si>
  <si>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</si>
  <si>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</si>
  <si>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</si>
  <si>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</si>
  <si>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</si>
  <si>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</si>
  <si>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</si>
  <si>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</si>
  <si>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</si>
  <si>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</si>
  <si>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</si>
  <si>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</si>
  <si>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</si>
  <si>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</si>
  <si>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</si>
  <si>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</si>
  <si>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</si>
  <si>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</si>
  <si>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</si>
  <si>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</si>
  <si>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</si>
  <si>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</si>
  <si>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</si>
  <si>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</si>
  <si>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</si>
  <si>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</si>
  <si>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</si>
  <si>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</si>
  <si>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</si>
  <si>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</si>
  <si>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</si>
  <si>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</si>
  <si>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</si>
  <si>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</si>
  <si>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</si>
  <si>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</si>
  <si>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</si>
  <si>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</si>
  <si>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</si>
  <si>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</si>
  <si>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</si>
  <si>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</si>
  <si>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</si>
  <si>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</si>
  <si>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</si>
  <si>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</si>
  <si>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</si>
  <si>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</si>
  <si>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</si>
  <si>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</si>
  <si>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</si>
  <si>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</si>
  <si>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</si>
  <si>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</si>
  <si>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</si>
  <si>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</si>
  <si>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</si>
  <si>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</si>
  <si>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</si>
  <si>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</si>
  <si>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</si>
  <si>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</si>
  <si>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</si>
  <si>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</si>
  <si>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</si>
  <si>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</si>
  <si>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</si>
  <si>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</si>
  <si>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</si>
  <si>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</si>
  <si>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</si>
  <si>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</si>
  <si>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</si>
  <si>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</si>
  <si>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</si>
  <si>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</si>
  <si>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</si>
  <si>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</si>
  <si>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</si>
  <si>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</si>
  <si>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</si>
  <si>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</si>
  <si>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</si>
  <si>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</si>
  <si>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</si>
  <si>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</si>
  <si>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</si>
  <si>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</si>
  <si>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</si>
  <si>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</si>
  <si>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</si>
  <si>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</si>
  <si>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</si>
  <si>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</si>
  <si>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</si>
  <si>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</si>
  <si>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</si>
  <si>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</si>
  <si>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</si>
  <si>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</si>
  <si>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</si>
  <si>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</si>
  <si>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</si>
  <si>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</si>
  <si>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</si>
  <si>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</si>
  <si>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</si>
  <si>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</si>
  <si>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</si>
  <si>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</si>
  <si>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</si>
  <si>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</si>
  <si>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</si>
  <si>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</si>
  <si>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</si>
  <si>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</si>
  <si>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</si>
  <si>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</si>
  <si>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</si>
  <si>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</si>
  <si>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</si>
  <si>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</si>
  <si>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</si>
  <si>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</si>
  <si>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</si>
  <si>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</si>
  <si>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</si>
  <si>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</si>
  <si>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</si>
  <si>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</si>
  <si>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</si>
  <si>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</si>
  <si>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</si>
  <si>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</si>
  <si>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</si>
  <si>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</si>
  <si>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</si>
  <si>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</si>
  <si>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</si>
  <si>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</si>
  <si>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</si>
  <si>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</si>
  <si>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</si>
  <si>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</si>
  <si>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</si>
  <si>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</si>
  <si>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</si>
  <si>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</si>
  <si>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</si>
  <si>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</si>
  <si>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</si>
  <si>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</si>
  <si>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</si>
  <si>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</si>
  <si>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</si>
  <si>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</si>
  <si>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</si>
  <si>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</si>
  <si>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</si>
  <si>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</si>
  <si>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</si>
  <si>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</si>
  <si>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</si>
  <si>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</si>
  <si>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</si>
  <si>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</si>
  <si>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</si>
  <si>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</si>
  <si>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</si>
  <si>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</si>
  <si>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</si>
  <si>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</si>
  <si>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</si>
  <si>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</si>
  <si>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</si>
  <si>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</si>
  <si>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</si>
  <si>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</si>
  <si>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</si>
  <si>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</si>
  <si>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</si>
  <si>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</si>
  <si>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</si>
  <si>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</si>
  <si>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</si>
  <si>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</si>
  <si>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</si>
  <si>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</si>
  <si>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</si>
  <si>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</si>
  <si>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</si>
  <si>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</si>
  <si>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</si>
  <si>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</si>
  <si>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</si>
  <si>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</si>
  <si>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</si>
  <si>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</si>
  <si>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</si>
  <si>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</si>
  <si>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</si>
  <si>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</si>
  <si>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</si>
  <si>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</si>
  <si>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</si>
  <si>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</si>
  <si>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</si>
  <si>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</si>
  <si>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</si>
  <si>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</si>
  <si>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</si>
  <si>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</si>
  <si>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</si>
  <si>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</si>
  <si>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</si>
  <si>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</si>
  <si>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</si>
  <si>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</si>
  <si>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</si>
  <si>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</si>
  <si>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</si>
  <si>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</si>
  <si>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</si>
  <si>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</si>
  <si>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</si>
  <si>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</si>
  <si>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</si>
  <si>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</si>
  <si>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</si>
  <si>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</si>
  <si>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</si>
  <si>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</si>
  <si>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</si>
  <si>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</si>
  <si>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</si>
  <si>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</si>
  <si>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</si>
  <si>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</si>
  <si>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</si>
  <si>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</si>
  <si>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</si>
  <si>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</si>
  <si>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</si>
  <si>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</si>
  <si>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</si>
  <si>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</si>
  <si>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</si>
  <si>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</si>
  <si>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</si>
  <si>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</si>
  <si>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</si>
  <si>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</si>
  <si>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</si>
  <si>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</si>
  <si>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</si>
  <si>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</si>
  <si>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</si>
  <si>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</si>
  <si>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</si>
  <si>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</si>
  <si>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</si>
  <si>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</si>
  <si>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</si>
  <si>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</si>
  <si>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</si>
  <si>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</si>
  <si>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</si>
  <si>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</si>
  <si>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</si>
  <si>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</si>
  <si>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</si>
  <si>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</si>
  <si>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</si>
  <si>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</si>
  <si>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</si>
  <si>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</si>
  <si>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</si>
  <si>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</si>
  <si>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</si>
  <si>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</si>
  <si>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</si>
  <si>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</si>
  <si>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</si>
  <si>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</si>
  <si>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</si>
  <si>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</si>
  <si>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</si>
  <si>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</si>
  <si>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</si>
  <si>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</si>
  <si>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</si>
  <si>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</si>
  <si>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</si>
  <si>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</si>
  <si>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</si>
  <si>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</si>
  <si>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</si>
  <si>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</si>
  <si>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</si>
  <si>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</si>
  <si>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</si>
  <si>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</si>
  <si>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</si>
  <si>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</si>
  <si>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</si>
  <si>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</si>
  <si>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</si>
  <si>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</si>
  <si>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</si>
  <si>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</si>
  <si>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</si>
  <si>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</si>
  <si>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</si>
  <si>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</si>
  <si>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</si>
  <si>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</si>
  <si>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</si>
  <si>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</si>
  <si>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</si>
  <si>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</si>
  <si>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</si>
  <si>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</si>
  <si>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</si>
  <si>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</si>
  <si>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</si>
  <si>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</si>
  <si>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</si>
  <si>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</si>
  <si>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</si>
  <si>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</si>
  <si>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</si>
  <si>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</si>
  <si>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</si>
  <si>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</si>
  <si>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</si>
  <si>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</si>
  <si>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</si>
  <si>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</si>
  <si>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</si>
  <si>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</si>
  <si>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</si>
  <si>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</si>
  <si>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</si>
  <si>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</si>
  <si>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</si>
  <si>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</si>
  <si>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</si>
  <si>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</si>
  <si>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</si>
  <si>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</si>
  <si>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</si>
  <si>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</si>
  <si>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</si>
  <si>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</si>
  <si>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</si>
  <si>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</si>
  <si>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</si>
  <si>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</si>
  <si>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</si>
  <si>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</si>
  <si>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</si>
  <si>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</si>
  <si>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</si>
  <si>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</si>
  <si>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</si>
  <si>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</si>
  <si>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</si>
  <si>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</si>
  <si>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</si>
  <si>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</si>
  <si>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</si>
  <si>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</si>
  <si>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</si>
  <si>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</si>
  <si>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</si>
  <si>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</si>
  <si>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</si>
  <si>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</si>
  <si>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</si>
  <si>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</si>
  <si>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</si>
  <si>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</si>
  <si>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</si>
  <si>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</si>
  <si>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</si>
  <si>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</si>
  <si>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</si>
  <si>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</si>
  <si>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</si>
  <si>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</si>
  <si>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</si>
  <si>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</si>
  <si>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</si>
  <si>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</si>
  <si>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</si>
  <si>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</si>
  <si>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</si>
  <si>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</si>
  <si>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</si>
  <si>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</si>
  <si>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</si>
  <si>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</si>
  <si>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</si>
  <si>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</si>
  <si>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</si>
  <si>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</si>
  <si>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</si>
  <si>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</si>
  <si>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</si>
  <si>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</si>
  <si>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</si>
  <si>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</si>
  <si>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</si>
  <si>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</si>
  <si>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</si>
  <si>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</si>
  <si>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</si>
  <si>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</si>
  <si>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</si>
  <si>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</si>
  <si>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</si>
  <si>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</si>
  <si>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</si>
  <si>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</si>
  <si>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</si>
  <si>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</si>
  <si>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</si>
  <si>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</si>
  <si>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</si>
  <si>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</si>
  <si>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</si>
  <si>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</si>
  <si>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</si>
  <si>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</si>
  <si>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</si>
  <si>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</si>
  <si>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</si>
  <si>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</si>
  <si>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</si>
  <si>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</si>
  <si>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</si>
  <si>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</si>
  <si>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</si>
  <si>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</si>
  <si>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</si>
  <si>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</si>
  <si>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</si>
  <si>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</si>
  <si>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</si>
  <si>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</si>
  <si>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</si>
  <si>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</si>
  <si>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</si>
  <si>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</si>
  <si>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</si>
  <si>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</si>
  <si>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</si>
  <si>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</si>
  <si>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</si>
  <si>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</si>
  <si>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</si>
  <si>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</si>
  <si>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</si>
  <si>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</si>
  <si>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</si>
  <si>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</si>
  <si>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</si>
  <si>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</si>
  <si>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</si>
  <si>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</si>
  <si>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</si>
  <si>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</si>
  <si>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</si>
  <si>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</si>
  <si>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</si>
  <si>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</si>
  <si>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</si>
  <si>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</si>
  <si>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</si>
  <si>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</si>
  <si>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</si>
  <si>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</si>
  <si>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</si>
  <si>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</si>
  <si>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</si>
  <si>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</si>
  <si>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</si>
  <si>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</si>
  <si>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</si>
  <si>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</si>
  <si>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</si>
  <si>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</si>
  <si>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</si>
  <si>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</si>
  <si>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</si>
  <si>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</si>
  <si>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</si>
  <si>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</si>
  <si>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</si>
  <si>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</si>
  <si>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</si>
  <si>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</si>
  <si>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</si>
  <si>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</si>
  <si>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</si>
  <si>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</si>
  <si>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</si>
  <si>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</si>
  <si>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</si>
  <si>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</si>
  <si>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</si>
  <si>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</si>
  <si>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</si>
  <si>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</si>
  <si>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</si>
  <si>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</si>
  <si>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</si>
  <si>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</si>
  <si>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</si>
  <si>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</si>
  <si>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</si>
  <si>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</si>
  <si>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</si>
  <si>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</si>
  <si>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</si>
  <si>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</si>
  <si>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</si>
  <si>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</si>
  <si>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</si>
  <si>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</si>
  <si>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</si>
  <si>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</si>
  <si>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</si>
  <si>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</si>
  <si>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</si>
  <si>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</si>
  <si>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</si>
  <si>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</si>
  <si>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</si>
  <si>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</si>
  <si>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</si>
  <si>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</si>
  <si>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</si>
  <si>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</si>
  <si>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</si>
  <si>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</si>
  <si>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</si>
  <si>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</si>
  <si>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</si>
  <si>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</si>
  <si>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</si>
  <si>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</si>
  <si>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</si>
  <si>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</si>
  <si>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</si>
  <si>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</si>
  <si>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</si>
  <si>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</si>
  <si>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</si>
  <si>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</si>
  <si>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</si>
  <si>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</si>
  <si>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</si>
  <si>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</si>
  <si>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</si>
  <si>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</si>
  <si>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</si>
  <si>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</si>
  <si>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</si>
  <si>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</si>
  <si>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</si>
  <si>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</si>
  <si>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</si>
  <si>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</si>
  <si>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</si>
  <si>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</si>
  <si>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</si>
  <si>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</si>
  <si>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</si>
  <si>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</si>
  <si>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</si>
  <si>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</si>
  <si>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</si>
  <si>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</si>
  <si>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</si>
  <si>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</si>
  <si>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</si>
  <si>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</si>
  <si>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</si>
  <si>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</si>
  <si>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</si>
  <si>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</si>
  <si>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</si>
  <si>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</si>
  <si>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</si>
  <si>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</si>
  <si>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</si>
  <si>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</si>
  <si>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</si>
  <si>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</si>
  <si>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</si>
  <si>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</si>
  <si>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</si>
  <si>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</si>
  <si>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</si>
  <si>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</si>
  <si>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</si>
  <si>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</si>
  <si>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</si>
  <si>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</si>
  <si>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</si>
  <si>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</si>
  <si>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</si>
  <si>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</si>
  <si>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</si>
  <si>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</si>
  <si>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</si>
  <si>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</si>
  <si>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</si>
  <si>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</si>
  <si>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</si>
  <si>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</si>
  <si>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</si>
  <si>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</si>
  <si>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</si>
  <si>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</si>
  <si>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</si>
  <si>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</si>
  <si>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</si>
  <si>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</si>
  <si>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</si>
  <si>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</si>
  <si>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</si>
  <si>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</si>
  <si>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</si>
  <si>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</si>
  <si>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</si>
  <si>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</si>
  <si>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</si>
  <si>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</si>
  <si>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</si>
  <si>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</si>
  <si>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</si>
  <si>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</si>
  <si>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</si>
  <si>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</si>
  <si>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</si>
  <si>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</si>
  <si>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</si>
  <si>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</si>
  <si>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</si>
  <si>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</si>
  <si>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</si>
  <si>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</si>
  <si>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</si>
  <si>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</si>
  <si>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</si>
  <si>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</si>
  <si>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</si>
  <si>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</si>
  <si>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</si>
  <si>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</si>
  <si>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</si>
  <si>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</si>
  <si>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</si>
  <si>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</si>
  <si>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</si>
  <si>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</si>
  <si>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</si>
  <si>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</si>
  <si>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</si>
  <si>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</si>
  <si>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</si>
  <si>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</si>
  <si>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</si>
  <si>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</si>
  <si>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</si>
  <si>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</si>
  <si>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</si>
  <si>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</si>
  <si>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</si>
  <si>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</si>
  <si>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</si>
  <si>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</si>
  <si>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</si>
  <si>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</si>
  <si>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</si>
  <si>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</si>
  <si>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</si>
  <si>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</si>
  <si>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</si>
  <si>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</si>
  <si>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</si>
  <si>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</si>
  <si>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</si>
  <si>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</si>
  <si>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</si>
  <si>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</si>
  <si>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</si>
  <si>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</si>
  <si>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</si>
  <si>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</si>
  <si>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</si>
  <si>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</si>
  <si>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</si>
  <si>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</si>
  <si>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</si>
  <si>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</si>
  <si>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</si>
  <si>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</si>
  <si>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</si>
  <si>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</si>
  <si>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</si>
  <si>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</si>
  <si>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</si>
  <si>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</si>
  <si>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</si>
  <si>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</si>
  <si>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</si>
  <si>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</si>
  <si>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</si>
  <si>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</si>
  <si>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</si>
  <si>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</si>
  <si>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</si>
  <si>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</si>
  <si>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</si>
  <si>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</si>
  <si>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</si>
  <si>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</si>
  <si>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</si>
  <si>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</si>
  <si>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</si>
  <si>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</si>
  <si>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</si>
  <si>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</si>
  <si>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</si>
  <si>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</si>
  <si>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</si>
  <si>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</si>
  <si>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</si>
  <si>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</si>
  <si>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</si>
  <si>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</si>
  <si>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</si>
  <si>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</si>
  <si>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</si>
  <si>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</si>
  <si>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</si>
  <si>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</si>
  <si>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</si>
  <si>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</si>
  <si>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</si>
  <si>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</si>
  <si>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</si>
  <si>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</si>
  <si>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</si>
  <si>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</si>
  <si>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</si>
  <si>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</si>
  <si>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</si>
  <si>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</si>
  <si>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</si>
  <si>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</si>
  <si>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</si>
  <si>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</si>
  <si>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</si>
  <si>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</si>
  <si>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</si>
  <si>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</si>
  <si>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</si>
  <si>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</si>
  <si>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</si>
  <si>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</si>
  <si>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</si>
  <si>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</si>
  <si>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</si>
  <si>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</si>
  <si>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</si>
  <si>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</si>
  <si>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</si>
  <si>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</si>
  <si>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</si>
  <si>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</si>
  <si>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</si>
  <si>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</si>
  <si>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</si>
  <si>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</si>
  <si>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</si>
  <si>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</si>
  <si>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</si>
  <si>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</si>
  <si>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</si>
  <si>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</si>
  <si>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</si>
  <si>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</si>
  <si>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</si>
  <si>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</si>
  <si>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</si>
  <si>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</si>
  <si>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</si>
  <si>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</si>
  <si>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</si>
  <si>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</si>
  <si>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</si>
  <si>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</si>
  <si>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</si>
  <si>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</si>
  <si>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</si>
  <si>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</si>
  <si>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</si>
  <si>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</si>
  <si>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</si>
  <si>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</si>
  <si>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</si>
  <si>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</si>
  <si>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</si>
  <si>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</si>
  <si>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</si>
  <si>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</si>
  <si>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</si>
  <si>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</si>
  <si>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</si>
  <si>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</si>
  <si>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</si>
  <si>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</si>
  <si>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</si>
  <si>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</si>
  <si>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</si>
  <si>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</si>
  <si>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</si>
  <si>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</si>
  <si>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</si>
  <si>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</si>
  <si>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</si>
  <si>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</si>
  <si>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</si>
  <si>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</si>
  <si>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</si>
  <si>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</si>
  <si>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</si>
  <si>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</si>
  <si>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</si>
  <si>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</si>
  <si>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</si>
  <si>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</si>
  <si>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</si>
  <si>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</si>
  <si>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</si>
  <si>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</si>
  <si>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</si>
  <si>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</si>
  <si>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</si>
  <si>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</si>
  <si>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</si>
  <si>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</si>
  <si>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</si>
  <si>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</si>
  <si>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</si>
  <si>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</si>
  <si>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</si>
  <si>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</si>
  <si>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</si>
  <si>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</si>
  <si>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</si>
  <si>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</si>
  <si>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</si>
  <si>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</si>
  <si>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</si>
  <si>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</si>
  <si>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</si>
  <si>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</si>
  <si>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</si>
  <si>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</si>
  <si>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</si>
  <si>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</si>
  <si>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</si>
  <si>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</si>
  <si>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</si>
  <si>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</si>
  <si>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</si>
  <si>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</si>
  <si>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</si>
  <si>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</si>
  <si>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</si>
  <si>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</si>
  <si>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</si>
  <si>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</si>
  <si>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</si>
  <si>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</si>
  <si>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</si>
  <si>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</si>
  <si>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</si>
  <si>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</si>
  <si>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</si>
  <si>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</si>
  <si>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</si>
  <si>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</si>
  <si>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</si>
  <si>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</si>
  <si>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</si>
  <si>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</si>
  <si>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</si>
  <si>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</si>
  <si>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</si>
  <si>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</si>
  <si>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</si>
  <si>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</si>
  <si>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</si>
  <si>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</si>
  <si>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</si>
  <si>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</si>
  <si>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</si>
  <si>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</si>
  <si>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</si>
  <si>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</si>
  <si>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</si>
  <si>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</si>
  <si>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</si>
  <si>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</si>
  <si>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</si>
  <si>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</si>
  <si>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</si>
  <si>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</si>
  <si>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</si>
  <si>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</si>
  <si>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</si>
  <si>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</si>
  <si>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</si>
  <si>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</si>
  <si>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</si>
  <si>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</si>
  <si>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</si>
  <si>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</si>
  <si>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</si>
  <si>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</si>
  <si>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</si>
  <si>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</si>
  <si>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</si>
  <si>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</si>
  <si>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</si>
  <si>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</si>
  <si>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</si>
  <si>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</si>
  <si>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</si>
  <si>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</si>
  <si>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</si>
  <si>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</si>
  <si>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</si>
  <si>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</si>
  <si>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</si>
  <si>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</si>
  <si>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</si>
  <si>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</si>
  <si>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</si>
  <si>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</si>
  <si>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</si>
  <si>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</si>
  <si>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</si>
  <si>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</si>
  <si>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</si>
  <si>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</si>
  <si>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</si>
  <si>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</si>
  <si>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</si>
  <si>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</si>
  <si>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</si>
  <si>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</si>
  <si>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</si>
  <si>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</si>
  <si>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</si>
  <si>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</si>
  <si>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</si>
  <si>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</si>
  <si>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</si>
  <si>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</si>
  <si>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</si>
  <si>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</si>
  <si>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</si>
  <si>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</si>
  <si>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</si>
  <si>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</si>
  <si>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</si>
  <si>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</si>
  <si>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</si>
  <si>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</si>
  <si>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</si>
  <si>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</si>
  <si>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</si>
  <si>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</si>
  <si>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</si>
  <si>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</si>
  <si>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</si>
  <si>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</si>
  <si>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</si>
  <si>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</si>
  <si>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</si>
  <si>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</si>
  <si>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</si>
  <si>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</si>
  <si>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</si>
  <si>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</si>
  <si>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</si>
  <si>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</si>
  <si>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</si>
  <si>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</si>
  <si>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</si>
  <si>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</si>
  <si>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</si>
  <si>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</si>
  <si>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</si>
  <si>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</si>
  <si>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</si>
  <si>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</si>
  <si>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</si>
  <si>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</si>
  <si>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</si>
  <si>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</si>
  <si>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</si>
  <si>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</si>
  <si>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</si>
  <si>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</si>
  <si>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</si>
  <si>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</si>
  <si>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</si>
  <si>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</si>
  <si>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</si>
  <si>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</si>
  <si>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</si>
  <si>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</si>
  <si>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</si>
  <si>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</si>
  <si>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</si>
  <si>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</si>
  <si>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</si>
  <si>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</si>
  <si>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</si>
  <si>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</si>
  <si>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</si>
  <si>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</si>
  <si>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</si>
  <si>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</si>
  <si>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</si>
  <si>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</si>
  <si>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</si>
  <si>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</si>
  <si>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</si>
  <si>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</si>
  <si>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</si>
  <si>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</si>
  <si>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</si>
  <si>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</si>
  <si>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</si>
  <si>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</si>
  <si>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</si>
  <si>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</si>
  <si>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</si>
  <si>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</si>
  <si>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</si>
  <si>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</si>
  <si>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</si>
  <si>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</si>
  <si>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</si>
  <si>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</si>
  <si>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</si>
  <si>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</si>
  <si>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</si>
  <si>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</si>
  <si>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</si>
  <si>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</si>
  <si>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</si>
  <si>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</si>
  <si>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</si>
  <si>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</si>
  <si>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</si>
  <si>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</si>
  <si>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</si>
  <si>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</si>
  <si>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</si>
  <si>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</si>
  <si>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</si>
  <si>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</si>
  <si>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</si>
  <si>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</si>
  <si>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</si>
  <si>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</si>
  <si>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</si>
  <si>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</si>
  <si>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</si>
  <si>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</si>
  <si>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</si>
  <si>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</si>
  <si>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</si>
  <si>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</si>
  <si>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</si>
  <si>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</si>
  <si>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</si>
  <si>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</si>
  <si>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</si>
  <si>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</si>
  <si>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</si>
  <si>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</si>
  <si>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</si>
  <si>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</si>
  <si>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</si>
  <si>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</si>
  <si>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</si>
  <si>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</si>
  <si>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</si>
  <si>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</si>
  <si>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</si>
  <si>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</si>
  <si>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</si>
  <si>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</si>
  <si>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</si>
  <si>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</si>
  <si>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</si>
  <si>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</si>
  <si>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</si>
  <si>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</si>
  <si>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</si>
  <si>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</si>
  <si>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</si>
  <si>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</si>
  <si>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</si>
  <si>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</si>
  <si>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</si>
  <si>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</si>
  <si>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</si>
  <si>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</si>
  <si>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</si>
  <si>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</si>
  <si>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</si>
  <si>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</si>
  <si>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</si>
  <si>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</si>
  <si>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</si>
  <si>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</si>
  <si>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</si>
  <si>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</si>
  <si>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</si>
  <si>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</si>
  <si>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</si>
  <si>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</si>
  <si>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</si>
  <si>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</si>
  <si>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</si>
  <si>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</si>
  <si>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</si>
  <si>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</si>
  <si>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</si>
  <si>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</si>
  <si>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</si>
  <si>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</si>
  <si>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</si>
  <si>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</si>
  <si>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</si>
  <si>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</si>
  <si>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</si>
  <si>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</si>
  <si>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</si>
  <si>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</si>
  <si>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</si>
  <si>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</si>
  <si>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</si>
  <si>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</si>
  <si>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</si>
  <si>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</si>
  <si>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</si>
  <si>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</si>
  <si>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</si>
  <si>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</si>
  <si>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</si>
  <si>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</si>
  <si>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</si>
  <si>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</si>
  <si>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</si>
  <si>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</si>
  <si>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</si>
  <si>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</si>
  <si>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</si>
  <si>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</si>
  <si>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</si>
  <si>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</si>
  <si>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</si>
  <si>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</si>
  <si>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</si>
  <si>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</si>
  <si>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</si>
  <si>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</si>
  <si>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</si>
  <si>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</si>
  <si>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</si>
  <si>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</si>
  <si>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</si>
  <si>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</si>
  <si>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</si>
  <si>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</si>
  <si>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</si>
  <si>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</si>
  <si>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</si>
  <si>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</si>
  <si>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</si>
  <si>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</si>
  <si>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</si>
  <si>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</si>
  <si>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</si>
  <si>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</si>
  <si>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</si>
  <si>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</si>
  <si>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</si>
  <si>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</si>
  <si>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</si>
  <si>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</si>
  <si>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</si>
  <si>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</si>
  <si>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</si>
  <si>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</si>
  <si>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</si>
  <si>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</si>
  <si>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</si>
  <si>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</si>
  <si>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</si>
  <si>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</si>
  <si>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</si>
  <si>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</si>
  <si>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</si>
  <si>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</si>
  <si>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</si>
  <si>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</si>
  <si>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</si>
  <si>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</si>
  <si>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</si>
  <si>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</si>
  <si>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</si>
  <si>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</si>
  <si>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</si>
  <si>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</si>
  <si>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</si>
  <si>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</si>
  <si>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</si>
  <si>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</si>
  <si>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</si>
  <si>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</si>
  <si>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</si>
  <si>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</si>
  <si>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</si>
  <si>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</si>
  <si>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</si>
  <si>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</si>
  <si>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</si>
  <si>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</si>
  <si>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</si>
  <si>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</si>
  <si>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</si>
  <si>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</si>
  <si>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</si>
  <si>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</si>
  <si>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</si>
  <si>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</si>
  <si>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</si>
  <si>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</si>
  <si>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</si>
  <si>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</si>
  <si>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</si>
  <si>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</si>
  <si>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</si>
  <si>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</si>
  <si>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</si>
  <si>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</si>
  <si>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</si>
  <si>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</si>
  <si>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</si>
  <si>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</si>
  <si>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</si>
  <si>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</si>
  <si>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</si>
  <si>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</si>
  <si>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</si>
  <si>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</si>
  <si>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</si>
  <si>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</si>
  <si>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</si>
  <si>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</si>
  <si>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</si>
  <si>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</si>
  <si>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</si>
  <si>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</si>
  <si>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</si>
  <si>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</si>
  <si>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</si>
  <si>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</si>
  <si>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</si>
  <si>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</si>
  <si>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</si>
  <si>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</si>
  <si>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</si>
  <si>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</si>
  <si>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</si>
  <si>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</si>
  <si>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</si>
  <si>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</si>
  <si>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</si>
  <si>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</si>
  <si>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</si>
  <si>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</si>
  <si>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</si>
  <si>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</si>
  <si>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</si>
  <si>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</si>
  <si>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</si>
  <si>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</si>
  <si>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</si>
  <si>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</si>
  <si>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</si>
  <si>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</si>
  <si>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</si>
  <si>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</si>
  <si>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</si>
  <si>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</si>
  <si>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</si>
  <si>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</si>
  <si>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</si>
  <si>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</si>
  <si>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</si>
  <si>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</si>
  <si>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</si>
  <si>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</si>
  <si>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</si>
  <si>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</si>
  <si>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</si>
  <si>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</si>
  <si>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</si>
  <si>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</si>
  <si>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</si>
  <si>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</si>
  <si>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</si>
  <si>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</si>
  <si>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</si>
  <si>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</si>
  <si>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</si>
  <si>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</si>
  <si>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</si>
  <si>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</si>
  <si>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</si>
  <si>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</si>
  <si>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</si>
  <si>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</si>
  <si>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</si>
  <si>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</si>
  <si>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</si>
  <si>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</si>
  <si>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</si>
  <si>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</si>
  <si>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</si>
  <si>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</si>
  <si>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</si>
  <si>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</si>
  <si>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</si>
  <si>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</si>
  <si>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</si>
  <si>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</si>
  <si>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</si>
  <si>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</si>
  <si>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</si>
  <si>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</si>
  <si>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</si>
  <si>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</si>
  <si>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</si>
  <si>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</si>
  <si>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</si>
  <si>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</si>
  <si>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</si>
  <si>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</si>
  <si>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</si>
  <si>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</si>
  <si>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</si>
  <si>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</si>
  <si>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</si>
  <si>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</si>
  <si>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</si>
  <si>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</si>
  <si>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</si>
  <si>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</si>
  <si>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</si>
  <si>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</si>
  <si>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</si>
  <si>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</si>
  <si>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</si>
  <si>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</si>
  <si>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</si>
  <si>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</si>
  <si>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</si>
  <si>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</si>
  <si>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</si>
  <si>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</si>
  <si>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</si>
  <si>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</si>
  <si>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</si>
  <si>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</si>
  <si>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</si>
  <si>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</si>
  <si>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</si>
  <si>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</si>
  <si>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</si>
  <si>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</si>
  <si>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</si>
  <si>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</si>
  <si>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</si>
  <si>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</si>
  <si>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</si>
  <si>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</si>
  <si>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</si>
  <si>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</si>
  <si>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</si>
  <si>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</si>
  <si>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</si>
  <si>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</si>
  <si>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</si>
  <si>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</si>
  <si>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</si>
  <si>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</si>
  <si>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</si>
  <si>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</si>
  <si>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</si>
  <si>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</si>
  <si>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</si>
  <si>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</si>
  <si>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</si>
  <si>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</si>
  <si>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</si>
  <si>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</si>
  <si>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</si>
  <si>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</si>
  <si>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</si>
  <si>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</si>
  <si>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</si>
  <si>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</si>
  <si>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</si>
  <si>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</si>
  <si>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</si>
  <si>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</si>
  <si>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</si>
  <si>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</si>
  <si>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</si>
  <si>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</si>
  <si>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</si>
  <si>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</si>
  <si>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</si>
  <si>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</si>
  <si>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</si>
  <si>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</si>
  <si>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</si>
  <si>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</si>
  <si>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</si>
  <si>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</si>
  <si>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</si>
  <si>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</si>
  <si>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</si>
  <si>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</si>
  <si>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</si>
  <si>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</si>
  <si>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</si>
  <si>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</si>
  <si>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</si>
  <si>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</si>
  <si>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</si>
  <si>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</si>
  <si>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</si>
  <si>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</si>
  <si>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</si>
  <si>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</si>
  <si>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</si>
  <si>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</si>
  <si>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</si>
  <si>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</si>
  <si>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</si>
  <si>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</si>
  <si>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</si>
  <si>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</si>
  <si>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</si>
  <si>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</si>
  <si>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</si>
  <si>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</si>
  <si>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</si>
  <si>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</si>
  <si>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</si>
  <si>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</si>
  <si>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</si>
  <si>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</si>
  <si>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</si>
  <si>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</si>
  <si>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</si>
  <si>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</si>
  <si>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</si>
  <si>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</si>
  <si>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</si>
  <si>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</si>
  <si>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</si>
  <si>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</si>
  <si>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</si>
  <si>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</si>
  <si>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</si>
  <si>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</si>
  <si>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</si>
  <si>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</si>
  <si>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</si>
  <si>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</si>
  <si>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</si>
  <si>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</si>
  <si>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</si>
  <si>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</si>
  <si>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</si>
  <si>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</si>
  <si>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</si>
  <si>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</si>
  <si>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</si>
  <si>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</si>
  <si>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</si>
  <si>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</si>
  <si>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</si>
  <si>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</si>
  <si>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</si>
  <si>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</si>
  <si>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</si>
  <si>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</si>
  <si>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</si>
  <si>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</si>
  <si>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</si>
  <si>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</si>
  <si>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</si>
  <si>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</si>
  <si>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</si>
  <si>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</si>
  <si>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</si>
  <si>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</si>
  <si>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</si>
  <si>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</si>
  <si>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</si>
  <si>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</si>
  <si>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</si>
  <si>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</si>
  <si>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</si>
  <si>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</si>
  <si>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</si>
  <si>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</si>
  <si>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</si>
  <si>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</si>
  <si>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</si>
  <si>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</si>
  <si>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</si>
  <si>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</si>
  <si>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</si>
  <si>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</si>
  <si>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</si>
  <si>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</si>
  <si>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</si>
  <si>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</si>
  <si>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</si>
  <si>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</si>
  <si>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</si>
  <si>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</si>
  <si>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</si>
  <si>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</si>
  <si>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</si>
  <si>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</si>
  <si>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</si>
  <si>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</si>
  <si>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</si>
  <si>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</si>
  <si>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</si>
  <si>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</si>
  <si>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</si>
  <si>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</si>
  <si>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</si>
  <si>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</si>
  <si>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</si>
  <si>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</si>
  <si>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</si>
  <si>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</si>
  <si>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</si>
  <si>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</si>
  <si>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</si>
  <si>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</si>
  <si>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</si>
  <si>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</si>
  <si>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</si>
  <si>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</si>
  <si>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</si>
  <si>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</si>
  <si>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</si>
  <si>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</si>
  <si>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</si>
  <si>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</si>
  <si>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</si>
  <si>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</si>
  <si>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</si>
  <si>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</si>
  <si>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</si>
  <si>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</si>
  <si>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</si>
  <si>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</si>
  <si>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</si>
  <si>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</si>
  <si>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</si>
  <si>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</si>
  <si>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</si>
  <si>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</si>
  <si>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</si>
  <si>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</si>
  <si>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</si>
  <si>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</si>
  <si>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</si>
  <si>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</si>
  <si>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</si>
  <si>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</si>
  <si>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</si>
  <si>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</si>
  <si>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</si>
  <si>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</si>
  <si>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</si>
  <si>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</si>
  <si>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</si>
  <si>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</si>
  <si>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</si>
  <si>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</si>
  <si>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</si>
  <si>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</si>
  <si>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</si>
  <si>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</si>
  <si>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</si>
  <si>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</si>
  <si>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</si>
  <si>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</si>
  <si>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</si>
  <si>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</si>
  <si>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</si>
  <si>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</si>
  <si>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</si>
  <si>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</si>
  <si>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</si>
  <si>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</si>
  <si>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</si>
  <si>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</si>
  <si>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</si>
  <si>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</si>
  <si>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</si>
  <si>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</si>
  <si>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</si>
  <si>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</si>
  <si>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</si>
  <si>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</si>
  <si>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</si>
  <si>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</si>
  <si>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</si>
  <si>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</si>
  <si>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</si>
  <si>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</si>
  <si>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</si>
  <si>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</si>
  <si>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</si>
  <si>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</si>
  <si>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</si>
  <si>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</si>
  <si>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</si>
  <si>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</si>
  <si>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</si>
  <si>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</si>
  <si>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</si>
  <si>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</si>
  <si>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</si>
  <si>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</si>
  <si>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</si>
  <si>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</si>
  <si>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</si>
  <si>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</si>
  <si>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</si>
  <si>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</si>
  <si>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</si>
  <si>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</si>
  <si>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</si>
  <si>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</si>
  <si>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</si>
  <si>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</si>
  <si>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</si>
  <si>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</si>
  <si>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</si>
  <si>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</si>
  <si>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</si>
  <si>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</si>
  <si>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</si>
  <si>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</si>
  <si>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</si>
  <si>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</si>
  <si>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</si>
  <si>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</si>
  <si>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</si>
  <si>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</si>
  <si>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</si>
  <si>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</si>
  <si>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</si>
  <si>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</si>
  <si>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</si>
  <si>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</si>
  <si>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</si>
  <si>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</si>
  <si>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</si>
  <si>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</si>
  <si>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</si>
  <si>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</si>
  <si>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</si>
  <si>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</si>
  <si>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</si>
  <si>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</si>
  <si>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</si>
  <si>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</si>
  <si>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</si>
  <si>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</si>
  <si>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</si>
  <si>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</si>
  <si>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</si>
  <si>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</si>
  <si>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</si>
  <si>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</si>
  <si>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</si>
  <si>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</si>
  <si>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</si>
  <si>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</si>
  <si>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</si>
  <si>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</si>
  <si>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</si>
  <si>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</si>
  <si>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</si>
  <si>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</si>
  <si>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</si>
  <si>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</si>
  <si>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</si>
  <si>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</si>
  <si>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</si>
  <si>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</si>
  <si>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</si>
  <si>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</si>
  <si>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</si>
  <si>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</si>
  <si>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</si>
  <si>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</si>
  <si>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</si>
  <si>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</si>
  <si>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</si>
  <si>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</si>
  <si>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</si>
  <si>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</si>
  <si>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</si>
  <si>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</si>
  <si>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</si>
  <si>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</si>
  <si>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</si>
  <si>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</si>
  <si>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</si>
  <si>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</si>
  <si>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</si>
  <si>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</si>
  <si>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</si>
  <si>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</si>
  <si>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</si>
  <si>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</si>
  <si>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</si>
  <si>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</si>
  <si>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</si>
  <si>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</si>
  <si>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</si>
  <si>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</si>
  <si>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</si>
  <si>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</si>
  <si>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</si>
  <si>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</si>
  <si>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</si>
  <si>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</si>
  <si>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</si>
  <si>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</si>
  <si>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</si>
  <si>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</si>
  <si>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</si>
  <si>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</si>
  <si>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</si>
  <si>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</si>
  <si>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</si>
  <si>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</si>
  <si>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</si>
  <si>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</si>
  <si>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</si>
  <si>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</si>
  <si>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</si>
  <si>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</si>
  <si>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</si>
  <si>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</si>
  <si>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</si>
  <si>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</si>
  <si>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</si>
  <si>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</si>
  <si>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</si>
  <si>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</si>
  <si>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</si>
  <si>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</si>
  <si>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</si>
  <si>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</si>
  <si>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</si>
  <si>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</si>
  <si>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</si>
  <si>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</si>
  <si>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</si>
  <si>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</si>
  <si>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</si>
  <si>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</si>
  <si>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</si>
  <si>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</si>
  <si>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</si>
  <si>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</si>
  <si>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</si>
  <si>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</si>
  <si>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</si>
  <si>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</si>
  <si>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</si>
  <si>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</si>
  <si>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</si>
  <si>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</si>
  <si>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</si>
  <si>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</si>
  <si>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</si>
  <si>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</si>
  <si>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</si>
  <si>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</si>
  <si>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</si>
  <si>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</si>
  <si>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</si>
  <si>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</si>
  <si>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</si>
  <si>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</si>
  <si>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</si>
  <si>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</si>
  <si>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</si>
  <si>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</si>
  <si>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</si>
  <si>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</si>
  <si>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</si>
  <si>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</si>
  <si>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</si>
  <si>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</si>
  <si>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</si>
  <si>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</si>
  <si>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</si>
  <si>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</si>
  <si>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</si>
  <si>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</si>
  <si>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</si>
  <si>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</si>
  <si>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</si>
  <si>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</si>
  <si>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</si>
  <si>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</si>
  <si>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</si>
  <si>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</si>
  <si>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</si>
  <si>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</si>
  <si>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</si>
  <si>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</si>
  <si>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</si>
  <si>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</si>
  <si>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</si>
  <si>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</si>
  <si>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</si>
  <si>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</si>
  <si>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</si>
  <si>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</si>
  <si>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</si>
  <si>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</si>
  <si>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</si>
  <si>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</si>
  <si>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</si>
  <si>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</si>
  <si>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</si>
  <si>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</si>
  <si>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</si>
  <si>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</si>
  <si>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</si>
  <si>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</si>
  <si>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</si>
  <si>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</si>
  <si>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</si>
  <si>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</si>
  <si>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</si>
  <si>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</si>
  <si>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</si>
  <si>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</si>
  <si>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</si>
  <si>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</si>
  <si>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</si>
  <si>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</si>
  <si>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</si>
  <si>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</si>
  <si>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</si>
  <si>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</si>
  <si>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</si>
  <si>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</si>
  <si>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</si>
  <si>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</si>
  <si>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</si>
  <si>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</si>
  <si>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</si>
  <si>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</si>
  <si>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较好</t>
  </si>
  <si>
    <t>王鹏</t>
  </si>
  <si>
    <t>郑燚</t>
  </si>
  <si>
    <t>核定资产</t>
  </si>
  <si>
    <t>市场价格</t>
  </si>
  <si>
    <t>企业</t>
  </si>
  <si>
    <t>一致</t>
  </si>
  <si>
    <t>符合</t>
  </si>
  <si>
    <t>出让</t>
  </si>
  <si>
    <t>否</t>
  </si>
  <si>
    <t>地上</t>
  </si>
  <si>
    <t>项目全部</t>
  </si>
  <si>
    <t>土地</t>
  </si>
  <si>
    <t>比较法-住宅、综合</t>
  </si>
  <si>
    <t>剩余法-待开发</t>
  </si>
  <si>
    <t>售价</t>
  </si>
  <si>
    <t>1级</t>
    <phoneticPr fontId="26" type="noConversion"/>
  </si>
  <si>
    <t>2级</t>
  </si>
  <si>
    <t>3级</t>
  </si>
  <si>
    <t>4级</t>
  </si>
  <si>
    <t>5级</t>
  </si>
  <si>
    <t>6级</t>
  </si>
  <si>
    <t>7级</t>
  </si>
  <si>
    <t>8级</t>
  </si>
  <si>
    <t>9级</t>
  </si>
  <si>
    <t>较规则</t>
  </si>
  <si>
    <t>较规则</t>
    <phoneticPr fontId="26" type="noConversion"/>
  </si>
  <si>
    <t>较不规则</t>
    <phoneticPr fontId="26" type="noConversion"/>
  </si>
  <si>
    <t>较适宜</t>
    <phoneticPr fontId="26" type="noConversion"/>
  </si>
  <si>
    <t>较不适宜</t>
    <phoneticPr fontId="26" type="noConversion"/>
  </si>
  <si>
    <t>七通一平</t>
    <phoneticPr fontId="26" type="noConversion"/>
  </si>
  <si>
    <t>六通一平</t>
    <phoneticPr fontId="26" type="noConversion"/>
  </si>
  <si>
    <t>较好</t>
    <phoneticPr fontId="26" type="noConversion"/>
  </si>
  <si>
    <t>一般</t>
  </si>
  <si>
    <t>无</t>
    <phoneticPr fontId="26" type="noConversion"/>
  </si>
  <si>
    <t>2018-11-26</t>
  </si>
  <si>
    <t>七通</t>
  </si>
  <si>
    <t xml:space="preserve">六级VI-通2 </t>
    <phoneticPr fontId="26" type="noConversion"/>
  </si>
  <si>
    <r>
      <rPr>
        <sz val="11"/>
        <rFont val="宋体"/>
        <family val="3"/>
        <charset val="134"/>
      </rPr>
      <t>基准地价</t>
    </r>
    <r>
      <rPr>
        <sz val="11"/>
        <rFont val="Arial"/>
        <family val="2"/>
      </rPr>
      <t>9350</t>
    </r>
    <phoneticPr fontId="26" type="noConversion"/>
  </si>
  <si>
    <t>支路</t>
    <phoneticPr fontId="26" type="noConversion"/>
  </si>
  <si>
    <t>次干道</t>
  </si>
  <si>
    <t>次干道</t>
    <phoneticPr fontId="26" type="noConversion"/>
  </si>
  <si>
    <t>楼面地价</t>
  </si>
  <si>
    <t>正常</t>
  </si>
  <si>
    <t>无</t>
    <phoneticPr fontId="26" type="noConversion"/>
  </si>
  <si>
    <t>有</t>
    <phoneticPr fontId="26" type="noConversion"/>
  </si>
  <si>
    <t>居住用地（指二类居住用地）</t>
  </si>
  <si>
    <t>40-50（含）</t>
  </si>
  <si>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</si>
  <si>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</si>
  <si>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</si>
  <si>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</si>
  <si>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</si>
  <si>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</si>
  <si>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</si>
  <si>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</si>
  <si>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</si>
  <si>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</si>
  <si>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</si>
  <si>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</si>
  <si>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</si>
  <si>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</si>
  <si>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</si>
  <si>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0-200</t>
    <phoneticPr fontId="21" type="noConversion"/>
  </si>
  <si>
    <t>200-400</t>
    <phoneticPr fontId="21" type="noConversion"/>
  </si>
  <si>
    <t>无</t>
    <phoneticPr fontId="26" type="noConversion"/>
  </si>
  <si>
    <t>较适宜</t>
  </si>
  <si>
    <t>七通一平</t>
  </si>
  <si>
    <t>容积率</t>
    <phoneticPr fontId="3" type="noConversion"/>
  </si>
  <si>
    <t>现状</t>
    <phoneticPr fontId="21" type="noConversion"/>
  </si>
  <si>
    <t>期房</t>
    <phoneticPr fontId="21" type="noConversion"/>
  </si>
  <si>
    <t>现房</t>
    <phoneticPr fontId="21" type="noConversion"/>
  </si>
  <si>
    <t>有</t>
    <phoneticPr fontId="26" type="noConversion"/>
  </si>
  <si>
    <t>商业</t>
  </si>
  <si>
    <t>独立商业</t>
  </si>
  <si>
    <t>办公楼</t>
  </si>
  <si>
    <t>地下</t>
  </si>
  <si>
    <t>车库—商业</t>
  </si>
  <si>
    <t>车库</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</si>
  <si>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</si>
  <si>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</si>
  <si>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</si>
  <si>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</si>
  <si>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</si>
  <si>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</si>
  <si>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</si>
  <si>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</si>
  <si>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</si>
  <si>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</si>
  <si>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</si>
  <si>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</si>
  <si>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</si>
  <si>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</si>
  <si>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</si>
  <si>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</si>
  <si>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</si>
  <si>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</si>
  <si>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</si>
  <si>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北京市丰台区丽泽金融商务区南区D-02地块B4综合性商业金融服务业用地</t>
  </si>
  <si>
    <t>商业/办公用地</t>
  </si>
  <si>
    <t>丰台区卢沟桥乡</t>
  </si>
  <si>
    <t>挂牌</t>
  </si>
  <si>
    <t>京土整储挂(丰)[2017]085号</t>
  </si>
  <si>
    <t>B4综合性商业金融服务业用地</t>
  </si>
  <si>
    <t>2017-11-14</t>
  </si>
  <si>
    <t>华夏人寿保险股份有限公司北京分公司</t>
  </si>
  <si>
    <t>商业40年、办公50年</t>
  </si>
  <si>
    <t>5星</t>
  </si>
  <si>
    <t>朝阳区孙河乡西甸村2902-71地块</t>
  </si>
  <si>
    <t>东至规划2902-73地块,*西至规划孙河组团六号路,南至规划孙河组团十号路,北至规划孙河组团九号路</t>
  </si>
  <si>
    <t>招标</t>
  </si>
  <si>
    <t>京土整储招(朝)[2017]019号</t>
  </si>
  <si>
    <t>2017-04-11</t>
  </si>
  <si>
    <t>北京亚通房地产开发有限责任公司和北京城建兴华地产有限公司联合体</t>
  </si>
  <si>
    <t>3星</t>
  </si>
  <si>
    <t>海淀区“海淀北部地区整体开发”中关村环保科技园HD-0303-0071地块</t>
  </si>
  <si>
    <t>“海淀北部地区整体开发”范围内</t>
  </si>
  <si>
    <t>京土整储挂(海)[2016]009号</t>
  </si>
  <si>
    <t>B2商务用地</t>
  </si>
  <si>
    <t>2016-06-02</t>
  </si>
  <si>
    <t>北京龙湖中佰置业有限公司和北京龙湖天行置业有限公司联合体</t>
  </si>
  <si>
    <t>北京市海淀区西八里庄0711-653地块B4综合性商业金融服务业用地</t>
  </si>
  <si>
    <t>海淀区玲珑巷地区</t>
  </si>
  <si>
    <t>京土整储挂(海)[2017]087号</t>
  </si>
  <si>
    <t>2017-11-16</t>
  </si>
  <si>
    <t>中国电子科技集团公司</t>
  </si>
  <si>
    <t>丰台区丽泽金融商务区南区D-07、D-08地块</t>
  </si>
  <si>
    <t>京土整储挂(丰)[2017]035号</t>
  </si>
  <si>
    <t>F3其他类多功能用地</t>
  </si>
  <si>
    <t>2017-05-18</t>
  </si>
  <si>
    <t>北京润置商业运营管理有限公司、北京首都开发股份有限公司、北京宸茂置业有限公司和北京金唐天润传媒发展有限公司联合体</t>
  </si>
  <si>
    <t>商业40年办公50年</t>
  </si>
  <si>
    <t>朝阳区金盏乡楼梓庄村1113-604地块</t>
  </si>
  <si>
    <t>朝阳区金盏乡楼梓庄村</t>
  </si>
  <si>
    <t>京土整储挂(朝)[2017]007号</t>
  </si>
  <si>
    <t>2017-03-30</t>
  </si>
  <si>
    <t>北京广茂置业有限公司</t>
  </si>
  <si>
    <t>4星</t>
  </si>
  <si>
    <t>北京市丰台区丽泽金融商务区南区F-22、F-23地块F3其他类多功能用地</t>
  </si>
  <si>
    <t>京土整储招(丰)[2018]014号</t>
  </si>
  <si>
    <t>2018-07-06</t>
  </si>
  <si>
    <t>中证机构间报价系统股份有限公司和中国银河证券股份有限公司联合体</t>
  </si>
  <si>
    <t>大兴区黄村镇兴华大街DX00-0202-0307地块</t>
  </si>
  <si>
    <t>大兴新城东片区0202街区</t>
  </si>
  <si>
    <t>京土整储挂(兴)[2016]006号</t>
  </si>
  <si>
    <t>2016-05-05</t>
  </si>
  <si>
    <t>北京中瑞凯华投资管理有限公司</t>
  </si>
  <si>
    <t>朝阳区金盏乡楼梓庄村1113-602地块</t>
  </si>
  <si>
    <t>东至规划金盏服务区东二路西红线,南至规划金盏服务区六街北红线,西至规划东高路东红线,北至规划楼梓庄大街南红线</t>
  </si>
  <si>
    <t>京土整储挂(朝)[2017]016号</t>
  </si>
  <si>
    <t>B1商业用地</t>
  </si>
  <si>
    <t>2017-04-14</t>
  </si>
  <si>
    <t>京土整储挂(平)[2017]016号</t>
  </si>
  <si>
    <t>天津金地华府置业有限公司</t>
  </si>
  <si>
    <t>商业40年*办公50年</t>
  </si>
  <si>
    <t>朝阳区金盏乡楼梓庄村1113-603地块</t>
  </si>
  <si>
    <t>京土整储挂(朝)[2017]006号</t>
  </si>
  <si>
    <t>北京润置商业运营管理有限公司、招商局地产(北京)有限公司和北京环渤海正奇企业管理中心(有限合伙)联合体</t>
  </si>
  <si>
    <t>北京市石景山区鲁谷路1614-631地块(银河商务区L地块)B4综合性商业金融服务业用地</t>
  </si>
  <si>
    <t>石景山区鲁谷地区</t>
  </si>
  <si>
    <t>京土整储挂(石)[2017]084号</t>
  </si>
  <si>
    <t>天安人寿保险股份有限公司和北京保险产业园投资控股有限责任公司联合体</t>
  </si>
  <si>
    <t>大兴开发区北区1号地DX00-0301-0145地块</t>
  </si>
  <si>
    <t>大兴区黄村镇</t>
  </si>
  <si>
    <t>京土整储挂(兴)[2017]013号</t>
  </si>
  <si>
    <t>2017-04-06</t>
  </si>
  <si>
    <t>北京亚通房地产开发有限责任公司</t>
  </si>
  <si>
    <t>房山区长阳镇FS00-LX10-0042等地块</t>
  </si>
  <si>
    <t>房山区长阳镇</t>
  </si>
  <si>
    <t>京土整储挂(房)[2016]023号</t>
  </si>
  <si>
    <t>B4综合性商业金融服务业、S32公交场站设施用地</t>
  </si>
  <si>
    <t>2016-11-28</t>
  </si>
  <si>
    <t>北京龙湖天行置业有限公司、北京首都开发股份有限公司</t>
  </si>
  <si>
    <t>房山区拱辰街道FS00-LX07-0097地块</t>
  </si>
  <si>
    <t>房山区拱辰街道</t>
  </si>
  <si>
    <t>京土整储挂(房)[2016]015号</t>
  </si>
  <si>
    <t>2016-09-01</t>
  </si>
  <si>
    <t>北京龙建诚信房地产开发有限公司</t>
  </si>
  <si>
    <t>房山区拱辰街道FS00-LX11-0007地块</t>
  </si>
  <si>
    <t>京土整储挂(房)[2016]022号</t>
  </si>
  <si>
    <t>北京旭辉合创投资有限公司</t>
  </si>
  <si>
    <t>北京市昌平区沙河镇七里渠南北村土地一级开发项目QLQ-004地块B4综合性商业金融服务业用地</t>
  </si>
  <si>
    <t>昌平区沙河镇七里渠南北村</t>
  </si>
  <si>
    <t>京土整储挂(昌)[2018]040号</t>
  </si>
  <si>
    <t>时代好未来教育科技(北京)有限公司</t>
  </si>
  <si>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</si>
  <si>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</si>
  <si>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</si>
  <si>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</si>
  <si>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2018-11-05</t>
  </si>
  <si>
    <t>北京北辰实业集团有限责任公司</t>
  </si>
  <si>
    <t>大兴区北臧村生物医药基地DX00-0501-6003地块</t>
  </si>
  <si>
    <t>大兴区北臧村生物医药基地</t>
  </si>
  <si>
    <t>京土整储挂(兴)[2016]003号</t>
  </si>
  <si>
    <t>2016-02-26</t>
  </si>
  <si>
    <t>北京绿地京城置业有限公司和北京绿地京华置业有限公司联合体</t>
  </si>
  <si>
    <t>2星</t>
  </si>
  <si>
    <t>北京市石景山区中关村科技园区石景山园北I区1605-651地块B23研发设计用地</t>
  </si>
  <si>
    <t>石景山区中关村科技园区石景山园北I区</t>
  </si>
  <si>
    <t>京土整储挂(石)[2017]099号</t>
  </si>
  <si>
    <t>B23研发设计用地</t>
  </si>
  <si>
    <t>2018-01-09</t>
  </si>
  <si>
    <t>北京京石科园置业发展有限公司</t>
  </si>
  <si>
    <t>办公50年</t>
  </si>
  <si>
    <t>北京市石景山区中关村科技园区石景山园北I区1605-636地块B23研发设计用地</t>
  </si>
  <si>
    <t>京土整储挂(石)[2017]098号</t>
  </si>
  <si>
    <t>北京保险产业园投资控股有限责任公司和北京保汇置业发展有限公司联合体</t>
  </si>
  <si>
    <t>石景山区实兴大街(中关村科技园区石景山园北I区)1605-639、649地块</t>
  </si>
  <si>
    <t>石景山区实兴大街范围内</t>
  </si>
  <si>
    <t>京土整储挂(石)[2016]025号</t>
  </si>
  <si>
    <t>2016-12-07</t>
  </si>
  <si>
    <t>北京保险产业园投资控股有限责任公司</t>
  </si>
  <si>
    <t>北京经济技术开发区路东区E16街区E16C-3、E16C-5、E16S-1地块</t>
  </si>
  <si>
    <t>京土整储挂(开)[2018]007号</t>
  </si>
  <si>
    <t>B4综合性商业金融服务业用地、S41公用停车场用地</t>
  </si>
  <si>
    <t>2018-06-14</t>
  </si>
  <si>
    <t>北京智方润科房地产开发有限公司</t>
  </si>
  <si>
    <t>办公50年、商业40年</t>
  </si>
  <si>
    <t>北京经济技术开发区路东区C14C-1、C14C-2、C14S-1地块B4综合性商业金融服务业用地及S41公用停车场用地</t>
  </si>
  <si>
    <t>北京经济技术开发区路东区C14C-1、C14C-2、C14S-1地块</t>
  </si>
  <si>
    <t>京土整储挂(开)[2017]058号</t>
  </si>
  <si>
    <t>2017-08-08</t>
  </si>
  <si>
    <t>北京联茂方泰房地产开发有限公司(京东)</t>
  </si>
  <si>
    <t>大兴区北臧村生物医药基地DX00-0502-0008地块</t>
  </si>
  <si>
    <t>京土整储挂(兴)[2017]008号</t>
  </si>
  <si>
    <t>北京硕日新宇投资有限公司</t>
  </si>
  <si>
    <t>大兴开发区北区1号地DX00-0301-0144地块</t>
  </si>
  <si>
    <t>京土整储挂(兴)[2016]027号</t>
  </si>
  <si>
    <t>2016-12-20</t>
  </si>
  <si>
    <t>北京筑兴房地产开发有限公司</t>
  </si>
  <si>
    <t>北京市门头沟区龙泉镇MC00-0010-6004地块B2商务用地</t>
  </si>
  <si>
    <t>门头沟区龙泉镇</t>
  </si>
  <si>
    <t>京土整储挂(门)[2017]062号</t>
  </si>
  <si>
    <t>2017-09-07</t>
  </si>
  <si>
    <t>北京象地房地产开发有限公司</t>
  </si>
  <si>
    <t>石景山区实兴大街(中关村科技园区石景山园北I区)1605-637、641地块</t>
  </si>
  <si>
    <t>京土整储挂(石)[2016]024号</t>
  </si>
  <si>
    <t>北京市门头沟区永定镇MC00-0018-0060、0061地块B4综合性商业金融服务业用地</t>
  </si>
  <si>
    <t>门头沟区永定镇</t>
  </si>
  <si>
    <t>京土整储挂(门)[2018]002号</t>
  </si>
  <si>
    <t>2018-02-28</t>
  </si>
  <si>
    <t>金融街融辰(北京)置业有限公司和北京市京西置地有限责任公司联合体</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</si>
  <si>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</si>
  <si>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</si>
  <si>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</si>
  <si>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</si>
  <si>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</si>
  <si>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</si>
  <si>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</si>
  <si>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</si>
  <si>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</si>
  <si>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</si>
  <si>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通州区马驹桥镇YZ00-0606-0014地块</t>
  </si>
  <si>
    <t>北京通州物流基地内</t>
  </si>
  <si>
    <t>京土整储挂(通)[2017]033号</t>
  </si>
  <si>
    <t>2017-05-12</t>
  </si>
  <si>
    <t>北京北建通成国际物流有限公司</t>
  </si>
  <si>
    <t>北京市房山区长沟镇中心区FS12-0100-6022、6023等地块(北京基金小镇核心区一期)F3其他类多功能用地</t>
  </si>
  <si>
    <t>房山区长沟镇中心区北部</t>
  </si>
  <si>
    <t>京土整储招(房)[2018]011号</t>
  </si>
  <si>
    <t>2018-06-19</t>
  </si>
  <si>
    <t>北京基金小镇控股有限公司和北京基金小镇圣泉投资中心(有限合伙)联合体</t>
  </si>
  <si>
    <t>1星</t>
  </si>
  <si>
    <t>北京市平谷区金海湖镇韩庄村PG06-0100-6001、6002、6004、C-008、C-012地块B1商业用地</t>
  </si>
  <si>
    <t>平谷区金海湖镇韩庄村</t>
  </si>
  <si>
    <t>京土整储招(平)[2017]104号</t>
  </si>
  <si>
    <t>2018-01-08</t>
  </si>
  <si>
    <t>北京瑞元丰吉置业有限公司</t>
  </si>
  <si>
    <t>通州区台湖镇、张家湾镇、梨园镇地块</t>
  </si>
  <si>
    <t>通州文化旅游区内</t>
  </si>
  <si>
    <t>京土整储挂(通)[2016]013号</t>
  </si>
  <si>
    <t>F3其他类多功能用地、B31娱乐用地、B4综合性商业金融服务业用地、B14旅馆用地、S41公用停车场用地、S5加油加气站用地、U12供电用地</t>
  </si>
  <si>
    <t>2016-07-07</t>
  </si>
  <si>
    <t>北京首寰文化旅游投资有限公司</t>
  </si>
  <si>
    <t>北京市延庆区延庆新城03街区会展中心东侧地块土地一级开发项目(二期)YQ00-0003-0024地块B4综合性商业金融服务业用地</t>
  </si>
  <si>
    <t>延庆区延庆新城03街区</t>
  </si>
  <si>
    <t>京土整储招(延)[2018]041号</t>
  </si>
  <si>
    <t>2018-11-15</t>
  </si>
  <si>
    <t>大连万达商业管理集团股份有限公司</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</si>
  <si>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</si>
  <si>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</si>
  <si>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</si>
  <si>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</si>
  <si>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</si>
  <si>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</si>
  <si>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北京经济技术开发区路东区E16街区E16C-3、E16C-5、E16S-1地块</t>
    <phoneticPr fontId="21" type="noConversion"/>
  </si>
  <si>
    <r>
      <rPr>
        <sz val="11"/>
        <color theme="9" tint="-0.249977111117893"/>
        <rFont val="宋体"/>
        <family val="3"/>
        <charset val="134"/>
      </rPr>
      <t>东至经海五路、</t>
    </r>
    <r>
      <rPr>
        <sz val="11"/>
        <color theme="9" tint="-0.249977111117893"/>
        <rFont val="Arial"/>
        <family val="2"/>
      </rPr>
      <t>E16C-4</t>
    </r>
    <r>
      <rPr>
        <sz val="11"/>
        <color theme="9" tint="-0.249977111117893"/>
        <rFont val="宋体"/>
        <family val="3"/>
        <charset val="134"/>
      </rPr>
      <t>地块国有建设用地；南至</t>
    </r>
    <r>
      <rPr>
        <sz val="11"/>
        <color theme="9" tint="-0.249977111117893"/>
        <rFont val="Arial"/>
        <family val="2"/>
      </rPr>
      <t>E16G-1</t>
    </r>
    <r>
      <rPr>
        <sz val="11"/>
        <color theme="9" tint="-0.249977111117893"/>
        <rFont val="宋体"/>
        <family val="3"/>
        <charset val="134"/>
      </rPr>
      <t>地块规划绿地；西至</t>
    </r>
    <r>
      <rPr>
        <sz val="11"/>
        <color theme="9" tint="-0.249977111117893"/>
        <rFont val="Arial"/>
        <family val="2"/>
      </rPr>
      <t>E16</t>
    </r>
    <r>
      <rPr>
        <sz val="11"/>
        <color theme="9" tint="-0.249977111117893"/>
        <rFont val="宋体"/>
        <family val="3"/>
        <charset val="134"/>
      </rPr>
      <t>号区间路、京东商城；北至科创十一街</t>
    </r>
    <phoneticPr fontId="26" type="noConversion"/>
  </si>
  <si>
    <t>B4综合性商业用地</t>
  </si>
  <si>
    <t>B4综合性商业用地</t>
    <phoneticPr fontId="26" type="noConversion"/>
  </si>
  <si>
    <r>
      <rPr>
        <sz val="11"/>
        <color theme="9" tint="-0.249977111117893"/>
        <rFont val="宋体"/>
        <family val="3"/>
        <charset val="134"/>
      </rPr>
      <t>北京经济技术开发区路东区</t>
    </r>
    <r>
      <rPr>
        <sz val="11"/>
        <color theme="9" tint="-0.249977111117893"/>
        <rFont val="Arial"/>
        <family val="2"/>
      </rPr>
      <t>C14C-1</t>
    </r>
    <r>
      <rPr>
        <sz val="11"/>
        <color theme="9" tint="-0.249977111117893"/>
        <rFont val="宋体"/>
        <family val="3"/>
        <charset val="134"/>
      </rPr>
      <t>、</t>
    </r>
    <r>
      <rPr>
        <sz val="11"/>
        <color theme="9" tint="-0.249977111117893"/>
        <rFont val="Arial"/>
        <family val="2"/>
      </rPr>
      <t>C14C-2</t>
    </r>
    <r>
      <rPr>
        <sz val="11"/>
        <color theme="9" tint="-0.249977111117893"/>
        <rFont val="宋体"/>
        <family val="3"/>
        <charset val="134"/>
      </rPr>
      <t>、</t>
    </r>
    <r>
      <rPr>
        <sz val="11"/>
        <color theme="9" tint="-0.249977111117893"/>
        <rFont val="Arial"/>
        <family val="2"/>
      </rPr>
      <t>C14S-1</t>
    </r>
    <r>
      <rPr>
        <sz val="11"/>
        <color theme="9" tint="-0.249977111117893"/>
        <rFont val="宋体"/>
        <family val="3"/>
        <charset val="134"/>
      </rPr>
      <t>地块</t>
    </r>
    <phoneticPr fontId="26" type="noConversion"/>
  </si>
  <si>
    <r>
      <rPr>
        <sz val="11"/>
        <color theme="9" tint="-0.249977111117893"/>
        <rFont val="宋体"/>
        <family val="3"/>
        <charset val="134"/>
      </rPr>
      <t>大兴开发区北区</t>
    </r>
    <r>
      <rPr>
        <sz val="11"/>
        <color theme="9" tint="-0.249977111117893"/>
        <rFont val="Arial"/>
        <family val="2"/>
      </rPr>
      <t>1</t>
    </r>
    <r>
      <rPr>
        <sz val="11"/>
        <color theme="9" tint="-0.249977111117893"/>
        <rFont val="宋体"/>
        <family val="3"/>
        <charset val="134"/>
      </rPr>
      <t>号地</t>
    </r>
    <r>
      <rPr>
        <sz val="11"/>
        <color theme="9" tint="-0.249977111117893"/>
        <rFont val="Arial"/>
        <family val="2"/>
      </rPr>
      <t>DX00-0301-0144</t>
    </r>
    <r>
      <rPr>
        <sz val="11"/>
        <color theme="9" tint="-0.249977111117893"/>
        <rFont val="宋体"/>
        <family val="3"/>
        <charset val="134"/>
      </rPr>
      <t>地块</t>
    </r>
    <phoneticPr fontId="26" type="noConversion"/>
  </si>
  <si>
    <r>
      <t>F3</t>
    </r>
    <r>
      <rPr>
        <sz val="11"/>
        <rFont val="宋体"/>
        <family val="3"/>
        <charset val="134"/>
      </rPr>
      <t>其他类多功能用地</t>
    </r>
    <phoneticPr fontId="26" type="noConversion"/>
  </si>
  <si>
    <t>三通一平</t>
  </si>
  <si>
    <t>三通一平</t>
    <phoneticPr fontId="26" type="noConversion"/>
  </si>
  <si>
    <t>较差</t>
  </si>
  <si>
    <t>其他省市系数</t>
  </si>
  <si>
    <t>政府土地出让收益比例</t>
    <phoneticPr fontId="3" type="noConversion"/>
  </si>
  <si>
    <t>办公</t>
    <phoneticPr fontId="27" type="noConversion"/>
  </si>
  <si>
    <t>万科大都会滨江</t>
    <phoneticPr fontId="3" type="noConversion"/>
  </si>
  <si>
    <t>通州核心区，地铁6号线通州北关站北侧</t>
    <phoneticPr fontId="3" type="noConversion"/>
  </si>
  <si>
    <t>30-40（含）</t>
  </si>
  <si>
    <t>公寓</t>
  </si>
  <si>
    <t>公寓</t>
    <phoneticPr fontId="27" type="noConversion"/>
  </si>
  <si>
    <t>商务型公寓</t>
  </si>
  <si>
    <t>商务型公寓</t>
    <phoneticPr fontId="27" type="noConversion"/>
  </si>
  <si>
    <t>钢混</t>
    <phoneticPr fontId="27" type="noConversion"/>
  </si>
  <si>
    <t>精装修</t>
    <phoneticPr fontId="27" type="noConversion"/>
  </si>
  <si>
    <t>专业</t>
    <phoneticPr fontId="27" type="noConversion"/>
  </si>
  <si>
    <t>五通</t>
  </si>
  <si>
    <t>五通</t>
    <phoneticPr fontId="27" type="noConversion"/>
  </si>
  <si>
    <t>标准层高</t>
  </si>
  <si>
    <t>标准层高</t>
    <phoneticPr fontId="27" type="noConversion"/>
  </si>
  <si>
    <t>毛坯</t>
    <phoneticPr fontId="27" type="noConversion"/>
  </si>
  <si>
    <t>130-260</t>
    <phoneticPr fontId="27" type="noConversion"/>
  </si>
  <si>
    <t>复地中心</t>
    <phoneticPr fontId="3" type="noConversion"/>
  </si>
  <si>
    <t>通州通州运河核心区</t>
    <phoneticPr fontId="3" type="noConversion"/>
  </si>
  <si>
    <t>80-140</t>
    <phoneticPr fontId="27" type="noConversion"/>
  </si>
  <si>
    <t>合景中心</t>
    <phoneticPr fontId="3" type="noConversion"/>
  </si>
  <si>
    <t>通州城市副中心运河CBD核心区滨河中路北段西侧</t>
    <phoneticPr fontId="3" type="noConversion"/>
  </si>
  <si>
    <t>六通</t>
  </si>
  <si>
    <t>六通</t>
    <phoneticPr fontId="27" type="noConversion"/>
  </si>
  <si>
    <t>77-117</t>
    <phoneticPr fontId="27" type="noConversion"/>
  </si>
  <si>
    <t>居住成熟度</t>
    <phoneticPr fontId="27" type="noConversion"/>
  </si>
  <si>
    <t>次干道</t>
    <phoneticPr fontId="27" type="noConversion"/>
  </si>
  <si>
    <t>一般</t>
    <phoneticPr fontId="27" type="noConversion"/>
  </si>
  <si>
    <t>较好</t>
    <phoneticPr fontId="27" type="noConversion"/>
  </si>
  <si>
    <t>高速路</t>
    <phoneticPr fontId="27" type="noConversion"/>
  </si>
  <si>
    <t>主干道</t>
  </si>
  <si>
    <t>主干道</t>
    <phoneticPr fontId="27" type="noConversion"/>
  </si>
  <si>
    <t>商业繁华度</t>
    <phoneticPr fontId="27" type="noConversion"/>
  </si>
  <si>
    <t>土地（套用方法）</t>
  </si>
  <si>
    <t>押二</t>
  </si>
  <si>
    <t>按租金收入计税</t>
  </si>
  <si>
    <t>不动产收益法</t>
  </si>
  <si>
    <t>独立商业</t>
    <phoneticPr fontId="7" type="noConversion"/>
  </si>
  <si>
    <t>不动产收益法车库</t>
  </si>
  <si>
    <t>不动产收益法车库</t>
    <phoneticPr fontId="14" type="noConversion"/>
  </si>
  <si>
    <t>一区西</t>
    <phoneticPr fontId="6" type="noConversion"/>
  </si>
  <si>
    <t>不动产收益法写字楼</t>
  </si>
  <si>
    <t>不动产收益法写字楼</t>
    <phoneticPr fontId="14" type="noConversion"/>
  </si>
  <si>
    <t>自定义</t>
  </si>
  <si>
    <t>不需自持</t>
    <phoneticPr fontId="3" type="noConversion"/>
  </si>
  <si>
    <t>需自持</t>
    <phoneticPr fontId="3" type="noConversion"/>
  </si>
  <si>
    <t>自持</t>
    <phoneticPr fontId="3" type="noConversion"/>
  </si>
  <si>
    <t>需自持</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</si>
</sst>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62" fillId="6" borderId="2" xfId="5" applyNumberFormat="1" applyFont="1" applyFill="1" applyBorder="1" applyAlignment="1" applyProtection="1">
      <alignment horizontal="center" vertical="center"/>
    </xf>
    <xf numFmtId="0" fontId="264" fillId="0" borderId="105"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0"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1" fillId="9" borderId="12"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11" xfId="0" applyFont="1" applyFill="1" applyBorder="1" applyAlignment="1" applyProtection="1">
      <alignment horizontal="center" vertical="center" wrapText="1"/>
      <protection locked="0"/>
    </xf>
    <xf numFmtId="14" fontId="261" fillId="0" borderId="32" xfId="0" applyNumberFormat="1"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237667</xdr:colOff>
      <xdr:row>11</xdr:row>
      <xdr:rowOff>47383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66667" cy="1933333"/>
        </a:xfrm>
        <a:prstGeom prst="rect">
          <a:avLst/>
        </a:prstGeom>
      </xdr:spPr>
    </xdr:pic>
    <xdr:clientData/>
  </xdr:twoCellAnchor>
  <xdr:twoCellAnchor editAs="oneCell">
    <xdr:from>
      <xdr:col>0</xdr:col>
      <xdr:colOff>0</xdr:colOff>
      <xdr:row>12</xdr:row>
      <xdr:rowOff>0</xdr:rowOff>
    </xdr:from>
    <xdr:to>
      <xdr:col>7</xdr:col>
      <xdr:colOff>151781</xdr:colOff>
      <xdr:row>26</xdr:row>
      <xdr:rowOff>171129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4952381" cy="2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20061;&#21830;&#19994;&#22320;&#22359;-&#29579;&#38451;20190305-101608-&#20911;&#24503;&#26234;20190306-100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土地案例"/>
      <sheetName val="Sheet3"/>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收益法"/>
      <sheetName val="不动产收益法车库"/>
      <sheetName val="不动产比较法-工业"/>
      <sheetName val="不动产比较法-车位"/>
      <sheetName val="不动产比较法-仓储"/>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48476.800000000003</v>
          </cell>
          <cell r="C14">
            <v>8718.17</v>
          </cell>
          <cell r="D14">
            <v>52688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1" customWidth="1"/>
    <col min="2" max="2" width="78.25" style="2862" customWidth="1"/>
    <col min="3" max="18" width="9" style="2856"/>
    <col min="19" max="19" width="17.875" style="2856" customWidth="1"/>
    <col min="20" max="51" width="9" style="2856"/>
    <col min="52" max="52" width="13.25" style="2856" customWidth="1"/>
    <col min="53" max="53" width="13.5" style="2856" bestFit="1" customWidth="1"/>
    <col min="54" max="54" width="11.625" style="2856" bestFit="1" customWidth="1"/>
    <col min="55" max="55" width="13.5" style="2856" bestFit="1" customWidth="1"/>
    <col min="56" max="16384" width="9" style="2856"/>
  </cols>
  <sheetData>
    <row r="1" spans="1:55" s="2867" customFormat="1" ht="16.5" thickBot="1">
      <c r="A1" s="2865" t="s">
        <v>2655</v>
      </c>
      <c r="B1" s="2866" t="s">
        <v>2752</v>
      </c>
    </row>
    <row r="2" spans="1:55" s="2870" customFormat="1" ht="15" thickTop="1">
      <c r="A2" s="2868" t="s">
        <v>2659</v>
      </c>
      <c r="B2" s="2869" t="str">
        <f>'预评函-封皮'!B37</f>
        <v>北京市一区西出让国有建设用地使用权市场价格预评估</v>
      </c>
      <c r="AX2" s="2871"/>
      <c r="AZ2" s="2871"/>
      <c r="BA2" s="2872"/>
      <c r="BC2" s="2872"/>
    </row>
    <row r="3" spans="1:55" s="2873" customFormat="1">
      <c r="A3" s="2852" t="s">
        <v>2660</v>
      </c>
      <c r="B3" s="2855">
        <f>'预评函-封皮'!B40</f>
        <v>0</v>
      </c>
    </row>
    <row r="4" spans="1:55" s="2854" customFormat="1">
      <c r="A4" s="2852" t="s">
        <v>2661</v>
      </c>
      <c r="B4" s="2853" t="str">
        <f>'预评函-封皮'!B46</f>
        <v>王鹏、郑燚</v>
      </c>
      <c r="N4" s="2854" t="str">
        <f>'预评函-1'!A28</f>
        <v>——</v>
      </c>
    </row>
    <row r="5" spans="1:55" s="2867" customFormat="1" ht="15" thickBot="1">
      <c r="A5" s="2874" t="s">
        <v>2662</v>
      </c>
      <c r="B5" s="2875" t="str">
        <f>'预评函-封皮'!B49</f>
        <v>康正预评字号</v>
      </c>
    </row>
    <row r="6" spans="1:55" s="2876" customFormat="1" ht="15" thickTop="1">
      <c r="A6" s="2868" t="s">
        <v>2704</v>
      </c>
      <c r="B6" s="2869" t="str">
        <f>'预评函-1'!A4</f>
        <v>受贵公司委托，我公司对北京市一区西出让国有建设用地使用权市场价格进行了预评估。</v>
      </c>
      <c r="AM6" s="2877"/>
    </row>
    <row r="7" spans="1:55" s="2851" customFormat="1">
      <c r="A7" s="2852" t="s">
        <v>2656</v>
      </c>
      <c r="B7" s="2853" t="str">
        <f>'预评函-1'!A6</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8" spans="1:55" s="2851" customFormat="1">
      <c r="A8" s="2852" t="s">
        <v>2657</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2707</v>
      </c>
      <c r="B9" s="2853" t="str">
        <f>'预评函-1'!A9</f>
        <v>本次评估为委托估价方了解标的物之市场价格提供参考依据而评估出让国有建设用地使用权市场价格。</v>
      </c>
    </row>
    <row r="10" spans="1:55" s="2851" customFormat="1">
      <c r="A10" s="2852" t="s">
        <v>2658</v>
      </c>
      <c r="B10" s="2853" t="str">
        <f>'预评函-1'!A11</f>
        <v>2019年2月14日（评估专业人员勘察现场之日）</v>
      </c>
    </row>
    <row r="11" spans="1:55" s="2851" customFormat="1">
      <c r="A11" s="2852" t="s">
        <v>2664</v>
      </c>
      <c r="B11" s="2853" t="str">
        <f>'预评函-1'!A14</f>
        <v>根据《国有土地使用证》[]，本次评估估价对象证载（地类）用途为。</v>
      </c>
    </row>
    <row r="12" spans="1:55" s="2851" customFormat="1">
      <c r="A12" s="2852" t="s">
        <v>2665</v>
      </c>
      <c r="B12" s="2853" t="str">
        <f>'预评函-1'!A15</f>
        <v>本次评估设定用途即为证载用途。</v>
      </c>
    </row>
    <row r="13" spans="1:55" s="2851" customFormat="1">
      <c r="A13" s="2852" t="s">
        <v>2666</v>
      </c>
      <c r="B13" s="2853" t="str">
        <f>'预评函-1'!A17</f>
        <v>根据委托估价方介绍及评估专业人员现场勘查，本次评估估价对象实际土地开发程度为红线外市政基础设施达“七通”（即、、、、、、）、宗地红线内场地平整。</v>
      </c>
    </row>
    <row r="14" spans="1:55" s="2851" customFormat="1">
      <c r="A14" s="2852" t="s">
        <v>2667</v>
      </c>
      <c r="B14" s="2853" t="str">
        <f>'预评函-1'!A18</f>
        <v>。本次评估设定土地开发程度为红线外市政基础设施达“七通”、宗地红线内场地平整。</v>
      </c>
    </row>
    <row r="15" spans="1:55" s="2851" customFormat="1">
      <c r="A15" s="2852" t="s">
        <v>2663</v>
      </c>
      <c r="B15" s="2853" t="str">
        <f>'预评函-1'!A20</f>
        <v>根据《国有土地使用证》[]，估价对象（分摊）出让国有建设用地使用权面积为19600平方米。根据《建设工程规划许可证》[]、《出让合同》[]，估价对象规划建筑面积为86130.88平方米。</v>
      </c>
    </row>
    <row r="16" spans="1:55" s="2851" customFormat="1">
      <c r="A16" s="2852" t="s">
        <v>2668</v>
      </c>
      <c r="B16" s="2853" t="str">
        <f>'预评函-1'!A22</f>
        <v>本次估价对象为出让国有建设用地使用权，《国有土地使用证》[]证载土地终止日期为商业2044年8月27日、办公2054年8月27日、地下车库2054年8月27日。截至估价期日，出让国有建设用地使用权剩余土地使用年限为。</v>
      </c>
    </row>
    <row r="17" spans="1:48" s="2851" customFormat="1">
      <c r="A17" s="2852" t="s">
        <v>2669</v>
      </c>
      <c r="B17" s="2853" t="str">
        <f>'预评函-1'!A23</f>
        <v>本次评估设定估价对象剩余土地使用年限为。</v>
      </c>
    </row>
    <row r="18" spans="1:48" s="2851" customFormat="1">
      <c r="A18" s="2852" t="s">
        <v>2670</v>
      </c>
      <c r="B18" s="2853" t="str">
        <f>'预评函-1'!A25</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19" spans="1:48" s="2851" customFormat="1">
      <c r="A19" s="2852" t="s">
        <v>2671</v>
      </c>
      <c r="B19" s="2853" t="str">
        <f>'预评函-1'!A26</f>
        <v>——</v>
      </c>
    </row>
    <row r="20" spans="1:48" s="2851" customFormat="1">
      <c r="A20" s="2852" t="s">
        <v>2672</v>
      </c>
      <c r="B20" s="2853" t="str">
        <f>'预评函-1'!A27</f>
        <v>——</v>
      </c>
    </row>
    <row r="21" spans="1:48" s="2867" customFormat="1" ht="15" thickBot="1">
      <c r="A21" s="2874" t="s">
        <v>2673</v>
      </c>
      <c r="B21" s="2875" t="str">
        <f>'预评函-1'!A28</f>
        <v>——</v>
      </c>
    </row>
    <row r="22" spans="1:48" ht="15" thickTop="1">
      <c r="A22" s="2863" t="s">
        <v>2674</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2675</v>
      </c>
      <c r="B23" s="2853" t="str">
        <f>'预评函-2'!K2</f>
        <v>估价期日：2019年2月14日</v>
      </c>
    </row>
    <row r="24" spans="1:48">
      <c r="A24" s="2852" t="s">
        <v>2676</v>
      </c>
      <c r="B24" s="2853" t="str">
        <f>'预评函-2'!R2</f>
        <v>估价期日的国有建设用地使用权性质：出让</v>
      </c>
    </row>
    <row r="25" spans="1:48">
      <c r="A25" s="2852" t="s">
        <v>2732</v>
      </c>
      <c r="B25" s="2853" t="str">
        <f>'预评函-2'!A3</f>
        <v>估价期日土地使用者</v>
      </c>
    </row>
    <row r="26" spans="1:48">
      <c r="A26" s="2852" t="s">
        <v>2708</v>
      </c>
      <c r="B26" s="2853" t="str">
        <f>'预评函-2'!A5</f>
        <v>中信开发</v>
      </c>
    </row>
    <row r="27" spans="1:48">
      <c r="A27" s="2852" t="s">
        <v>2733</v>
      </c>
      <c r="B27" s="2853" t="str">
        <f>'预评函-2'!B3</f>
        <v>宗地编号/不动产单元号</v>
      </c>
    </row>
    <row r="28" spans="1:48">
      <c r="A28" s="2852" t="s">
        <v>2709</v>
      </c>
      <c r="B28" s="2853" t="str">
        <f>'预评函-2'!B5</f>
        <v>11111111111</v>
      </c>
    </row>
    <row r="29" spans="1:48">
      <c r="A29" s="2852" t="s">
        <v>2735</v>
      </c>
      <c r="B29" s="2853">
        <f>'预评函-2'!C5</f>
        <v>22</v>
      </c>
    </row>
    <row r="30" spans="1:48">
      <c r="A30" s="2852" t="s">
        <v>2736</v>
      </c>
      <c r="B30" s="2853" t="str">
        <f>'预评函-2'!D3</f>
        <v>土地使用证编号/不动产权证书编号</v>
      </c>
    </row>
    <row r="31" spans="1:48">
      <c r="A31" s="2852" t="s">
        <v>2710</v>
      </c>
      <c r="B31" s="2853" t="str">
        <f>'预评函-2'!D5</f>
        <v>京国土字第111号</v>
      </c>
    </row>
    <row r="32" spans="1:48">
      <c r="A32" s="2852" t="s">
        <v>2711</v>
      </c>
      <c r="B32" s="2853">
        <f>'预评函-2'!E5</f>
        <v>0</v>
      </c>
      <c r="AV32" s="2857"/>
    </row>
    <row r="33" spans="1:2">
      <c r="A33" s="2852" t="s">
        <v>2712</v>
      </c>
      <c r="B33" s="2853">
        <f>'预评函-2'!F5</f>
        <v>258</v>
      </c>
    </row>
    <row r="34" spans="1:2">
      <c r="A34" s="2852" t="s">
        <v>2713</v>
      </c>
      <c r="B34" s="2853">
        <f>'预评函-2'!G5</f>
        <v>0</v>
      </c>
    </row>
    <row r="35" spans="1:2">
      <c r="A35" s="2852" t="s">
        <v>2714</v>
      </c>
      <c r="B35" s="2853">
        <f>'预评函-2'!H5</f>
        <v>1.5</v>
      </c>
    </row>
    <row r="36" spans="1:2">
      <c r="A36" s="2852" t="s">
        <v>2715</v>
      </c>
      <c r="B36" s="2853">
        <f>'预评函-2'!I5</f>
        <v>1.5</v>
      </c>
    </row>
    <row r="37" spans="1:2">
      <c r="A37" s="2852" t="s">
        <v>2716</v>
      </c>
      <c r="B37" s="2853">
        <f>'预评函-2'!J5</f>
        <v>1.5</v>
      </c>
    </row>
    <row r="38" spans="1:2">
      <c r="A38" s="2852" t="s">
        <v>2717</v>
      </c>
      <c r="B38" s="2853" t="str">
        <f>'预评函-2'!K5</f>
        <v>红线外七通、宗地红线内</v>
      </c>
    </row>
    <row r="39" spans="1:2">
      <c r="A39" s="2852" t="s">
        <v>2718</v>
      </c>
      <c r="B39" s="2853" t="str">
        <f>'预评函-2'!L5</f>
        <v>红线外七通、宗地红线内场地</v>
      </c>
    </row>
    <row r="40" spans="1:2">
      <c r="A40" s="2852" t="s">
        <v>2737</v>
      </c>
      <c r="B40" s="2853" t="str">
        <f>'预评函-2'!M3</f>
        <v>（剩余）土地使用年限/年</v>
      </c>
    </row>
    <row r="41" spans="1:2">
      <c r="A41" s="2852" t="s">
        <v>2719</v>
      </c>
      <c r="B41" s="2853">
        <f>'预评函-2'!M5</f>
        <v>0</v>
      </c>
    </row>
    <row r="42" spans="1:2">
      <c r="A42" s="2852" t="s">
        <v>2738</v>
      </c>
      <c r="B42" s="2853" t="str">
        <f>'预评函-2'!N3</f>
        <v>（分摊）出让国有建设用地使用权面积/㎡</v>
      </c>
    </row>
    <row r="43" spans="1:2">
      <c r="A43" s="2852" t="s">
        <v>2720</v>
      </c>
      <c r="B43" s="2853">
        <f>'预评函-2'!N5</f>
        <v>19600</v>
      </c>
    </row>
    <row r="44" spans="1:2">
      <c r="A44" s="2852" t="s">
        <v>2739</v>
      </c>
      <c r="B44" s="2853" t="str">
        <f>'预评函-2'!O3</f>
        <v>规划建筑面积/㎡</v>
      </c>
    </row>
    <row r="45" spans="1:2">
      <c r="A45" s="2852" t="s">
        <v>2721</v>
      </c>
      <c r="B45" s="2853">
        <f>'预评函-2'!O5</f>
        <v>86130.880000000005</v>
      </c>
    </row>
    <row r="46" spans="1:2">
      <c r="A46" s="2852" t="s">
        <v>2722</v>
      </c>
      <c r="B46" s="2853">
        <f ca="1">'预评函-2'!P5</f>
        <v>44593</v>
      </c>
    </row>
    <row r="47" spans="1:2">
      <c r="A47" s="2852" t="s">
        <v>2723</v>
      </c>
      <c r="B47" s="2853">
        <f ca="1">'预评函-2'!Q5</f>
        <v>10148</v>
      </c>
    </row>
    <row r="48" spans="1:2">
      <c r="A48" s="2852" t="s">
        <v>2724</v>
      </c>
      <c r="B48" s="2853">
        <f ca="1">'预评函-2'!R5</f>
        <v>87403</v>
      </c>
    </row>
    <row r="49" spans="1:2">
      <c r="A49" s="2852" t="s">
        <v>2740</v>
      </c>
      <c r="B49" s="2853" t="str">
        <f>'预评函-2'!A6</f>
        <v>——</v>
      </c>
    </row>
    <row r="50" spans="1:2">
      <c r="A50" s="2852" t="s">
        <v>2725</v>
      </c>
      <c r="B50" s="2853" t="str">
        <f>'预评函-2'!R6</f>
        <v>——</v>
      </c>
    </row>
    <row r="51" spans="1:2">
      <c r="A51" s="2852" t="s">
        <v>2741</v>
      </c>
      <c r="B51" s="2853" t="str">
        <f>'预评函-2'!A7</f>
        <v>——</v>
      </c>
    </row>
    <row r="52" spans="1:2">
      <c r="A52" s="2852" t="s">
        <v>2726</v>
      </c>
      <c r="B52" s="2853" t="str">
        <f>'预评函-2'!R7</f>
        <v>——</v>
      </c>
    </row>
    <row r="53" spans="1:2">
      <c r="A53" s="2852" t="s">
        <v>2742</v>
      </c>
      <c r="B53" s="2853" t="str">
        <f>'预评函-2'!A8</f>
        <v>——</v>
      </c>
    </row>
    <row r="54" spans="1:2" s="2867" customFormat="1" ht="15" thickBot="1">
      <c r="A54" s="2874" t="s">
        <v>2727</v>
      </c>
      <c r="B54" s="2875" t="str">
        <f>'预评函-2'!R8</f>
        <v>——</v>
      </c>
    </row>
    <row r="55" spans="1:2" ht="15" thickTop="1">
      <c r="A55" s="2863" t="s">
        <v>2677</v>
      </c>
      <c r="B55" s="2864" t="str">
        <f>'预评函-3'!A2</f>
        <v>1.权利限制：根据估价对象《不动产权证书》原件、《国有土地使用权》复印件，截至估价期日，估价对象抵押权未见登记。未设定租赁等其他他项权利。</v>
      </c>
    </row>
    <row r="56" spans="1:2">
      <c r="A56" s="2852" t="s">
        <v>2678</v>
      </c>
      <c r="B56" s="2853" t="str">
        <f>'预评函-3'!A3</f>
        <v>2.基础设施条件：估价对象实际开发程度为红线外七通、宗地红线内；本次评估设定开发程度为红线外七通、宗地红线内场地。</v>
      </c>
    </row>
    <row r="57" spans="1:2">
      <c r="A57" s="2852" t="s">
        <v>2679</v>
      </c>
      <c r="B57" s="2853" t="str">
        <f>'预评函-3'!A4</f>
        <v>3.估价规划限制条件：详见《建设工程规划许可证》[]、《出让合同》[]。</v>
      </c>
    </row>
    <row r="58" spans="1:2" s="2867" customFormat="1" ht="15" thickBot="1">
      <c r="A58" s="2874" t="s">
        <v>2728</v>
      </c>
      <c r="B58" s="2875" t="str">
        <f>'预评函-3'!A5</f>
        <v>4.影响价格的其他限定条件：无。</v>
      </c>
    </row>
    <row r="59" spans="1:2" ht="15" thickTop="1">
      <c r="A59" s="2863" t="s">
        <v>2680</v>
      </c>
      <c r="B59" s="2864" t="str">
        <f>'预评函-3'!A8</f>
        <v>2.本次评估设定估价对象宗地权属无争议，未被查封或者以其他形式限制其房地产权利，未设定抵押权等他项权利，不涉及第三方权利义务。</v>
      </c>
    </row>
    <row r="60" spans="1:2">
      <c r="A60" s="2852" t="s">
        <v>2681</v>
      </c>
      <c r="B60" s="2853" t="str">
        <f>'预评函-3'!A9</f>
        <v>——</v>
      </c>
    </row>
    <row r="61" spans="1:2">
      <c r="A61" s="2852" t="s">
        <v>2683</v>
      </c>
      <c r="B61" s="2853" t="str">
        <f>'预评函-3'!A10</f>
        <v>——</v>
      </c>
    </row>
    <row r="62" spans="1:2">
      <c r="A62" s="2852" t="s">
        <v>2682</v>
      </c>
      <c r="B62" s="2853" t="str">
        <f>'预评函-3'!A11</f>
        <v>——</v>
      </c>
    </row>
    <row r="63" spans="1:2">
      <c r="A63" s="2852" t="s">
        <v>2684</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2685</v>
      </c>
      <c r="B64" s="2858" t="str">
        <f>'预评函-3'!A13</f>
        <v>（3）。</v>
      </c>
    </row>
    <row r="65" spans="1:2">
      <c r="A65" s="2852" t="s">
        <v>2686</v>
      </c>
      <c r="B65" s="2859" t="str">
        <f>'预评函-3'!A14</f>
        <v>——</v>
      </c>
    </row>
    <row r="66" spans="1:2">
      <c r="A66" s="2852" t="s">
        <v>2687</v>
      </c>
      <c r="B66" s="28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2688</v>
      </c>
      <c r="B67" s="28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5" thickBot="1">
      <c r="A68" s="2874" t="s">
        <v>2691</v>
      </c>
      <c r="B68" s="2878">
        <f>'预评函-3'!D30</f>
        <v>42558</v>
      </c>
    </row>
    <row r="69" spans="1:2" ht="15" thickTop="1">
      <c r="A69" s="2863" t="s">
        <v>2689</v>
      </c>
      <c r="B69" s="2864" t="str">
        <f>'预评函-3'!A20</f>
        <v>王鹏</v>
      </c>
    </row>
    <row r="70" spans="1:2">
      <c r="A70" s="2852" t="s">
        <v>2689</v>
      </c>
      <c r="B70" s="2859">
        <f ca="1">'预评函-3'!B20</f>
        <v>2002110030</v>
      </c>
    </row>
    <row r="71" spans="1:2">
      <c r="A71" s="2852" t="s">
        <v>2690</v>
      </c>
      <c r="B71" s="2853" t="str">
        <f>'预评函-3'!A21</f>
        <v>郑燚</v>
      </c>
    </row>
    <row r="72" spans="1:2" s="2867" customFormat="1" ht="15" thickBot="1">
      <c r="A72" s="2874" t="s">
        <v>2690</v>
      </c>
      <c r="B72" s="2880">
        <f ca="1">'预评函-3'!B21</f>
        <v>2014110011</v>
      </c>
    </row>
    <row r="73" spans="1:2" ht="15" thickTop="1">
      <c r="A73" s="2863" t="s">
        <v>2749</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2750</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5" thickBot="1">
      <c r="A75" s="2874" t="s">
        <v>2751</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1" t="s">
        <v>2786</v>
      </c>
      <c r="B76" s="286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L41" sqref="L41"/>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1937</v>
      </c>
      <c r="B1" s="3236" t="str">
        <f>IF(B10="北京市","北京市",C10)&amp;F10&amp;B16&amp;"国有建设用地使用权"&amp;B9&amp;"预评估"</f>
        <v>北京市一区西出让国有建设用地使用权市场价格预评估</v>
      </c>
      <c r="C1" s="3237"/>
      <c r="D1" s="3237"/>
      <c r="E1" s="3237"/>
      <c r="F1" s="3237"/>
      <c r="G1" s="3237"/>
      <c r="H1" s="3237"/>
      <c r="I1" s="3238"/>
      <c r="J1" s="1690"/>
      <c r="K1" s="2430" t="str">
        <f>IF(B10="北京市","北京市",C10)&amp;F10&amp;B16&amp;"国有建设用地使用权"&amp;B9</f>
        <v>北京市一区西出让国有建设用地使用权市场价格</v>
      </c>
      <c r="L1" s="1719"/>
      <c r="M1" s="1719"/>
      <c r="N1" s="1690"/>
      <c r="O1" s="1691"/>
      <c r="P1" s="1690"/>
      <c r="Q1" s="1690"/>
      <c r="R1" s="1690"/>
      <c r="S1" s="1690"/>
      <c r="T1" s="1690"/>
      <c r="U1" s="1690"/>
    </row>
    <row r="2" spans="1:21">
      <c r="A2" s="1656" t="s">
        <v>1938</v>
      </c>
      <c r="B2" s="1838"/>
      <c r="D2" s="1690"/>
      <c r="E2" s="1690"/>
      <c r="F2" s="1690"/>
      <c r="G2" s="1690"/>
      <c r="H2" s="1656"/>
      <c r="I2" s="1691"/>
      <c r="J2" s="1690"/>
      <c r="K2" s="2430" t="str">
        <f>IF(B10="北京市","北京市",C10)&amp;F10&amp;B16&amp;"国有建设用地使用权"</f>
        <v>北京市一区西出让国有建设用地使用权</v>
      </c>
      <c r="L2" s="1719"/>
      <c r="M2" s="1719"/>
      <c r="N2" s="1690"/>
      <c r="O2" s="1691"/>
      <c r="P2" s="1690"/>
      <c r="Q2" s="1690"/>
      <c r="R2" s="1690"/>
      <c r="S2" s="1690"/>
      <c r="T2" s="1690"/>
      <c r="U2" s="1690"/>
    </row>
    <row r="3" spans="1:21">
      <c r="A3" s="1657" t="s">
        <v>1939</v>
      </c>
      <c r="B3" s="1658">
        <f>D3</f>
        <v>43510</v>
      </c>
      <c r="C3" s="1659" t="s">
        <v>1995</v>
      </c>
      <c r="D3" s="1658">
        <v>43510</v>
      </c>
      <c r="E3" s="1690"/>
      <c r="F3" s="1690"/>
      <c r="G3" s="1690"/>
      <c r="H3" s="1656"/>
      <c r="I3" s="1691"/>
      <c r="J3" s="1690"/>
      <c r="K3" s="1770"/>
      <c r="L3" s="1719"/>
      <c r="M3" s="1719"/>
      <c r="N3" s="1690"/>
      <c r="O3" s="1691"/>
      <c r="P3" s="1690"/>
      <c r="Q3" s="1690"/>
      <c r="R3" s="1690"/>
      <c r="S3" s="1690"/>
      <c r="T3" s="1690"/>
      <c r="U3" s="1690"/>
    </row>
    <row r="4" spans="1:21" ht="15" thickBot="1">
      <c r="A4" s="1660" t="s">
        <v>1940</v>
      </c>
      <c r="B4" s="1839" t="s">
        <v>2993</v>
      </c>
      <c r="C4" s="1842">
        <f ca="1">SUMIF(土地估价师,B4,估价师及机构信息!E3:E24)</f>
        <v>2002110030</v>
      </c>
      <c r="D4" s="1839" t="s">
        <v>2994</v>
      </c>
      <c r="E4" s="1842">
        <f ca="1">SUMIF(土地估价师,D4,估价师及机构信息!E3:E24)</f>
        <v>2014110011</v>
      </c>
      <c r="F4" s="1839" t="s">
        <v>951</v>
      </c>
      <c r="G4" s="1842">
        <f>SUMIF(土地估价师,F4,估价师及机构信息!E3:E24)</f>
        <v>0</v>
      </c>
      <c r="H4" s="1839" t="s">
        <v>951</v>
      </c>
      <c r="I4" s="1842">
        <f>SUMIF(土地估价师,H4,估价师及机构信息!E3:E24)</f>
        <v>0</v>
      </c>
      <c r="J4" s="1690"/>
      <c r="K4" s="2430" t="str">
        <f>IF(AND(F4="——",H4="——"),B4&amp;"、"&amp;D4,IF(AND(F4&lt;&gt;"——",H4="——"),B4&amp;"、"&amp;D4&amp;"、"&amp;F4,B4&amp;"、"&amp;D4&amp;"、"&amp;F4&amp;"、"&amp;H4))</f>
        <v>王鹏、郑燚</v>
      </c>
      <c r="L4" s="1719"/>
      <c r="M4" s="1719"/>
      <c r="N4" s="1690"/>
      <c r="O4" s="1691"/>
      <c r="P4" s="1690"/>
      <c r="Q4" s="1690"/>
      <c r="R4" s="1690"/>
      <c r="S4" s="1690"/>
      <c r="T4" s="1690"/>
      <c r="U4" s="1690"/>
    </row>
    <row r="5" spans="1:21" ht="15" thickTop="1">
      <c r="A5" s="1661" t="s">
        <v>1941</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2705</v>
      </c>
      <c r="B6" s="1785"/>
      <c r="C6" s="1757"/>
      <c r="D6" s="1664"/>
      <c r="E6" s="1690"/>
      <c r="F6" s="1690"/>
      <c r="G6" s="1690"/>
      <c r="H6" s="1656"/>
      <c r="I6" s="1691"/>
      <c r="J6" s="1690"/>
      <c r="K6" s="3027" t="str">
        <f>IF(COUNTIF(B6,"*上海银行*"),"上海银行","")</f>
        <v/>
      </c>
      <c r="L6" s="1719"/>
      <c r="M6" s="1719"/>
      <c r="N6" s="1690"/>
      <c r="O6" s="1691"/>
      <c r="P6" s="1690"/>
      <c r="Q6" s="1690"/>
      <c r="R6" s="1690"/>
      <c r="S6" s="1690"/>
      <c r="T6" s="1690"/>
      <c r="U6" s="1690"/>
    </row>
    <row r="7" spans="1:21">
      <c r="A7" s="1665" t="s">
        <v>2706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1942</v>
      </c>
      <c r="B8" s="1666" t="s">
        <v>2995</v>
      </c>
      <c r="C8" s="1667"/>
      <c r="D8" s="3242" t="s">
        <v>1944</v>
      </c>
      <c r="E8" s="1840"/>
      <c r="F8" s="1668"/>
      <c r="G8" s="1656"/>
      <c r="H8" s="1656"/>
      <c r="I8" s="1703"/>
      <c r="J8" s="1690"/>
      <c r="K8" s="1770"/>
      <c r="L8" s="1719"/>
      <c r="M8" s="1719"/>
      <c r="N8" s="1690"/>
      <c r="O8" s="1691"/>
      <c r="P8" s="1690"/>
      <c r="Q8" s="1690"/>
      <c r="R8" s="1690"/>
      <c r="S8" s="1690"/>
      <c r="T8" s="1690"/>
      <c r="U8" s="1690"/>
    </row>
    <row r="9" spans="1:21" ht="15" thickBot="1">
      <c r="A9" s="1669" t="s">
        <v>1943</v>
      </c>
      <c r="B9" s="1670" t="s">
        <v>2996</v>
      </c>
      <c r="C9" s="1671"/>
      <c r="D9" s="3243"/>
      <c r="E9" s="1670"/>
      <c r="F9" s="1743"/>
      <c r="G9" s="1738"/>
      <c r="H9" s="1738"/>
      <c r="I9" s="1739"/>
      <c r="J9" s="1690"/>
      <c r="K9" s="1770"/>
      <c r="L9" s="1719"/>
      <c r="M9" s="1719"/>
      <c r="N9" s="1690"/>
      <c r="O9" s="1691"/>
      <c r="P9" s="1690"/>
      <c r="Q9" s="1690"/>
      <c r="R9" s="1690"/>
      <c r="S9" s="1690"/>
      <c r="T9" s="1690"/>
      <c r="U9" s="1690"/>
    </row>
    <row r="10" spans="1:21" ht="15" thickTop="1">
      <c r="A10" s="1740" t="s">
        <v>1999</v>
      </c>
      <c r="B10" s="1715" t="s">
        <v>1945</v>
      </c>
      <c r="C10" s="1672"/>
      <c r="D10" s="1663"/>
      <c r="E10" s="1673" t="s">
        <v>1946</v>
      </c>
      <c r="F10" s="1674" t="s">
        <v>3329</v>
      </c>
      <c r="G10" s="1741"/>
      <c r="H10" s="1742"/>
      <c r="I10" s="1663"/>
      <c r="J10" s="1690"/>
      <c r="K10" s="1770"/>
      <c r="L10" s="1719"/>
      <c r="M10" s="1719"/>
      <c r="N10" s="1690"/>
      <c r="O10" s="1691"/>
      <c r="P10" s="1690"/>
      <c r="Q10" s="1690"/>
      <c r="R10" s="1690"/>
      <c r="S10" s="1690"/>
      <c r="T10" s="1690"/>
      <c r="U10" s="1690"/>
    </row>
    <row r="11" spans="1:21">
      <c r="A11" s="1693" t="s">
        <v>2000</v>
      </c>
      <c r="B11" s="1694" t="s">
        <v>2997</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2058</v>
      </c>
      <c r="B12" s="3239"/>
      <c r="C12" s="3240"/>
      <c r="D12" s="3241"/>
      <c r="E12" s="1695" t="s">
        <v>2061</v>
      </c>
      <c r="F12" s="3257" t="s">
        <v>2888</v>
      </c>
      <c r="G12" s="3258"/>
      <c r="H12" s="3258"/>
      <c r="I12" s="3259"/>
      <c r="J12" s="1690"/>
      <c r="K12" s="1770"/>
      <c r="L12" s="1719"/>
      <c r="M12" s="1719"/>
      <c r="N12" s="1690"/>
      <c r="O12" s="1691"/>
      <c r="P12" s="1690"/>
      <c r="Q12" s="1690"/>
      <c r="R12" s="1690"/>
      <c r="S12" s="1690"/>
      <c r="T12" s="1690"/>
      <c r="U12" s="1690"/>
    </row>
    <row r="13" spans="1:21">
      <c r="A13" s="1683" t="s">
        <v>2059</v>
      </c>
      <c r="B13" s="3239"/>
      <c r="C13" s="3240"/>
      <c r="D13" s="3241"/>
      <c r="E13" s="1695" t="s">
        <v>2061</v>
      </c>
      <c r="F13" s="3257" t="s">
        <v>2889</v>
      </c>
      <c r="G13" s="3258"/>
      <c r="H13" s="3258"/>
      <c r="I13" s="3259"/>
      <c r="J13" s="1690"/>
      <c r="K13" s="1770"/>
      <c r="L13" s="1719"/>
      <c r="M13" s="1719"/>
      <c r="N13" s="1690"/>
      <c r="O13" s="1691"/>
      <c r="P13" s="1690"/>
      <c r="Q13" s="1690"/>
      <c r="R13" s="1690"/>
      <c r="S13" s="1690"/>
      <c r="T13" s="1690"/>
      <c r="U13" s="1690"/>
    </row>
    <row r="14" spans="1:21">
      <c r="A14" s="1657" t="s">
        <v>2062</v>
      </c>
      <c r="B14" s="1695"/>
      <c r="C14" s="1841" t="s">
        <v>2998</v>
      </c>
      <c r="D14" s="1729" t="str">
        <f>IF(C14="不一致","是否符合证载地类范围","")</f>
        <v/>
      </c>
      <c r="E14" s="1695"/>
      <c r="F14" s="1786" t="s">
        <v>2999</v>
      </c>
      <c r="G14" s="1724"/>
      <c r="H14" s="1724"/>
      <c r="I14" s="1833"/>
      <c r="J14" s="1690"/>
      <c r="K14" s="1770"/>
      <c r="L14" s="1719"/>
      <c r="M14" s="1719"/>
      <c r="N14" s="1690"/>
      <c r="O14" s="1691"/>
      <c r="P14" s="1690"/>
      <c r="Q14" s="1690"/>
      <c r="R14" s="1690"/>
      <c r="S14" s="1690"/>
      <c r="T14" s="1690"/>
      <c r="U14" s="1690"/>
    </row>
    <row r="15" spans="1:21" hidden="1">
      <c r="A15" s="2620"/>
      <c r="B15" s="1659"/>
      <c r="C15" s="1659"/>
      <c r="D15" s="1762" t="s">
        <v>1949</v>
      </c>
      <c r="E15" s="1762" t="s">
        <v>1950</v>
      </c>
      <c r="F15" s="1762" t="s">
        <v>1951</v>
      </c>
      <c r="G15" s="1682" t="s">
        <v>1952</v>
      </c>
      <c r="H15" s="1682" t="s">
        <v>1953</v>
      </c>
      <c r="I15" s="1682" t="s">
        <v>1954</v>
      </c>
      <c r="J15" s="1690"/>
      <c r="K15" s="1770"/>
      <c r="L15" s="1719"/>
      <c r="M15" s="1719"/>
      <c r="N15" s="1690"/>
      <c r="O15" s="1691"/>
      <c r="P15" s="1690"/>
      <c r="Q15" s="1690"/>
      <c r="R15" s="1690"/>
      <c r="S15" s="1690"/>
      <c r="T15" s="1690"/>
      <c r="U15" s="1690"/>
    </row>
    <row r="16" spans="1:21" ht="42.75">
      <c r="A16" s="1676" t="s">
        <v>1947</v>
      </c>
      <c r="B16" s="1677" t="s">
        <v>3000</v>
      </c>
      <c r="C16" s="1695" t="s">
        <v>1948</v>
      </c>
      <c r="D16" s="2621" t="s">
        <v>1949</v>
      </c>
      <c r="E16" s="1718" t="s">
        <v>3065</v>
      </c>
      <c r="F16" s="1718" t="s">
        <v>1677</v>
      </c>
      <c r="G16" s="1718" t="s">
        <v>35</v>
      </c>
      <c r="H16" s="1718"/>
      <c r="I16" s="1682" t="s">
        <v>1954</v>
      </c>
      <c r="J16" s="1690"/>
      <c r="K16" s="2431" t="str">
        <f>IF(D17="","",D16&amp;TEXT(D17,"yyyy年m月d日;;"))</f>
        <v/>
      </c>
      <c r="L16" s="1695" t="str">
        <f>IF(OR(K16="",M16=""),"","、")</f>
        <v/>
      </c>
      <c r="M16" s="2431" t="str">
        <f>IF(E17="","",E16&amp;TEXT(E17,"yyyy年m月d日;;"))</f>
        <v>商业2044年8月27日</v>
      </c>
      <c r="N16" s="1695" t="str">
        <f>IF(OR(M16="",O16=""),"","、")</f>
        <v>、</v>
      </c>
      <c r="O16" s="2431" t="str">
        <f>IF(F17="","",F16&amp;TEXT(F17,"yyyy年m月d日;;"))</f>
        <v>办公2054年8月27日</v>
      </c>
      <c r="P16" s="1695" t="str">
        <f>IF(OR(O16="",Q16=""),"","、")</f>
        <v>、</v>
      </c>
      <c r="Q16" s="2431" t="str">
        <f>IF(G17="","",G16&amp;TEXT(G17,"yyyy年m月d日;;"))</f>
        <v>地下车库2054年8月27日</v>
      </c>
      <c r="R16" s="1695" t="str">
        <f>IF(OR(Q16="",S16=""),"","、")</f>
        <v/>
      </c>
      <c r="S16" s="2431" t="str">
        <f>IF(H17="","",H16&amp;TEXT(H17,"yyyy年m月d日;;"))</f>
        <v/>
      </c>
      <c r="T16" s="1695" t="str">
        <f>IF(OR(S16="",U16=""),"","、")</f>
        <v/>
      </c>
      <c r="U16" s="2431" t="str">
        <f>IF(I17="","",I16&amp;TEXT(I17,"yyyy年m月d日;;"))</f>
        <v/>
      </c>
    </row>
    <row r="17" spans="1:21">
      <c r="A17" s="1759"/>
      <c r="B17" s="1678"/>
      <c r="C17" s="1679" t="s">
        <v>1955</v>
      </c>
      <c r="D17" s="1696"/>
      <c r="E17" s="1696">
        <v>52836</v>
      </c>
      <c r="F17" s="1696">
        <v>56488</v>
      </c>
      <c r="G17" s="1696">
        <v>56488</v>
      </c>
      <c r="H17" s="1696"/>
      <c r="I17" s="1696"/>
      <c r="J17" s="1690"/>
      <c r="K17" s="2430" t="str">
        <f>CONCATENATE(K16,L16,M16,N16,O16,P16,Q16,R16,S16,T16,,U16)</f>
        <v>商业2044年8月27日、办公2054年8月27日、地下车库2054年8月27日</v>
      </c>
      <c r="L17" s="1719"/>
      <c r="M17" s="1719"/>
      <c r="N17" s="1690"/>
      <c r="O17" s="1691"/>
      <c r="P17" s="1690"/>
      <c r="Q17" s="1690"/>
      <c r="R17" s="1690"/>
      <c r="S17" s="1690"/>
      <c r="T17" s="1690"/>
      <c r="U17" s="1690"/>
    </row>
    <row r="18" spans="1:21">
      <c r="A18" s="1759"/>
      <c r="B18" s="1678"/>
      <c r="C18" s="1679" t="s">
        <v>1956</v>
      </c>
      <c r="D18" s="1680">
        <v>70</v>
      </c>
      <c r="E18" s="1680">
        <v>40</v>
      </c>
      <c r="F18" s="1680">
        <v>50</v>
      </c>
      <c r="G18" s="1680">
        <v>40</v>
      </c>
      <c r="H18" s="1680"/>
      <c r="I18" s="1680"/>
      <c r="J18" s="1690"/>
      <c r="K18" s="1770"/>
      <c r="L18" s="1719"/>
      <c r="M18" s="1719"/>
      <c r="N18" s="1690"/>
      <c r="O18" s="1691"/>
      <c r="P18" s="1690"/>
      <c r="Q18" s="1690"/>
      <c r="R18" s="1690"/>
      <c r="S18" s="1690"/>
      <c r="T18" s="1690"/>
      <c r="U18" s="1690"/>
    </row>
    <row r="19" spans="1:21">
      <c r="A19" s="1759"/>
      <c r="B19" s="1678"/>
      <c r="C19" s="1656" t="s">
        <v>1957</v>
      </c>
      <c r="D19" s="1754" t="str">
        <f>IF(B16="出让",IF(D17="","",ROUNDDOWN(MIN((D17-$D$3)/365,D18),2)),D18)</f>
        <v/>
      </c>
      <c r="E19" s="1681">
        <f>IF(B16="出让",IF(E17="","",ROUNDDOWN(MIN((E17-$D$3)/365,E18),2)),E18)</f>
        <v>25.55</v>
      </c>
      <c r="F19" s="1681">
        <f>IF(B16="出让",IF(F17="","",ROUNDDOWN(MIN((F17-$D$3)/365,F18),2)),F18)</f>
        <v>35.549999999999997</v>
      </c>
      <c r="G19" s="1681">
        <f>IF(B16="出让",IF(G17="","",ROUNDDOWN(MIN((G17-$D$3)/365,G18),2)),G18)</f>
        <v>35.549999999999997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254"/>
      <c r="E20" s="3255"/>
      <c r="F20" s="3255"/>
      <c r="G20" s="3255"/>
      <c r="H20" s="3255"/>
      <c r="I20" s="3256"/>
      <c r="J20" s="1690"/>
      <c r="K20" s="1770"/>
      <c r="L20" s="1719"/>
      <c r="M20" s="1719"/>
      <c r="N20" s="1690"/>
      <c r="O20" s="1691"/>
      <c r="P20" s="1690"/>
      <c r="Q20" s="1690"/>
      <c r="R20" s="1690"/>
      <c r="S20" s="1690"/>
      <c r="T20" s="1690"/>
      <c r="U20" s="1690"/>
    </row>
    <row r="21" spans="1:21">
      <c r="A21" s="1759" t="s">
        <v>1958</v>
      </c>
      <c r="B21" s="1760" t="s">
        <v>1959</v>
      </c>
      <c r="C21" s="1755">
        <f>'数据-汇总表'!E3</f>
        <v>86130.880000000005</v>
      </c>
      <c r="D21" s="1756" t="s">
        <v>1960</v>
      </c>
      <c r="E21" s="3244" t="s">
        <v>1998</v>
      </c>
      <c r="F21" s="3245"/>
      <c r="G21" s="3245"/>
      <c r="H21" s="3245"/>
      <c r="I21" s="3246"/>
      <c r="J21" s="1690"/>
      <c r="K21" s="1770"/>
      <c r="L21" s="1719"/>
      <c r="M21" s="1719"/>
      <c r="N21" s="1690"/>
      <c r="O21" s="1691"/>
      <c r="P21" s="1690"/>
      <c r="Q21" s="1690"/>
      <c r="R21" s="1690"/>
      <c r="S21" s="1690"/>
      <c r="T21" s="1690"/>
      <c r="U21" s="1690"/>
    </row>
    <row r="22" spans="1:21">
      <c r="A22" s="3117" t="s">
        <v>951</v>
      </c>
      <c r="B22" s="1657" t="s">
        <v>1961</v>
      </c>
      <c r="C22" s="1682">
        <f>'数据-汇总表'!D3</f>
        <v>19600</v>
      </c>
      <c r="D22" s="1683" t="s">
        <v>1960</v>
      </c>
      <c r="E22" s="3244" t="s">
        <v>2890</v>
      </c>
      <c r="F22" s="3245"/>
      <c r="G22" s="3245"/>
      <c r="H22" s="3245"/>
      <c r="I22" s="3246"/>
      <c r="J22" s="1690"/>
      <c r="K22" s="1770"/>
      <c r="L22" s="1719"/>
      <c r="M22" s="1719"/>
      <c r="N22" s="1690"/>
      <c r="O22" s="1691"/>
      <c r="P22" s="1690"/>
      <c r="Q22" s="1690"/>
      <c r="R22" s="1690"/>
      <c r="S22" s="1690"/>
      <c r="T22" s="1690"/>
      <c r="U22" s="1690"/>
    </row>
    <row r="23" spans="1:21" ht="43.5" thickBot="1">
      <c r="A23" s="1761" t="s">
        <v>1962</v>
      </c>
      <c r="B23" s="1697" t="s">
        <v>1963</v>
      </c>
      <c r="C23" s="1698" t="s">
        <v>3001</v>
      </c>
      <c r="D23" s="1699" t="s">
        <v>1964</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1965</v>
      </c>
      <c r="B24" s="3247" t="s">
        <v>1966</v>
      </c>
      <c r="C24" s="3248"/>
      <c r="D24" s="3249" t="s">
        <v>1967</v>
      </c>
      <c r="E24" s="3250"/>
      <c r="F24" s="1704" t="s">
        <v>1968</v>
      </c>
      <c r="G24" s="1690"/>
      <c r="H24" s="1690"/>
      <c r="I24" s="1703"/>
      <c r="J24" s="1690"/>
      <c r="K24" s="3235" t="s">
        <v>1969</v>
      </c>
      <c r="L24" s="2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2325</v>
      </c>
      <c r="C25" s="1705" t="s">
        <v>1970</v>
      </c>
      <c r="D25" s="1706"/>
      <c r="E25" s="1707" t="s">
        <v>951</v>
      </c>
      <c r="F25" s="1708"/>
      <c r="G25" s="1690"/>
      <c r="H25" s="1690"/>
      <c r="I25" s="1703"/>
      <c r="J25" s="1690"/>
      <c r="K25" s="3235"/>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1971</v>
      </c>
      <c r="C26" s="1705" t="s">
        <v>2326</v>
      </c>
      <c r="D26" s="1656"/>
      <c r="E26" s="1656"/>
      <c r="F26" s="1684"/>
      <c r="G26" s="1690"/>
      <c r="H26" s="1690"/>
      <c r="I26" s="1703"/>
      <c r="J26" s="1690"/>
      <c r="K26" s="3235"/>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1972</v>
      </c>
      <c r="B27" s="1749" t="s">
        <v>1973</v>
      </c>
      <c r="C27" s="1709"/>
      <c r="D27" s="2626" t="s">
        <v>1973</v>
      </c>
      <c r="E27" s="1710"/>
      <c r="F27" s="1684"/>
      <c r="G27" s="1690"/>
      <c r="H27" s="1690"/>
      <c r="I27" s="1703"/>
      <c r="J27" s="1690"/>
      <c r="K27" s="1770"/>
      <c r="L27" s="1719"/>
      <c r="M27" s="1719"/>
      <c r="N27" s="1690"/>
      <c r="O27" s="1691"/>
      <c r="P27" s="1690"/>
      <c r="Q27" s="1690"/>
      <c r="R27" s="1690"/>
      <c r="S27" s="1690"/>
      <c r="T27" s="1690"/>
      <c r="U27" s="1690"/>
    </row>
    <row r="28" spans="1:21">
      <c r="A28" s="1752"/>
      <c r="B28" s="1749" t="s">
        <v>1974</v>
      </c>
      <c r="C28" s="1711"/>
      <c r="D28" s="2627" t="s">
        <v>1974</v>
      </c>
      <c r="E28" s="1712"/>
      <c r="F28" s="1684"/>
      <c r="G28" s="1690"/>
      <c r="H28" s="1690"/>
      <c r="I28" s="1703"/>
      <c r="J28" s="1690"/>
      <c r="K28" s="1770"/>
      <c r="L28" s="1719"/>
      <c r="M28" s="1719"/>
      <c r="N28" s="1690"/>
      <c r="O28" s="1691"/>
      <c r="P28" s="1690"/>
      <c r="Q28" s="1690"/>
      <c r="R28" s="1690"/>
      <c r="S28" s="1690"/>
      <c r="T28" s="1690"/>
      <c r="U28" s="1690"/>
    </row>
    <row r="29" spans="1:21">
      <c r="A29" s="1752"/>
      <c r="B29" s="1749" t="s">
        <v>1975</v>
      </c>
      <c r="C29" s="1711"/>
      <c r="D29" s="2627" t="s">
        <v>1975</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1976</v>
      </c>
      <c r="C30" s="1713"/>
      <c r="D30" s="2628" t="s">
        <v>1976</v>
      </c>
      <c r="E30" s="1714"/>
      <c r="F30" s="1685"/>
      <c r="G30" s="1738"/>
      <c r="H30" s="1738"/>
      <c r="I30" s="1739"/>
      <c r="J30" s="1690"/>
      <c r="K30" s="1770"/>
      <c r="L30" s="1719"/>
      <c r="M30" s="1719"/>
      <c r="N30" s="1690"/>
      <c r="O30" s="1691"/>
      <c r="P30" s="1690"/>
      <c r="Q30" s="1690"/>
      <c r="R30" s="1690"/>
      <c r="S30" s="1690"/>
      <c r="T30" s="1690"/>
      <c r="U30" s="1690"/>
    </row>
    <row r="31" spans="1:21" ht="15" thickTop="1">
      <c r="A31" s="3262" t="s">
        <v>2001</v>
      </c>
      <c r="B31" s="1760" t="s">
        <v>2002</v>
      </c>
      <c r="C31" s="3260"/>
      <c r="D31" s="3261"/>
      <c r="E31" s="1690"/>
      <c r="F31" s="1690"/>
      <c r="G31" s="1690"/>
      <c r="H31" s="1690"/>
      <c r="I31" s="1703"/>
      <c r="J31" s="1690"/>
      <c r="K31" s="2433"/>
      <c r="L31" s="1690"/>
      <c r="M31" s="1690"/>
      <c r="N31" s="1690"/>
      <c r="O31" s="1690"/>
      <c r="P31" s="1690"/>
      <c r="Q31" s="1690"/>
      <c r="R31" s="1690"/>
      <c r="S31" s="1690"/>
      <c r="T31" s="1690"/>
      <c r="U31" s="1690"/>
    </row>
    <row r="32" spans="1:21">
      <c r="A32" s="3262"/>
      <c r="B32" s="1657" t="s">
        <v>2003</v>
      </c>
      <c r="C32" s="1715"/>
      <c r="D32" s="1716"/>
      <c r="E32" s="1690"/>
      <c r="F32" s="1690"/>
      <c r="G32" s="1690"/>
      <c r="H32" s="1690"/>
      <c r="I32" s="1703"/>
      <c r="J32" s="1690"/>
      <c r="K32" s="2433"/>
      <c r="L32" s="1690"/>
      <c r="M32" s="1690"/>
      <c r="N32" s="1690"/>
      <c r="O32" s="1690"/>
      <c r="P32" s="1690"/>
      <c r="Q32" s="1690"/>
      <c r="R32" s="1690"/>
      <c r="S32" s="1690"/>
      <c r="T32" s="1690"/>
      <c r="U32" s="1690"/>
    </row>
    <row r="33" spans="1:21">
      <c r="A33" s="3262"/>
      <c r="B33" s="1657" t="s">
        <v>2004</v>
      </c>
      <c r="C33" s="1717"/>
      <c r="D33" s="1834"/>
      <c r="E33" s="1690"/>
      <c r="F33" s="1690"/>
      <c r="G33" s="1690"/>
      <c r="H33" s="1690"/>
      <c r="I33" s="1703"/>
      <c r="J33" s="1690"/>
      <c r="K33" s="2433"/>
      <c r="L33" s="1690"/>
      <c r="M33" s="1690"/>
      <c r="N33" s="1690"/>
      <c r="O33" s="1690"/>
      <c r="P33" s="1690"/>
      <c r="Q33" s="1690"/>
      <c r="R33" s="1690"/>
      <c r="S33" s="1690"/>
      <c r="T33" s="1690"/>
      <c r="U33" s="1690"/>
    </row>
    <row r="34" spans="1:21">
      <c r="A34" s="3263"/>
      <c r="B34" s="1657" t="s">
        <v>2005</v>
      </c>
      <c r="C34" s="3264"/>
      <c r="D34" s="3265"/>
      <c r="E34" s="1690"/>
      <c r="F34" s="1690"/>
      <c r="G34" s="1690"/>
      <c r="H34" s="1690"/>
      <c r="I34" s="1703"/>
      <c r="J34" s="1690"/>
      <c r="K34" s="2433"/>
      <c r="L34" s="1690"/>
      <c r="M34" s="1690"/>
      <c r="N34" s="1690"/>
      <c r="O34" s="1690"/>
      <c r="P34" s="1690"/>
      <c r="Q34" s="1690"/>
      <c r="R34" s="1690"/>
      <c r="S34" s="1690"/>
      <c r="T34" s="1690"/>
      <c r="U34" s="1690"/>
    </row>
    <row r="35" spans="1:21">
      <c r="A35" s="3266" t="s">
        <v>846</v>
      </c>
      <c r="B35" s="1718"/>
      <c r="C35" s="1772" t="str">
        <f>IF(B35="场地平整","——","具体情况：")</f>
        <v>具体情况：</v>
      </c>
      <c r="D35" s="3268"/>
      <c r="E35" s="3269"/>
      <c r="F35" s="3269"/>
      <c r="G35" s="3269"/>
      <c r="H35" s="3269"/>
      <c r="I35" s="3270"/>
      <c r="J35" s="1690"/>
      <c r="K35" s="1771"/>
      <c r="L35" s="1719"/>
      <c r="M35" s="1719"/>
      <c r="N35" s="1690"/>
      <c r="O35" s="1691"/>
      <c r="P35" s="1690"/>
      <c r="Q35" s="1690"/>
      <c r="R35" s="1690"/>
      <c r="S35" s="1690"/>
      <c r="T35" s="1690"/>
      <c r="U35" s="1690"/>
    </row>
    <row r="36" spans="1:21">
      <c r="A36" s="3262"/>
      <c r="B36" s="3271" t="s">
        <v>2054</v>
      </c>
      <c r="C36" s="3272"/>
      <c r="D36" s="1788"/>
      <c r="E36" s="3273"/>
      <c r="F36" s="3273"/>
      <c r="G36" s="1683" t="str">
        <f>IF(B35="场地未平整","估价结果处理","")</f>
        <v/>
      </c>
      <c r="H36" s="3274"/>
      <c r="I36" s="3274"/>
      <c r="J36" s="1690"/>
      <c r="K36" s="1771"/>
      <c r="L36" s="1719"/>
      <c r="M36" s="1719"/>
      <c r="N36" s="1690"/>
      <c r="O36" s="1691"/>
      <c r="P36" s="1690"/>
      <c r="Q36" s="1690"/>
      <c r="R36" s="1690"/>
      <c r="S36" s="1690"/>
      <c r="T36" s="1690"/>
      <c r="U36" s="1690"/>
    </row>
    <row r="37" spans="1:21" ht="28.5">
      <c r="A37" s="3262"/>
      <c r="B37" s="3251"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62"/>
      <c r="B38" s="3252"/>
      <c r="C38" s="1665" t="s">
        <v>849</v>
      </c>
      <c r="D38" s="1787">
        <f>ROUNDDOWN(MIN(('数据-取费表'!$B$2-D37)/365,D34),1)</f>
        <v>119.2</v>
      </c>
      <c r="E38" s="1723" t="s">
        <v>850</v>
      </c>
      <c r="F38" s="1690"/>
      <c r="G38" s="1690"/>
      <c r="H38" s="1690"/>
      <c r="I38" s="1703"/>
      <c r="J38" s="1690"/>
      <c r="K38" s="1771"/>
      <c r="L38" s="1690"/>
      <c r="M38" s="1690"/>
      <c r="N38" s="1690"/>
      <c r="O38" s="1690"/>
      <c r="P38" s="1690"/>
      <c r="Q38" s="1690"/>
      <c r="R38" s="1690"/>
      <c r="S38" s="1690"/>
      <c r="T38" s="1690"/>
      <c r="U38" s="1690"/>
    </row>
    <row r="39" spans="1:21">
      <c r="A39" s="3263"/>
      <c r="B39" s="3253"/>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1977</v>
      </c>
      <c r="B40" s="1686"/>
      <c r="C40" s="1686"/>
      <c r="D40" s="1686"/>
      <c r="E40" s="1686"/>
      <c r="F40" s="1686"/>
      <c r="G40" s="1686"/>
      <c r="H40" s="1686"/>
      <c r="I40" s="1703"/>
      <c r="J40" s="1690"/>
      <c r="K40" s="1726">
        <f>COUNTIF(B40:H40,"——")</f>
        <v>0</v>
      </c>
      <c r="L40" s="1695" t="s">
        <v>1978</v>
      </c>
      <c r="M40" s="1692" t="s">
        <v>1979</v>
      </c>
      <c r="N40" s="1692" t="s">
        <v>1980</v>
      </c>
      <c r="O40" s="1692" t="s">
        <v>1981</v>
      </c>
      <c r="P40" s="1692" t="s">
        <v>1982</v>
      </c>
      <c r="Q40" s="1692" t="s">
        <v>1983</v>
      </c>
      <c r="R40" s="1692" t="s">
        <v>1984</v>
      </c>
      <c r="S40" s="3234" t="s">
        <v>1985</v>
      </c>
      <c r="T40" s="1727" t="str">
        <f>NUMBERSTRING(7-K40,1)&amp;"通"</f>
        <v>七通</v>
      </c>
      <c r="U40" s="1690"/>
    </row>
    <row r="41" spans="1:21">
      <c r="A41" s="1659"/>
      <c r="B41" s="3267" t="s">
        <v>1721</v>
      </c>
      <c r="C41" s="3267"/>
      <c r="D41" s="3267"/>
      <c r="E41" s="3267"/>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34"/>
      <c r="T41" s="1729" t="str">
        <f>IF(T40="一通",L41,IF(T40="二通",M41,IF(T40="三通",N41,IF(T40="四通",O41,IF(T40="五通",P41,IF(T40="六通",Q41,R41))))))</f>
        <v>、、、、、、</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2891</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25" sqref="E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36" t="s">
        <v>2333</v>
      </c>
      <c r="BA2" s="2337"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19600</v>
      </c>
      <c r="B3" s="22">
        <f>IF(C3="否",G5-AT5,G5)</f>
        <v>86130.880000000005</v>
      </c>
      <c r="C3" s="23" t="s">
        <v>3001</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3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86130.880000000005</v>
      </c>
      <c r="H5" s="27">
        <f t="shared" ref="H5:AT5" si="0">SUM(H13:H641)</f>
        <v>84645.88</v>
      </c>
      <c r="I5" s="27">
        <f t="shared" si="0"/>
        <v>18671.98</v>
      </c>
      <c r="J5" s="27">
        <f t="shared" si="0"/>
        <v>0</v>
      </c>
      <c r="K5" s="27">
        <f t="shared" si="0"/>
        <v>28758.02</v>
      </c>
      <c r="L5" s="27">
        <f t="shared" si="0"/>
        <v>0</v>
      </c>
      <c r="M5" s="27">
        <f t="shared" si="0"/>
        <v>26050.879999999997</v>
      </c>
      <c r="N5" s="27">
        <f t="shared" si="0"/>
        <v>0</v>
      </c>
      <c r="O5" s="27">
        <f t="shared" si="0"/>
        <v>11165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1485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1485</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86130.880000000005</v>
      </c>
      <c r="BA5" s="29">
        <f t="shared" si="1"/>
        <v>84645.88</v>
      </c>
      <c r="BB5" s="29">
        <f t="shared" si="1"/>
        <v>18671.98</v>
      </c>
      <c r="BC5" s="29">
        <f t="shared" si="1"/>
        <v>28758.02</v>
      </c>
      <c r="BD5" s="29">
        <f t="shared" si="1"/>
        <v>26050.879999999997</v>
      </c>
      <c r="BE5" s="29">
        <f t="shared" si="1"/>
        <v>11165</v>
      </c>
      <c r="BF5" s="29">
        <f t="shared" si="1"/>
        <v>0</v>
      </c>
      <c r="BG5" s="29">
        <f t="shared" si="1"/>
        <v>0</v>
      </c>
      <c r="BH5" s="29">
        <f t="shared" si="1"/>
        <v>0</v>
      </c>
      <c r="BI5" s="29">
        <f t="shared" si="1"/>
        <v>0</v>
      </c>
      <c r="BJ5" s="29">
        <f t="shared" si="1"/>
        <v>0</v>
      </c>
      <c r="BK5" s="29">
        <f t="shared" si="1"/>
        <v>0</v>
      </c>
      <c r="BL5" s="29">
        <f t="shared" si="1"/>
        <v>1485</v>
      </c>
      <c r="BM5" s="29">
        <f t="shared" si="1"/>
        <v>0</v>
      </c>
      <c r="BN5" s="29">
        <f t="shared" si="1"/>
        <v>0</v>
      </c>
      <c r="BO5" s="29">
        <f t="shared" si="1"/>
        <v>0</v>
      </c>
      <c r="BP5" s="29">
        <f t="shared" si="1"/>
        <v>0</v>
      </c>
      <c r="BQ5" s="29">
        <f t="shared" si="1"/>
        <v>1485</v>
      </c>
      <c r="BR5" s="29">
        <f t="shared" si="1"/>
        <v>0</v>
      </c>
      <c r="BS5" s="29">
        <f t="shared" si="1"/>
        <v>0</v>
      </c>
      <c r="BT5" s="30">
        <f t="shared" si="1"/>
        <v>0</v>
      </c>
    </row>
    <row r="6" spans="1:72" s="37" customFormat="1" ht="12.75">
      <c r="A6" s="26" t="s">
        <v>169</v>
      </c>
      <c r="B6" s="31"/>
      <c r="C6" s="31"/>
      <c r="D6" s="32"/>
      <c r="E6" s="27">
        <f>H6+AC6+AT6</f>
        <v>19600</v>
      </c>
      <c r="F6" s="27" t="s">
        <v>1</v>
      </c>
      <c r="G6" s="27" t="s">
        <v>2</v>
      </c>
      <c r="H6" s="33">
        <f>SUMIF(I$12:AB$12,"总值",I6:AB6)</f>
        <v>19262.07</v>
      </c>
      <c r="I6" s="27">
        <f t="shared" ref="I6:AB6" si="2">ROUND($A$3*I5/$B$3,2)</f>
        <v>4249.01</v>
      </c>
      <c r="J6" s="27">
        <f t="shared" si="2"/>
        <v>0</v>
      </c>
      <c r="K6" s="27">
        <f t="shared" si="2"/>
        <v>6544.19</v>
      </c>
      <c r="L6" s="27">
        <f t="shared" si="2"/>
        <v>0</v>
      </c>
      <c r="M6" s="27">
        <f t="shared" si="2"/>
        <v>5928.16</v>
      </c>
      <c r="N6" s="27">
        <f t="shared" si="2"/>
        <v>0</v>
      </c>
      <c r="O6" s="27">
        <f t="shared" si="2"/>
        <v>2540.71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337.93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337.93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19600</v>
      </c>
      <c r="AZ6" s="27" t="s">
        <v>3</v>
      </c>
      <c r="BA6" s="27">
        <f>ROUND($AY$6*BA5/$AZ$5,2)</f>
        <v>19262.07</v>
      </c>
      <c r="BB6" s="27">
        <f>ROUND($AY$6*BB5/$AZ$5,2)</f>
        <v>4249.01</v>
      </c>
      <c r="BC6" s="27">
        <f t="shared" ref="BC6:BH6" si="4">ROUND($AY$6*BC5/$AZ$5,2)</f>
        <v>6544.19</v>
      </c>
      <c r="BD6" s="27">
        <f t="shared" si="4"/>
        <v>5928.16</v>
      </c>
      <c r="BE6" s="27">
        <f t="shared" si="4"/>
        <v>2540.71</v>
      </c>
      <c r="BF6" s="27">
        <f t="shared" si="4"/>
        <v>0</v>
      </c>
      <c r="BG6" s="27">
        <f t="shared" si="4"/>
        <v>0</v>
      </c>
      <c r="BH6" s="27">
        <f t="shared" si="4"/>
        <v>0</v>
      </c>
      <c r="BI6" s="27">
        <f t="shared" ref="BI6:BT6" si="5">ROUND($AY$6*BI5/$AZ$5,2)</f>
        <v>0</v>
      </c>
      <c r="BJ6" s="27">
        <f t="shared" si="5"/>
        <v>0</v>
      </c>
      <c r="BK6" s="27">
        <f t="shared" si="5"/>
        <v>0</v>
      </c>
      <c r="BL6" s="27">
        <f t="shared" si="5"/>
        <v>337.93</v>
      </c>
      <c r="BM6" s="27">
        <f t="shared" si="5"/>
        <v>0</v>
      </c>
      <c r="BN6" s="27">
        <f t="shared" si="5"/>
        <v>0</v>
      </c>
      <c r="BO6" s="27">
        <f t="shared" si="5"/>
        <v>0</v>
      </c>
      <c r="BP6" s="27">
        <f t="shared" si="5"/>
        <v>0</v>
      </c>
      <c r="BQ6" s="27">
        <f t="shared" si="5"/>
        <v>337.93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4"/>
      <c r="AT8" s="2325"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90" t="s">
        <v>3002</v>
      </c>
      <c r="J9" s="51"/>
      <c r="K9" s="2990" t="s">
        <v>3002</v>
      </c>
      <c r="L9" s="51"/>
      <c r="M9" s="2990" t="s">
        <v>3068</v>
      </c>
      <c r="N9" s="51"/>
      <c r="O9" s="59" t="s">
        <v>3068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6"/>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90" t="s">
        <v>3065</v>
      </c>
      <c r="J10" s="51"/>
      <c r="K10" s="2992" t="s">
        <v>1677</v>
      </c>
      <c r="L10" s="51"/>
      <c r="M10" s="2992" t="s">
        <v>3065</v>
      </c>
      <c r="N10" s="51"/>
      <c r="O10" s="66" t="s">
        <v>3069</v>
      </c>
      <c r="P10" s="51"/>
      <c r="Q10" s="66"/>
      <c r="R10" s="51"/>
      <c r="S10" s="66"/>
      <c r="T10" s="51"/>
      <c r="U10" s="66"/>
      <c r="V10" s="51"/>
      <c r="W10" s="66"/>
      <c r="X10" s="51"/>
      <c r="Y10" s="66"/>
      <c r="Z10" s="51"/>
      <c r="AA10" s="66"/>
      <c r="AB10" s="51"/>
      <c r="AC10" s="55"/>
      <c r="AD10" s="2311" t="s">
        <v>2317</v>
      </c>
      <c r="AE10" s="2333"/>
      <c r="AF10" s="2311" t="s">
        <v>2317</v>
      </c>
      <c r="AG10" s="2333"/>
      <c r="AH10" s="2311" t="s">
        <v>2318</v>
      </c>
      <c r="AI10" s="2333"/>
      <c r="AJ10" s="26" t="s">
        <v>2331</v>
      </c>
      <c r="AK10" s="2330"/>
      <c r="AL10" s="2311" t="s">
        <v>2319</v>
      </c>
      <c r="AM10" s="2312"/>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91" t="s">
        <v>3066</v>
      </c>
      <c r="J11" s="71"/>
      <c r="K11" s="2991" t="s">
        <v>3067</v>
      </c>
      <c r="L11" s="71"/>
      <c r="M11" s="70" t="s">
        <v>3066</v>
      </c>
      <c r="N11" s="71"/>
      <c r="O11" s="70" t="s">
        <v>3070</v>
      </c>
      <c r="P11" s="71"/>
      <c r="Q11" s="70"/>
      <c r="R11" s="71"/>
      <c r="S11" s="70"/>
      <c r="T11" s="71"/>
      <c r="U11" s="70"/>
      <c r="V11" s="71"/>
      <c r="W11" s="70"/>
      <c r="X11" s="71"/>
      <c r="Y11" s="70"/>
      <c r="Z11" s="71"/>
      <c r="AA11" s="70"/>
      <c r="AB11" s="71"/>
      <c r="AC11" s="55"/>
      <c r="AD11" s="2331" t="s">
        <v>2330</v>
      </c>
      <c r="AE11" s="999"/>
      <c r="AF11" s="2331" t="s">
        <v>2330</v>
      </c>
      <c r="AG11" s="999"/>
      <c r="AH11" s="2331" t="s">
        <v>2329</v>
      </c>
      <c r="AI11" s="2332"/>
      <c r="AJ11" s="2331" t="s">
        <v>2329</v>
      </c>
      <c r="AK11" s="2330"/>
      <c r="AL11" s="997"/>
      <c r="AM11" s="999"/>
      <c r="AN11" s="997"/>
      <c r="AO11" s="999"/>
      <c r="AP11" s="1185"/>
      <c r="AQ11" s="1187"/>
      <c r="AR11" s="1185"/>
      <c r="AS11" s="1187"/>
      <c r="AT11" s="1000"/>
      <c r="AU11" s="45"/>
      <c r="AV11" s="55"/>
      <c r="AW11" s="1000"/>
      <c r="AX11" s="55"/>
      <c r="AY11" s="62"/>
      <c r="AZ11" s="62"/>
      <c r="BA11" s="62"/>
      <c r="BB11" s="50" t="str">
        <f>I10</f>
        <v>商业</v>
      </c>
      <c r="BC11" s="50" t="str">
        <f>K10</f>
        <v>办公</v>
      </c>
      <c r="BD11" s="50" t="str">
        <f>M10</f>
        <v>商业</v>
      </c>
      <c r="BE11" s="50" t="str">
        <f>O10</f>
        <v>车库—商业</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独立商业</v>
      </c>
      <c r="BC12" s="79" t="str">
        <f>K11</f>
        <v>办公楼</v>
      </c>
      <c r="BD12" s="79" t="str">
        <f>M11</f>
        <v>独立商业</v>
      </c>
      <c r="BE12" s="50" t="str">
        <f>O11</f>
        <v>车库</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85"/>
      <c r="B13" s="2985"/>
      <c r="C13" s="2985"/>
      <c r="D13" s="2986" t="s">
        <v>1678</v>
      </c>
      <c r="E13" s="27">
        <f t="shared" ref="E13:E20" si="6">IF($C$3="是",ROUND($A$3*G13/$B$3,2),ROUND($A$3*(G13-AT13)/$B$3,2))</f>
        <v>19600</v>
      </c>
      <c r="F13" s="81"/>
      <c r="G13" s="82">
        <f t="shared" ref="G13:G20" si="7">H13+AC13+AT13</f>
        <v>86130.880000000005</v>
      </c>
      <c r="H13" s="33">
        <f t="shared" ref="H13:H20" si="8">SUMIF(I$12:AB$12,"总值",I13:AB13)</f>
        <v>84645.88</v>
      </c>
      <c r="I13" s="2989">
        <v>18671.98</v>
      </c>
      <c r="J13" s="2989"/>
      <c r="K13" s="2989">
        <v>28758.02</v>
      </c>
      <c r="L13" s="2989"/>
      <c r="M13" s="2989">
        <f>37215.88-O13</f>
        <v>26050.879999999997</v>
      </c>
      <c r="N13" s="83"/>
      <c r="O13" s="83">
        <f>35*319</f>
        <v>11165</v>
      </c>
      <c r="P13" s="83"/>
      <c r="Q13" s="83"/>
      <c r="R13" s="83"/>
      <c r="S13" s="83"/>
      <c r="T13" s="83"/>
      <c r="U13" s="83"/>
      <c r="V13" s="83"/>
      <c r="W13" s="83"/>
      <c r="X13" s="83"/>
      <c r="Y13" s="83"/>
      <c r="Z13" s="83"/>
      <c r="AA13" s="83"/>
      <c r="AB13" s="83"/>
      <c r="AC13" s="27">
        <f t="shared" ref="AC13:AC20" si="9">SUMIF(AD$12:AS$12,"总值",AD13:AS13)</f>
        <v>1485</v>
      </c>
      <c r="AD13" s="2993"/>
      <c r="AE13" s="2993"/>
      <c r="AF13" s="2993"/>
      <c r="AG13" s="2993"/>
      <c r="AH13" s="2993"/>
      <c r="AI13" s="2993"/>
      <c r="AJ13" s="2993"/>
      <c r="AK13" s="2993"/>
      <c r="AL13" s="2993">
        <v>1485</v>
      </c>
      <c r="AM13" s="2993"/>
      <c r="AN13" s="2993"/>
      <c r="AO13" s="2993"/>
      <c r="AP13" s="2993"/>
      <c r="AQ13" s="2993"/>
      <c r="AR13" s="2993"/>
      <c r="AS13" s="2993"/>
      <c r="AT13" s="2994"/>
      <c r="AU13" s="2995"/>
      <c r="AV13" s="17">
        <f t="shared" ref="AV13:AX20" si="10">A13</f>
        <v>0</v>
      </c>
      <c r="AW13" s="17">
        <f t="shared" si="10"/>
        <v>0</v>
      </c>
      <c r="AX13" s="17">
        <f t="shared" si="10"/>
        <v>0</v>
      </c>
      <c r="AY13" s="993">
        <f t="shared" ref="AY13:AY20" si="11">ROUND($AY$6*AZ13/$AZ$5,2)</f>
        <v>19600</v>
      </c>
      <c r="AZ13" s="27">
        <f t="shared" ref="AZ13:AZ20" si="12">BA13+BL13</f>
        <v>86130.880000000005</v>
      </c>
      <c r="BA13" s="27">
        <f t="shared" ref="BA13:BA20" si="13">SUM(BB13:BK13)</f>
        <v>84645.88</v>
      </c>
      <c r="BB13" s="27">
        <f t="shared" ref="BB13:BB20" si="14">IF($D13="是",I13-J13,0)</f>
        <v>18671.98</v>
      </c>
      <c r="BC13" s="27">
        <f t="shared" ref="BC13:BC20" si="15">IF($D13="是",K13-L13,0)</f>
        <v>28758.02</v>
      </c>
      <c r="BD13" s="27">
        <f t="shared" ref="BD13:BD20" si="16">IF($D13="是",M13-N13,0)</f>
        <v>26050.879999999997</v>
      </c>
      <c r="BE13" s="27">
        <f t="shared" ref="BE13:BE20" si="17">IF($D13="是",O13-P13,0)</f>
        <v>11165</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1485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1485</v>
      </c>
      <c r="BR13" s="27">
        <f t="shared" ref="BR13:BR20" si="30">IF($D13="是",AN13-AO13,0)</f>
        <v>0</v>
      </c>
      <c r="BS13" s="27">
        <f t="shared" ref="BS13:BS20" si="31">IF($D13="是",AP13-AQ13,0)</f>
        <v>0</v>
      </c>
      <c r="BT13" s="36">
        <f t="shared" ref="BT13:BT20" si="32">IF($D13="是",AR13-AS13,0)</f>
        <v>0</v>
      </c>
    </row>
    <row r="14" spans="1:72" s="18" customFormat="1" ht="12.75">
      <c r="A14" s="2985"/>
      <c r="B14" s="2985"/>
      <c r="C14" s="2987"/>
      <c r="D14" s="2986"/>
      <c r="E14" s="27">
        <f t="shared" si="6"/>
        <v>0</v>
      </c>
      <c r="F14" s="81"/>
      <c r="G14" s="82">
        <f t="shared" si="7"/>
        <v>0</v>
      </c>
      <c r="H14" s="33">
        <f t="shared" si="8"/>
        <v>0</v>
      </c>
      <c r="I14" s="2989"/>
      <c r="J14" s="2989"/>
      <c r="K14" s="2989"/>
      <c r="L14" s="2989"/>
      <c r="M14" s="2989"/>
      <c r="N14" s="83"/>
      <c r="O14" s="83"/>
      <c r="P14" s="83"/>
      <c r="Q14" s="83"/>
      <c r="R14" s="83"/>
      <c r="S14" s="83"/>
      <c r="T14" s="83"/>
      <c r="U14" s="83"/>
      <c r="V14" s="83"/>
      <c r="W14" s="83"/>
      <c r="X14" s="83"/>
      <c r="Y14" s="83"/>
      <c r="Z14" s="83"/>
      <c r="AA14" s="83"/>
      <c r="AB14" s="83"/>
      <c r="AC14" s="27">
        <f t="shared" si="9"/>
        <v>0</v>
      </c>
      <c r="AD14" s="2993"/>
      <c r="AE14" s="2993"/>
      <c r="AF14" s="2993"/>
      <c r="AG14" s="2993"/>
      <c r="AH14" s="2993"/>
      <c r="AI14" s="2993"/>
      <c r="AJ14" s="2993"/>
      <c r="AK14" s="2993"/>
      <c r="AL14" s="2993"/>
      <c r="AM14" s="2993"/>
      <c r="AN14" s="2993"/>
      <c r="AO14" s="2993"/>
      <c r="AP14" s="2993"/>
      <c r="AQ14" s="2993"/>
      <c r="AR14" s="2993"/>
      <c r="AS14" s="2993"/>
      <c r="AT14" s="2994"/>
      <c r="AU14" s="2995"/>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5"/>
      <c r="B15" s="2985"/>
      <c r="C15" s="2987"/>
      <c r="D15" s="2986"/>
      <c r="E15" s="27">
        <f t="shared" si="6"/>
        <v>0</v>
      </c>
      <c r="F15" s="81"/>
      <c r="G15" s="82">
        <f t="shared" si="7"/>
        <v>0</v>
      </c>
      <c r="H15" s="33">
        <f t="shared" si="8"/>
        <v>0</v>
      </c>
      <c r="I15" s="2989"/>
      <c r="J15" s="2989"/>
      <c r="K15" s="2989"/>
      <c r="L15" s="2989"/>
      <c r="M15" s="2989"/>
      <c r="N15" s="83"/>
      <c r="O15" s="83"/>
      <c r="P15" s="83"/>
      <c r="Q15" s="83"/>
      <c r="R15" s="83"/>
      <c r="S15" s="83"/>
      <c r="T15" s="83"/>
      <c r="U15" s="83"/>
      <c r="V15" s="83"/>
      <c r="W15" s="83"/>
      <c r="X15" s="83"/>
      <c r="Y15" s="83"/>
      <c r="Z15" s="83"/>
      <c r="AA15" s="83"/>
      <c r="AB15" s="83"/>
      <c r="AC15" s="27">
        <f t="shared" si="9"/>
        <v>0</v>
      </c>
      <c r="AD15" s="2993"/>
      <c r="AE15" s="2993"/>
      <c r="AF15" s="2993"/>
      <c r="AG15" s="2993"/>
      <c r="AH15" s="2993"/>
      <c r="AI15" s="2993"/>
      <c r="AJ15" s="2993"/>
      <c r="AK15" s="2993"/>
      <c r="AL15" s="2993"/>
      <c r="AM15" s="2993"/>
      <c r="AN15" s="2993"/>
      <c r="AO15" s="2993"/>
      <c r="AP15" s="2993"/>
      <c r="AQ15" s="2993"/>
      <c r="AR15" s="2993"/>
      <c r="AS15" s="2993"/>
      <c r="AT15" s="2994"/>
      <c r="AU15" s="2995"/>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5"/>
      <c r="B16" s="2985"/>
      <c r="C16" s="2987"/>
      <c r="D16" s="2986"/>
      <c r="E16" s="27">
        <f t="shared" si="6"/>
        <v>0</v>
      </c>
      <c r="F16" s="81"/>
      <c r="G16" s="82">
        <f t="shared" si="7"/>
        <v>0</v>
      </c>
      <c r="H16" s="33">
        <f t="shared" si="8"/>
        <v>0</v>
      </c>
      <c r="I16" s="2989"/>
      <c r="J16" s="2989"/>
      <c r="K16" s="2989"/>
      <c r="L16" s="2989"/>
      <c r="M16" s="2989"/>
      <c r="N16" s="83"/>
      <c r="O16" s="83"/>
      <c r="P16" s="83"/>
      <c r="Q16" s="83"/>
      <c r="R16" s="83"/>
      <c r="S16" s="83"/>
      <c r="T16" s="83"/>
      <c r="U16" s="83"/>
      <c r="V16" s="83"/>
      <c r="W16" s="83"/>
      <c r="X16" s="83"/>
      <c r="Y16" s="83"/>
      <c r="Z16" s="83"/>
      <c r="AA16" s="83"/>
      <c r="AB16" s="83"/>
      <c r="AC16" s="27">
        <f t="shared" si="9"/>
        <v>0</v>
      </c>
      <c r="AD16" s="2993"/>
      <c r="AE16" s="2993"/>
      <c r="AF16" s="2993"/>
      <c r="AG16" s="2993"/>
      <c r="AH16" s="2993"/>
      <c r="AI16" s="2993"/>
      <c r="AJ16" s="2993"/>
      <c r="AK16" s="2993"/>
      <c r="AL16" s="2993"/>
      <c r="AM16" s="2993"/>
      <c r="AN16" s="2993"/>
      <c r="AO16" s="2993"/>
      <c r="AP16" s="2993"/>
      <c r="AQ16" s="2993"/>
      <c r="AR16" s="2993"/>
      <c r="AS16" s="2993"/>
      <c r="AT16" s="2994"/>
      <c r="AU16" s="2995"/>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5"/>
      <c r="B17" s="2985"/>
      <c r="C17" s="2987"/>
      <c r="D17" s="2986"/>
      <c r="E17" s="27">
        <f t="shared" si="6"/>
        <v>0</v>
      </c>
      <c r="F17" s="81"/>
      <c r="G17" s="82">
        <f t="shared" si="7"/>
        <v>0</v>
      </c>
      <c r="H17" s="33">
        <f t="shared" si="8"/>
        <v>0</v>
      </c>
      <c r="I17" s="2989"/>
      <c r="J17" s="2989"/>
      <c r="K17" s="2989"/>
      <c r="L17" s="2989"/>
      <c r="M17" s="2989"/>
      <c r="N17" s="83"/>
      <c r="O17" s="83"/>
      <c r="P17" s="83"/>
      <c r="Q17" s="83"/>
      <c r="R17" s="83"/>
      <c r="S17" s="83"/>
      <c r="T17" s="83"/>
      <c r="U17" s="83"/>
      <c r="V17" s="83"/>
      <c r="W17" s="83"/>
      <c r="X17" s="83"/>
      <c r="Y17" s="83"/>
      <c r="Z17" s="83"/>
      <c r="AA17" s="83"/>
      <c r="AB17" s="83"/>
      <c r="AC17" s="27">
        <f t="shared" si="9"/>
        <v>0</v>
      </c>
      <c r="AD17" s="2993"/>
      <c r="AE17" s="2993"/>
      <c r="AF17" s="2993"/>
      <c r="AG17" s="2993"/>
      <c r="AH17" s="2993"/>
      <c r="AI17" s="2993"/>
      <c r="AJ17" s="2993"/>
      <c r="AK17" s="2993"/>
      <c r="AL17" s="2993"/>
      <c r="AM17" s="2993"/>
      <c r="AN17" s="2993"/>
      <c r="AO17" s="2993"/>
      <c r="AP17" s="2993"/>
      <c r="AQ17" s="2993"/>
      <c r="AR17" s="2993"/>
      <c r="AS17" s="2993"/>
      <c r="AT17" s="2994"/>
      <c r="AU17" s="299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8"/>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4" sqref="C2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6" t="s">
        <v>203</v>
      </c>
      <c r="B2" s="3286"/>
      <c r="C2" s="3286"/>
      <c r="D2" s="1972" t="s">
        <v>204</v>
      </c>
      <c r="E2" s="106" t="s">
        <v>205</v>
      </c>
      <c r="F2" s="1981"/>
      <c r="G2" s="1195"/>
      <c r="H2" s="1196"/>
      <c r="I2" s="1197" t="s">
        <v>856</v>
      </c>
      <c r="J2" s="1981"/>
      <c r="K2" s="1981"/>
      <c r="L2" s="1981"/>
    </row>
    <row r="3" spans="1:16" ht="15.75" thickBot="1">
      <c r="A3" s="3287" t="s">
        <v>206</v>
      </c>
      <c r="B3" s="3287"/>
      <c r="C3" s="3287"/>
      <c r="D3" s="107">
        <f>'数据-基础表'!AY6</f>
        <v>19600</v>
      </c>
      <c r="E3" s="107">
        <f>'数据-基础表'!AZ5</f>
        <v>86130.880000000005</v>
      </c>
      <c r="F3" s="1981"/>
      <c r="G3" s="279" t="s">
        <v>857</v>
      </c>
      <c r="H3" s="274" t="s">
        <v>858</v>
      </c>
      <c r="I3" s="1973">
        <f>ROUND('数据-基础表'!B3/'数据-基础表'!A3,2)</f>
        <v>4.3899999999999997</v>
      </c>
      <c r="J3" s="1981"/>
      <c r="K3" s="1981"/>
      <c r="L3" s="1981"/>
    </row>
    <row r="4" spans="1:16" ht="15">
      <c r="A4" s="3288"/>
      <c r="B4" s="3289"/>
      <c r="C4" s="3290"/>
      <c r="D4" s="108" t="s">
        <v>204</v>
      </c>
      <c r="E4" s="109" t="s">
        <v>205</v>
      </c>
      <c r="F4" s="1981"/>
      <c r="G4" s="1198"/>
      <c r="H4" s="274" t="s">
        <v>859</v>
      </c>
      <c r="I4" s="1973">
        <f>ROUND(SUMIF('数据-基础表'!I9:AS9,"地上",'数据-基础表'!I5:AS5)/'数据-基础表'!A3,2)</f>
        <v>2.5</v>
      </c>
      <c r="J4" s="1981"/>
      <c r="K4" s="1981"/>
      <c r="L4" s="1981"/>
    </row>
    <row r="5" spans="1:16">
      <c r="A5" s="110" t="s">
        <v>207</v>
      </c>
      <c r="B5" s="3291" t="s">
        <v>230</v>
      </c>
      <c r="C5" s="3291"/>
      <c r="D5" s="111">
        <f>ROUND($D$3*E5/$E$3,2)</f>
        <v>0</v>
      </c>
      <c r="E5" s="112">
        <f>SUMIF('数据-基础表'!$11:$11,"住宅",'数据-基础表'!$5:$5)</f>
        <v>0</v>
      </c>
      <c r="F5" s="1981"/>
      <c r="G5" s="279" t="s">
        <v>860</v>
      </c>
      <c r="H5" s="274" t="s">
        <v>858</v>
      </c>
      <c r="I5" s="1973">
        <f>ROUND(E31/D31,2)</f>
        <v>4.3899999999999997</v>
      </c>
      <c r="J5" s="1981"/>
      <c r="K5" s="1981"/>
      <c r="L5" s="1981"/>
    </row>
    <row r="6" spans="1:16" ht="15" thickBot="1">
      <c r="A6" s="113"/>
      <c r="B6" s="3291" t="s">
        <v>208</v>
      </c>
      <c r="C6" s="3291"/>
      <c r="D6" s="111">
        <f>ROUND($D$3*E6/$E$3,2)</f>
        <v>19600</v>
      </c>
      <c r="E6" s="112">
        <f>E3-E5</f>
        <v>86130.880000000005</v>
      </c>
      <c r="F6" s="1981"/>
      <c r="G6" s="1198"/>
      <c r="H6" s="274" t="s">
        <v>859</v>
      </c>
      <c r="I6" s="1973">
        <f>ROUND(F31/D31,2)</f>
        <v>2.5</v>
      </c>
      <c r="J6" s="1981"/>
      <c r="K6" s="1981"/>
      <c r="L6" s="1981"/>
    </row>
    <row r="7" spans="1:16" ht="15">
      <c r="A7" s="3283"/>
      <c r="B7" s="3284"/>
      <c r="C7" s="3285"/>
      <c r="D7" s="108" t="s">
        <v>204</v>
      </c>
      <c r="E7" s="114" t="s">
        <v>231</v>
      </c>
      <c r="F7" s="1981"/>
      <c r="G7" s="1153" t="s">
        <v>1645</v>
      </c>
      <c r="H7" s="1154"/>
      <c r="I7" s="1843">
        <f>I4</f>
        <v>2.5</v>
      </c>
      <c r="J7" s="1981"/>
      <c r="K7" s="1981"/>
      <c r="L7" s="1981"/>
    </row>
    <row r="8" spans="1:16">
      <c r="A8" s="110" t="s">
        <v>209</v>
      </c>
      <c r="B8" s="115" t="s">
        <v>210</v>
      </c>
      <c r="C8" s="111" t="s">
        <v>211</v>
      </c>
      <c r="D8" s="111">
        <f t="shared" ref="D8:D15" si="0">ROUND($D$3*E8/$E$3,2)</f>
        <v>10793.2</v>
      </c>
      <c r="E8" s="116">
        <f>SUMIF('数据-基础表'!BB10:BK10,"地上",'数据-基础表'!BB5:BK5)</f>
        <v>47430</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5928.16</v>
      </c>
      <c r="E10" s="116">
        <f>SUMPRODUCT(('数据-基础表'!BB10:BK10="地下")*('数据-基础表'!BB11:BK11="商业")*('数据-基础表'!BB5:BK5))</f>
        <v>26050.879999999997</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2540.71</v>
      </c>
      <c r="E14" s="116">
        <f>SUMPRODUCT(('数据-基础表'!BB10:BK10="地下")*('数据-基础表'!BB11:BK11="车库—商业")*('数据-基础表'!BB5:BK5))</f>
        <v>11165</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19262.07</v>
      </c>
      <c r="E16" s="120">
        <f>SUM(E8:E15)</f>
        <v>84645.88</v>
      </c>
      <c r="F16" s="1981"/>
      <c r="G16" s="1983"/>
      <c r="H16" s="965" t="s">
        <v>219</v>
      </c>
      <c r="I16" s="966"/>
      <c r="J16" s="1981"/>
      <c r="K16" s="3277" t="s">
        <v>2566</v>
      </c>
      <c r="L16" s="3278"/>
      <c r="M16" s="3278"/>
      <c r="N16" s="3278"/>
      <c r="O16" s="3278"/>
      <c r="P16" s="3279"/>
    </row>
    <row r="17" spans="1:19" ht="15">
      <c r="A17" s="121" t="s">
        <v>216</v>
      </c>
      <c r="B17" s="122" t="s">
        <v>217</v>
      </c>
      <c r="C17" s="2295" t="s">
        <v>2313</v>
      </c>
      <c r="D17" s="108" t="s">
        <v>204</v>
      </c>
      <c r="E17" s="124" t="s">
        <v>205</v>
      </c>
      <c r="F17" s="125"/>
      <c r="G17" s="1363"/>
      <c r="H17" s="967" t="s">
        <v>218</v>
      </c>
      <c r="I17" s="968" t="s">
        <v>2312</v>
      </c>
      <c r="J17" s="1981"/>
      <c r="K17" s="3280" t="s">
        <v>2567</v>
      </c>
      <c r="L17" s="3281"/>
      <c r="M17" s="3282"/>
      <c r="N17" s="3280" t="s">
        <v>2568</v>
      </c>
      <c r="O17" s="3281"/>
      <c r="P17" s="3282"/>
      <c r="R17" s="2296" t="s">
        <v>2311</v>
      </c>
      <c r="S17" s="144"/>
    </row>
    <row r="18" spans="1:19" ht="15">
      <c r="A18" s="117"/>
      <c r="B18" s="128"/>
      <c r="C18" s="129"/>
      <c r="D18" s="2617"/>
      <c r="E18" s="130" t="s">
        <v>220</v>
      </c>
      <c r="F18" s="131" t="s">
        <v>221</v>
      </c>
      <c r="G18" s="1364" t="s">
        <v>222</v>
      </c>
      <c r="H18" s="969" t="s">
        <v>223</v>
      </c>
      <c r="I18" s="970" t="s">
        <v>224</v>
      </c>
      <c r="J18" s="1981"/>
      <c r="K18" s="2580" t="s">
        <v>2569</v>
      </c>
      <c r="L18" s="2581" t="s">
        <v>2570</v>
      </c>
      <c r="M18" s="2582" t="s">
        <v>2571</v>
      </c>
      <c r="N18" s="2580" t="s">
        <v>2569</v>
      </c>
      <c r="O18" s="2581" t="s">
        <v>2570</v>
      </c>
      <c r="P18" s="2582" t="s">
        <v>2571</v>
      </c>
      <c r="R18" s="2297" t="s">
        <v>2309</v>
      </c>
      <c r="S18" s="2297" t="s">
        <v>2310</v>
      </c>
    </row>
    <row r="19" spans="1:19">
      <c r="A19" s="133"/>
      <c r="B19" s="115" t="s">
        <v>225</v>
      </c>
      <c r="C19" s="2996" t="s">
        <v>3326</v>
      </c>
      <c r="D19" s="111">
        <f t="shared" ref="D19:D26" si="1">ROUND($D$3*E19/$E$3,2)</f>
        <v>10177.16</v>
      </c>
      <c r="E19" s="134">
        <f t="shared" ref="E19:E26" si="2">SUM(F19:G19)</f>
        <v>44722.86</v>
      </c>
      <c r="F19" s="135">
        <f>'数据-基础表'!I13</f>
        <v>18671.98</v>
      </c>
      <c r="G19" s="1365">
        <f>'数据-基础表'!M13</f>
        <v>26050.879999999997</v>
      </c>
      <c r="H19" s="971">
        <f>ROUND($D$3*I19/$E$3,2)</f>
        <v>178.54</v>
      </c>
      <c r="I19" s="116">
        <f>IF($I$17="自定义",P19,M19)</f>
        <v>784.6</v>
      </c>
      <c r="J19" s="1981"/>
      <c r="K19" s="2583">
        <f t="shared" ref="K19:K26" si="3">ROUND(E$28*E19/E$27,2)</f>
        <v>784.6</v>
      </c>
      <c r="L19" s="274">
        <f t="shared" ref="L19:L26" si="4">ROUND(IF(COUNTIF(C19,"*住宅*")&gt;0,E$29*E19/E$32,0),2)</f>
        <v>0</v>
      </c>
      <c r="M19" s="2584">
        <f>K19+L19</f>
        <v>784.6</v>
      </c>
      <c r="N19" s="2585"/>
      <c r="O19" s="2586"/>
      <c r="P19" s="2587">
        <f>N19+O19</f>
        <v>0</v>
      </c>
      <c r="R19" s="274">
        <f t="shared" ref="R19:S26" si="5">D19+H19</f>
        <v>10355.700000000001</v>
      </c>
      <c r="S19" s="2298">
        <f t="shared" si="5"/>
        <v>45507.46</v>
      </c>
    </row>
    <row r="20" spans="1:19">
      <c r="A20" s="138"/>
      <c r="B20" s="115" t="s">
        <v>226</v>
      </c>
      <c r="C20" s="2996" t="str">
        <f>'数据-基础表'!K11</f>
        <v>办公楼</v>
      </c>
      <c r="D20" s="111">
        <f t="shared" si="1"/>
        <v>6544.19</v>
      </c>
      <c r="E20" s="134">
        <f t="shared" si="2"/>
        <v>28758.02</v>
      </c>
      <c r="F20" s="135">
        <f>'数据-基础表'!K13</f>
        <v>28758.02</v>
      </c>
      <c r="G20" s="1365"/>
      <c r="H20" s="971">
        <f t="shared" ref="H20:H26" si="6">ROUND($D$3*I20/$E$3,2)</f>
        <v>114.81</v>
      </c>
      <c r="I20" s="116">
        <f t="shared" ref="I20:I26" si="7">IF($I$17="自定义",P20,M20)</f>
        <v>504.52</v>
      </c>
      <c r="J20" s="1981"/>
      <c r="K20" s="2583">
        <f t="shared" si="3"/>
        <v>504.52</v>
      </c>
      <c r="L20" s="274">
        <f t="shared" si="4"/>
        <v>0</v>
      </c>
      <c r="M20" s="2584">
        <f t="shared" ref="M20:M26" si="8">K20+L20</f>
        <v>504.52</v>
      </c>
      <c r="N20" s="2585"/>
      <c r="O20" s="2586"/>
      <c r="P20" s="2587">
        <f t="shared" ref="P20:P26" si="9">N20+O20</f>
        <v>0</v>
      </c>
      <c r="R20" s="274">
        <f t="shared" si="5"/>
        <v>6659</v>
      </c>
      <c r="S20" s="2298">
        <f t="shared" si="5"/>
        <v>29262.54</v>
      </c>
    </row>
    <row r="21" spans="1:19">
      <c r="A21" s="138"/>
      <c r="B21" s="115" t="s">
        <v>226</v>
      </c>
      <c r="C21" s="2996"/>
      <c r="D21" s="111">
        <f t="shared" si="1"/>
        <v>0</v>
      </c>
      <c r="E21" s="134">
        <f t="shared" si="2"/>
        <v>0</v>
      </c>
      <c r="F21" s="135"/>
      <c r="G21" s="1365"/>
      <c r="H21" s="971">
        <f t="shared" si="6"/>
        <v>0</v>
      </c>
      <c r="I21" s="116">
        <f t="shared" si="7"/>
        <v>0</v>
      </c>
      <c r="J21" s="1981"/>
      <c r="K21" s="2583">
        <f t="shared" si="3"/>
        <v>0</v>
      </c>
      <c r="L21" s="274">
        <f t="shared" si="4"/>
        <v>0</v>
      </c>
      <c r="M21" s="2584">
        <f t="shared" si="8"/>
        <v>0</v>
      </c>
      <c r="N21" s="2585"/>
      <c r="O21" s="2586"/>
      <c r="P21" s="2587">
        <f t="shared" si="9"/>
        <v>0</v>
      </c>
      <c r="R21" s="274">
        <f t="shared" si="5"/>
        <v>0</v>
      </c>
      <c r="S21" s="2298">
        <f t="shared" si="5"/>
        <v>0</v>
      </c>
    </row>
    <row r="22" spans="1:19">
      <c r="A22" s="138"/>
      <c r="B22" s="115" t="s">
        <v>226</v>
      </c>
      <c r="C22" s="1362" t="str">
        <f>'数据-基础表'!O11</f>
        <v>车库</v>
      </c>
      <c r="D22" s="111">
        <f t="shared" si="1"/>
        <v>2540.71</v>
      </c>
      <c r="E22" s="134">
        <f t="shared" si="2"/>
        <v>11165</v>
      </c>
      <c r="F22" s="140"/>
      <c r="G22" s="1366">
        <f>'数据-基础表'!O13</f>
        <v>11165</v>
      </c>
      <c r="H22" s="971">
        <f t="shared" si="6"/>
        <v>44.57</v>
      </c>
      <c r="I22" s="116">
        <f t="shared" si="7"/>
        <v>195.88</v>
      </c>
      <c r="J22" s="1981"/>
      <c r="K22" s="2583">
        <f t="shared" si="3"/>
        <v>195.88</v>
      </c>
      <c r="L22" s="274">
        <f t="shared" si="4"/>
        <v>0</v>
      </c>
      <c r="M22" s="2584">
        <f t="shared" si="8"/>
        <v>195.88</v>
      </c>
      <c r="N22" s="2585"/>
      <c r="O22" s="2586"/>
      <c r="P22" s="2587">
        <f t="shared" si="9"/>
        <v>0</v>
      </c>
      <c r="R22" s="274">
        <f t="shared" si="5"/>
        <v>2585.2800000000002</v>
      </c>
      <c r="S22" s="2298">
        <f t="shared" si="5"/>
        <v>11360.88</v>
      </c>
    </row>
    <row r="23" spans="1:19">
      <c r="A23" s="138"/>
      <c r="B23" s="115" t="s">
        <v>226</v>
      </c>
      <c r="C23" s="139"/>
      <c r="D23" s="111">
        <f>ROUND($D$3*E23/$E$3,2)</f>
        <v>0</v>
      </c>
      <c r="E23" s="134">
        <f>SUM(F23:G23)</f>
        <v>0</v>
      </c>
      <c r="F23" s="140"/>
      <c r="G23" s="1366"/>
      <c r="H23" s="971">
        <f>ROUND($D$3*I23/$E$3,2)</f>
        <v>0</v>
      </c>
      <c r="I23" s="116">
        <f t="shared" si="7"/>
        <v>0</v>
      </c>
      <c r="J23" s="1981"/>
      <c r="K23" s="2583">
        <f t="shared" si="3"/>
        <v>0</v>
      </c>
      <c r="L23" s="274">
        <f t="shared" si="4"/>
        <v>0</v>
      </c>
      <c r="M23" s="2584">
        <f t="shared" si="8"/>
        <v>0</v>
      </c>
      <c r="N23" s="2585"/>
      <c r="O23" s="2586"/>
      <c r="P23" s="2587">
        <f t="shared" si="9"/>
        <v>0</v>
      </c>
      <c r="R23" s="274">
        <f t="shared" si="5"/>
        <v>0</v>
      </c>
      <c r="S23" s="2298">
        <f t="shared" si="5"/>
        <v>0</v>
      </c>
    </row>
    <row r="24" spans="1:19">
      <c r="A24" s="138"/>
      <c r="B24" s="115" t="s">
        <v>226</v>
      </c>
      <c r="C24" s="139"/>
      <c r="D24" s="111">
        <f>ROUND($D$3*E24/$E$3,2)</f>
        <v>0</v>
      </c>
      <c r="E24" s="134">
        <f>SUM(F24:G24)</f>
        <v>0</v>
      </c>
      <c r="F24" s="140"/>
      <c r="G24" s="1366"/>
      <c r="H24" s="971">
        <f>ROUND($D$3*I24/$E$3,2)</f>
        <v>0</v>
      </c>
      <c r="I24" s="116">
        <f t="shared" si="7"/>
        <v>0</v>
      </c>
      <c r="J24" s="1981"/>
      <c r="K24" s="2583">
        <f t="shared" si="3"/>
        <v>0</v>
      </c>
      <c r="L24" s="274">
        <f t="shared" si="4"/>
        <v>0</v>
      </c>
      <c r="M24" s="2584">
        <f t="shared" si="8"/>
        <v>0</v>
      </c>
      <c r="N24" s="2585"/>
      <c r="O24" s="2586"/>
      <c r="P24" s="2587">
        <f t="shared" si="9"/>
        <v>0</v>
      </c>
      <c r="R24" s="274">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583">
        <f t="shared" si="3"/>
        <v>0</v>
      </c>
      <c r="L25" s="274">
        <f t="shared" si="4"/>
        <v>0</v>
      </c>
      <c r="M25" s="2584">
        <f t="shared" si="8"/>
        <v>0</v>
      </c>
      <c r="N25" s="2585"/>
      <c r="O25" s="2586"/>
      <c r="P25" s="2587">
        <f t="shared" si="9"/>
        <v>0</v>
      </c>
      <c r="R25" s="274">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588">
        <f t="shared" si="3"/>
        <v>0</v>
      </c>
      <c r="L26" s="279">
        <f t="shared" si="4"/>
        <v>0</v>
      </c>
      <c r="M26" s="146">
        <f t="shared" si="8"/>
        <v>0</v>
      </c>
      <c r="N26" s="2589"/>
      <c r="O26" s="2590"/>
      <c r="P26" s="2591">
        <f t="shared" si="9"/>
        <v>0</v>
      </c>
      <c r="R26" s="274">
        <f t="shared" si="5"/>
        <v>0</v>
      </c>
      <c r="S26" s="2298">
        <f t="shared" si="5"/>
        <v>0</v>
      </c>
    </row>
    <row r="27" spans="1:19" ht="29.25" thickBot="1">
      <c r="A27" s="138"/>
      <c r="B27" s="111"/>
      <c r="C27" s="127" t="s">
        <v>215</v>
      </c>
      <c r="D27" s="134">
        <f>SUM(D19:D26)</f>
        <v>19262.059999999998</v>
      </c>
      <c r="E27" s="143">
        <f>IF(SUM(E19:E26)='数据-基础表'!BA5,SUM(E19:E26),IF(F27="地上面积有误","面积有误","地下面积有误"))</f>
        <v>84645.88</v>
      </c>
      <c r="F27" s="134">
        <f>IF(SUM(F19:F26)=E8,SUM(F19:F26),"地上面积有误")</f>
        <v>47430</v>
      </c>
      <c r="G27" s="112">
        <f>SUM(G19:G26)</f>
        <v>37215.879999999997</v>
      </c>
      <c r="H27" s="972">
        <f>SUM(H19:H26)</f>
        <v>337.92</v>
      </c>
      <c r="I27" s="973">
        <f>SUM(I19:I26)</f>
        <v>1485</v>
      </c>
      <c r="J27" s="1981"/>
      <c r="K27" s="2592">
        <f>SUM(K19:K26)</f>
        <v>1485</v>
      </c>
      <c r="L27" s="2593">
        <f>SUM(L19:L26)</f>
        <v>0</v>
      </c>
      <c r="M27" s="2594">
        <f>SUM(M19:M26)</f>
        <v>1485</v>
      </c>
      <c r="N27" s="2592">
        <f t="shared" ref="N27:O27" si="10">SUM(N19:N26)</f>
        <v>0</v>
      </c>
      <c r="O27" s="2593">
        <f t="shared" si="10"/>
        <v>0</v>
      </c>
      <c r="P27" s="2595">
        <f>SUM(P19:P26)</f>
        <v>0</v>
      </c>
      <c r="R27" s="2302" t="str">
        <f>IF(SUM(R19:R26)=$D$3,SUM(R19:R26),SUM(R19:R26)&amp;"误差"&amp;ROUND(SUM(R19:R26)-$D$3,2))</f>
        <v>19599.98误差-0.02</v>
      </c>
      <c r="S27" s="274">
        <f>IF(SUM(S19:S26)=$E$3,SUM(S19:S26),SUM(S19:S26)&amp;"误差"&amp;ROUND(SUM(S19:S26)-E3,2))</f>
        <v>86130.880000000005</v>
      </c>
    </row>
    <row r="28" spans="1:19">
      <c r="A28" s="138"/>
      <c r="B28" s="115" t="s">
        <v>227</v>
      </c>
      <c r="C28" s="136" t="s">
        <v>228</v>
      </c>
      <c r="D28" s="111">
        <f>ROUND($D$3*E28/$E$3,2)</f>
        <v>337.93</v>
      </c>
      <c r="E28" s="134">
        <f>SUM(F28:G28)</f>
        <v>1485</v>
      </c>
      <c r="F28" s="144">
        <f>'数据-基础表'!BQ5+'数据-基础表'!BS5</f>
        <v>1485</v>
      </c>
      <c r="G28" s="145">
        <f>'数据-基础表'!BR5+'数据-基础表'!BT5</f>
        <v>0</v>
      </c>
      <c r="H28" s="1981"/>
      <c r="I28" s="1981"/>
      <c r="J28" s="1981"/>
      <c r="K28" s="1981"/>
      <c r="L28" s="1981"/>
    </row>
    <row r="29" spans="1:19">
      <c r="A29" s="138"/>
      <c r="B29" s="115" t="s">
        <v>227</v>
      </c>
      <c r="C29" s="2310" t="s">
        <v>2320</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337.93</v>
      </c>
      <c r="E30" s="134">
        <f>SUM(E28:E29)</f>
        <v>1485</v>
      </c>
      <c r="F30" s="134">
        <f>SUM(F28:F29)</f>
        <v>1485</v>
      </c>
      <c r="G30" s="112">
        <f>SUM(G28:G29)</f>
        <v>0</v>
      </c>
      <c r="H30" s="1981"/>
      <c r="I30" s="1981"/>
      <c r="J30" s="1981"/>
      <c r="K30" s="1981"/>
      <c r="L30" s="1981"/>
    </row>
    <row r="31" spans="1:19" ht="32.25" customHeight="1" thickBot="1">
      <c r="A31" s="1367"/>
      <c r="B31" s="1368" t="s">
        <v>229</v>
      </c>
      <c r="C31" s="2327" t="s">
        <v>2322</v>
      </c>
      <c r="D31" s="1369">
        <f>D27+D30</f>
        <v>19599.989999999998</v>
      </c>
      <c r="E31" s="1369">
        <f>E27+E30</f>
        <v>86130.880000000005</v>
      </c>
      <c r="F31" s="1370">
        <f>F27+F30</f>
        <v>48915</v>
      </c>
      <c r="G31" s="1371">
        <f>G27+G30</f>
        <v>37215.879999999997</v>
      </c>
      <c r="H31" s="1981"/>
      <c r="I31" s="1981"/>
      <c r="J31" s="1981"/>
      <c r="K31" s="1981"/>
      <c r="L31" s="1981"/>
    </row>
    <row r="32" spans="1:19">
      <c r="A32" s="1981"/>
      <c r="B32" s="2339" t="s">
        <v>2321</v>
      </c>
      <c r="C32" s="2622"/>
      <c r="D32" s="1198"/>
      <c r="E32" s="1198">
        <f>SUMIF(C19:C26,"*住宅*",E19:E26)</f>
        <v>0</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R19" sqref="R19"/>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hidden="1" customWidth="1"/>
    <col min="32" max="33" width="7.25" style="1200" hidden="1" customWidth="1"/>
    <col min="34"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235</v>
      </c>
      <c r="B2" s="2335">
        <f>项目基本情况!D3</f>
        <v>43510</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863</v>
      </c>
      <c r="B4" s="152"/>
      <c r="C4" s="153"/>
      <c r="D4" s="1205"/>
      <c r="E4" s="1206" t="s">
        <v>864</v>
      </c>
      <c r="F4" s="153"/>
      <c r="G4" s="153"/>
      <c r="H4" s="153"/>
      <c r="I4" s="153"/>
      <c r="J4" s="154"/>
      <c r="K4" s="1207"/>
      <c r="L4" s="1208"/>
      <c r="M4" s="153"/>
      <c r="N4" s="1206"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6" t="s">
        <v>2827</v>
      </c>
      <c r="O5" s="163" t="s">
        <v>246</v>
      </c>
      <c r="P5" s="165" t="s">
        <v>247</v>
      </c>
      <c r="Q5" s="166" t="s">
        <v>248</v>
      </c>
      <c r="R5" s="167" t="s">
        <v>249</v>
      </c>
      <c r="S5" s="2596" t="s">
        <v>2572</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2323</v>
      </c>
      <c r="AI5" s="171" t="s">
        <v>2292</v>
      </c>
      <c r="AJ5" s="171" t="s">
        <v>258</v>
      </c>
      <c r="AK5" s="159" t="s">
        <v>259</v>
      </c>
      <c r="AL5" s="159" t="s">
        <v>260</v>
      </c>
      <c r="AM5" s="172" t="s">
        <v>261</v>
      </c>
      <c r="AN5" s="2366"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独立商业</v>
      </c>
      <c r="B6" s="2334" t="str">
        <f>IF(A6=0,"","经营性")</f>
        <v>经营性</v>
      </c>
      <c r="C6" s="173" t="s">
        <v>3065</v>
      </c>
      <c r="D6" s="2305">
        <f>SUMIF(项目基本情况!D$15:I$15,C6,项目基本情况!D$18:I$18)</f>
        <v>40</v>
      </c>
      <c r="E6" s="2306">
        <f>IF(B6="","",SUMIF(项目基本情况!D$15:I$15,C6,项目基本情况!D$17:I$17))</f>
        <v>52836</v>
      </c>
      <c r="F6" s="174">
        <f>SUMIF(项目基本情况!D$15:I$15,C6,项目基本情况!D$19:I$19)</f>
        <v>25.55</v>
      </c>
      <c r="G6" s="175">
        <f>IF(ISERROR(ROUND(POWER(1+H6,D6-F6)*(POWER(1+H6,F6)-1)/(POWER(1+H6,D6)-1),3)),0,ROUND(POWER(1+H6,D6-F6)*(POWER(1+H6,F6)-1)/(POWER(1+H6,D6)-1),3))</f>
        <v>0.83</v>
      </c>
      <c r="H6" s="2997">
        <v>0.05</v>
      </c>
      <c r="I6" s="2997">
        <v>5.5E-2</v>
      </c>
      <c r="J6" s="2997">
        <v>8.5000000000000006E-2</v>
      </c>
      <c r="K6" s="179">
        <f>SUMIF('数据-汇总表'!C$19:C$33,'数据-取费表'!A6,'数据-汇总表'!E$19:E$33)</f>
        <v>44722.86</v>
      </c>
      <c r="L6" s="3204">
        <v>4000</v>
      </c>
      <c r="M6" s="177">
        <f t="shared" ref="M6:M14" si="0">ROUND(K6*L6/10000,0)</f>
        <v>17889</v>
      </c>
      <c r="N6" s="2999">
        <v>0</v>
      </c>
      <c r="O6" s="177">
        <f>IF($N$5="成新度","——",ROUND(M6*N6,0))</f>
        <v>0</v>
      </c>
      <c r="P6" s="178">
        <f>IF($N$5="成新度","——",M6-O6)</f>
        <v>17889</v>
      </c>
      <c r="Q6" s="3000">
        <v>0.15</v>
      </c>
      <c r="R6" s="179">
        <f>SUMIF('数据-汇总表'!C$19:C$33,A6,'数据-汇总表'!R$19:R$33)</f>
        <v>10355.700000000001</v>
      </c>
      <c r="S6" s="132">
        <f>IF('数据-汇总表'!$I$17="按面积比例",SUMIF('数据-汇总表'!C$19:C$33,A6,'数据-汇总表'!K$19:K$33),SUMIF('数据-汇总表'!C$19:C$33,A6,'数据-汇总表'!N$19:N$33))</f>
        <v>784.6</v>
      </c>
      <c r="T6" s="2231">
        <f>IF($T$4="按面积比例",IF(ISERROR(ROUND($M$14*S6/S$16,0)),"0",ROUND($M$14*S6/S$16,0)),"需自行计算录入")</f>
        <v>236</v>
      </c>
      <c r="U6" s="180">
        <v>5</v>
      </c>
      <c r="V6" s="181">
        <v>0.03</v>
      </c>
      <c r="W6" s="181">
        <v>0.1</v>
      </c>
      <c r="X6" s="2318"/>
      <c r="Y6" s="182">
        <v>1</v>
      </c>
      <c r="Z6" s="183"/>
      <c r="AA6" s="176"/>
      <c r="AB6" s="176"/>
      <c r="AC6" s="2321"/>
      <c r="AD6" s="184"/>
      <c r="AE6" s="969">
        <f ca="1">IF(AN6="",0,SUMIF(INDIRECT("'"&amp;AN6&amp;"'"&amp;"!E:E"),$AE$5,INDIRECT("'"&amp;AN6&amp;"'"&amp;"!F:F")))</f>
        <v>24.05</v>
      </c>
      <c r="AF6" s="141"/>
      <c r="AG6" s="1210">
        <f>IF(AF6="",0,AE6-AF6)</f>
        <v>0</v>
      </c>
      <c r="AH6" s="141"/>
      <c r="AI6" s="187">
        <v>365</v>
      </c>
      <c r="AJ6" s="188"/>
      <c r="AK6" s="189">
        <v>1.4999999999999999E-2</v>
      </c>
      <c r="AL6" s="190">
        <v>1.5E-3</v>
      </c>
      <c r="AM6" s="3203">
        <v>0.01</v>
      </c>
      <c r="AN6" s="2367" t="s">
        <v>3325</v>
      </c>
      <c r="AO6" s="1997"/>
      <c r="AP6" s="1201">
        <f>ROUND(1-1/(1+H6)^F6,3)</f>
        <v>0.71299999999999997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办公楼</v>
      </c>
      <c r="B7" s="2334" t="str">
        <f t="shared" ref="B7:B13" si="1">IF(A7=0,"","经营性")</f>
        <v>经营性</v>
      </c>
      <c r="C7" s="173" t="s">
        <v>1677</v>
      </c>
      <c r="D7" s="2305">
        <f>SUMIF(项目基本情况!D$15:I$15,C7,项目基本情况!D$18:I$18)</f>
        <v>50</v>
      </c>
      <c r="E7" s="2306">
        <f>IF(B7="","",SUMIF(项目基本情况!D$15:I$15,C7,项目基本情况!D$17:I$17))</f>
        <v>56488</v>
      </c>
      <c r="F7" s="174">
        <f>SUMIF(项目基本情况!D$15:I$15,C7,项目基本情况!D$19:I$19)</f>
        <v>35.549999999999997</v>
      </c>
      <c r="G7" s="175">
        <f t="shared" ref="G7:G11" si="2">IF(ISERROR(ROUND(POWER(1+H7,D7-F7)*(POWER(1+H7,F7)-1)/(POWER(1+H7,D7)-1),3)),0,ROUND(POWER(1+H7,D7-F7)*(POWER(1+H7,F7)-1)/(POWER(1+H7,D7)-1),3))</f>
        <v>0.90200000000000002</v>
      </c>
      <c r="H7" s="2997">
        <v>0.05</v>
      </c>
      <c r="I7" s="2997">
        <v>5.5E-2</v>
      </c>
      <c r="J7" s="2997">
        <v>8.5000000000000006E-2</v>
      </c>
      <c r="K7" s="179">
        <f>SUMIF('数据-汇总表'!C$19:C$33,'数据-取费表'!A7,'数据-汇总表'!E$19:E$33)</f>
        <v>28758.02</v>
      </c>
      <c r="L7" s="3204">
        <v>3500</v>
      </c>
      <c r="M7" s="177">
        <f t="shared" si="0"/>
        <v>10065</v>
      </c>
      <c r="N7" s="2999">
        <v>0</v>
      </c>
      <c r="O7" s="177">
        <f t="shared" ref="O7:O14" si="3">IF($N$5="成新度","——",ROUND(M7*N7,0))</f>
        <v>0</v>
      </c>
      <c r="P7" s="178">
        <f t="shared" ref="P7:P14" si="4">IF($N$5="成新度","——",M7-O7)</f>
        <v>10065</v>
      </c>
      <c r="Q7" s="3000">
        <v>0.1</v>
      </c>
      <c r="R7" s="179">
        <f>SUMIF('数据-汇总表'!C$19:C$33,A7,'数据-汇总表'!R$19:R$33)</f>
        <v>6659</v>
      </c>
      <c r="S7" s="132">
        <f>IF('数据-汇总表'!$I$17="按面积比例",SUMIF('数据-汇总表'!C$19:C$33,A7,'数据-汇总表'!K$19:K$33),SUMIF('数据-汇总表'!C$19:C$33,A7,'数据-汇总表'!N$19:N$33))</f>
        <v>504.52</v>
      </c>
      <c r="T7" s="2231">
        <f t="shared" ref="T7:T13" si="5">IF($T$4="按面积比例",IF(ISERROR(ROUND($M$14*S7/S$16,0)),"0",ROUND($M$14*S7/S$16,0)),"需自行计算录入")</f>
        <v>152</v>
      </c>
      <c r="U7" s="180">
        <v>3.8</v>
      </c>
      <c r="V7" s="181">
        <v>0.03</v>
      </c>
      <c r="W7" s="181">
        <v>0.1</v>
      </c>
      <c r="X7" s="2318"/>
      <c r="Y7" s="182">
        <v>1</v>
      </c>
      <c r="Z7" s="183"/>
      <c r="AA7" s="176"/>
      <c r="AB7" s="176"/>
      <c r="AC7" s="2321"/>
      <c r="AD7" s="184"/>
      <c r="AE7" s="969">
        <f t="shared" ref="AE7:AE13" ca="1" si="6">IF(AN7="",0,SUMIF(INDIRECT("'"&amp;AN7&amp;"'"&amp;"!E:E"),$AE$5,INDIRECT("'"&amp;AN7&amp;"'"&amp;"!F:F")))</f>
        <v>34.049999999999997</v>
      </c>
      <c r="AF7" s="141"/>
      <c r="AG7" s="1210">
        <f t="shared" ref="AG7:AG13" si="7">IF(AF7="",0,AE7-AF7)</f>
        <v>0</v>
      </c>
      <c r="AH7" s="141"/>
      <c r="AI7" s="187">
        <v>365</v>
      </c>
      <c r="AJ7" s="188"/>
      <c r="AK7" s="189">
        <v>1.4999999999999999E-2</v>
      </c>
      <c r="AL7" s="190">
        <v>1.5E-3</v>
      </c>
      <c r="AM7" s="3011">
        <v>0.01</v>
      </c>
      <c r="AN7" s="2367" t="s">
        <v>3330</v>
      </c>
      <c r="AO7" s="1997"/>
      <c r="AP7" s="1201">
        <f t="shared" ref="AP7:AP13" si="8">ROUND(1-1/(1+H7)^F7,3)</f>
        <v>0.82399999999999995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7"/>
      <c r="I8" s="2997"/>
      <c r="J8" s="2997"/>
      <c r="K8" s="179">
        <f>SUMIF('数据-汇总表'!C$19:C$33,'数据-取费表'!A8,'数据-汇总表'!E$19:E$33)</f>
        <v>0</v>
      </c>
      <c r="L8" s="2998"/>
      <c r="M8" s="177">
        <f>ROUND(K8*L8/10000,0)</f>
        <v>0</v>
      </c>
      <c r="N8" s="2999"/>
      <c r="O8" s="177">
        <f t="shared" si="3"/>
        <v>0</v>
      </c>
      <c r="P8" s="178">
        <f t="shared" si="4"/>
        <v>0</v>
      </c>
      <c r="Q8" s="3000">
        <v>0.2</v>
      </c>
      <c r="R8" s="179">
        <f>SUMIF('数据-汇总表'!C$19:C$33,A8,'数据-汇总表'!R$19:R$33)</f>
        <v>0</v>
      </c>
      <c r="S8" s="132">
        <f>IF('数据-汇总表'!$I$17="按面积比例",SUMIF('数据-汇总表'!C$19:C$33,A8,'数据-汇总表'!K$19:K$33),SUMIF('数据-汇总表'!C$19:C$33,A8,'数据-汇总表'!N$19:N$33))</f>
        <v>0</v>
      </c>
      <c r="T8" s="2231">
        <f t="shared" si="5"/>
        <v>0</v>
      </c>
      <c r="U8" s="180">
        <v>4</v>
      </c>
      <c r="V8" s="181">
        <v>0.03</v>
      </c>
      <c r="W8" s="181">
        <v>0.1</v>
      </c>
      <c r="X8" s="2318"/>
      <c r="Y8" s="182">
        <v>1</v>
      </c>
      <c r="Z8" s="183"/>
      <c r="AA8" s="176"/>
      <c r="AB8" s="176"/>
      <c r="AC8" s="2321"/>
      <c r="AD8" s="184"/>
      <c r="AE8" s="969">
        <f t="shared" ca="1" si="6"/>
        <v>0</v>
      </c>
      <c r="AF8" s="141"/>
      <c r="AG8" s="1210">
        <f t="shared" si="7"/>
        <v>0</v>
      </c>
      <c r="AH8" s="141"/>
      <c r="AI8" s="187">
        <v>365</v>
      </c>
      <c r="AJ8" s="188"/>
      <c r="AK8" s="189">
        <v>0.02</v>
      </c>
      <c r="AL8" s="190">
        <v>2E-3</v>
      </c>
      <c r="AM8" s="3011">
        <v>0.03</v>
      </c>
      <c r="AN8" s="2367"/>
      <c r="AO8" s="1997"/>
      <c r="AP8" s="1201">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9" t="str">
        <f>'数据-汇总表'!C22</f>
        <v>车库</v>
      </c>
      <c r="B9" s="2334" t="str">
        <f t="shared" si="1"/>
        <v>经营性</v>
      </c>
      <c r="C9" s="173" t="s">
        <v>3070</v>
      </c>
      <c r="D9" s="2305">
        <f>SUMIF(项目基本情况!D$15:I$15,C9,项目基本情况!D$18:I$18)</f>
        <v>40</v>
      </c>
      <c r="E9" s="2306">
        <f>IF(B9="","",SUMIF(项目基本情况!D$15:I$15,C9,项目基本情况!D$17:I$17))</f>
        <v>56488</v>
      </c>
      <c r="F9" s="174">
        <f>SUMIF(项目基本情况!D$15:I$15,C9,项目基本情况!D$19:I$19)</f>
        <v>35.549999999999997</v>
      </c>
      <c r="G9" s="175">
        <f t="shared" si="2"/>
        <v>0.95</v>
      </c>
      <c r="H9" s="2997">
        <v>0.04</v>
      </c>
      <c r="I9" s="2997">
        <v>4.4999999999999998E-2</v>
      </c>
      <c r="J9" s="2997">
        <v>8.5000000000000006E-2</v>
      </c>
      <c r="K9" s="179">
        <f>SUMIF('数据-汇总表'!C$19:C$33,'数据-取费表'!A9,'数据-汇总表'!E$19:E$33)</f>
        <v>11165</v>
      </c>
      <c r="L9" s="2998">
        <v>3000</v>
      </c>
      <c r="M9" s="177">
        <f t="shared" si="0"/>
        <v>3350</v>
      </c>
      <c r="N9" s="193">
        <v>0</v>
      </c>
      <c r="O9" s="177">
        <f t="shared" si="3"/>
        <v>0</v>
      </c>
      <c r="P9" s="178">
        <f t="shared" si="4"/>
        <v>3350</v>
      </c>
      <c r="Q9" s="192">
        <v>0.03</v>
      </c>
      <c r="R9" s="179">
        <f>SUMIF('数据-汇总表'!C$19:C$33,A9,'数据-汇总表'!R$19:R$33)</f>
        <v>2585.2800000000002</v>
      </c>
      <c r="S9" s="132">
        <f>IF('数据-汇总表'!$I$17="按面积比例",SUMIF('数据-汇总表'!C$19:C$33,A9,'数据-汇总表'!K$19:K$33),SUMIF('数据-汇总表'!C$19:C$33,A9,'数据-汇总表'!N$19:N$33))</f>
        <v>195.88</v>
      </c>
      <c r="T9" s="2231">
        <f t="shared" si="5"/>
        <v>59</v>
      </c>
      <c r="U9" s="180">
        <v>40</v>
      </c>
      <c r="V9" s="181">
        <v>0.03</v>
      </c>
      <c r="W9" s="181">
        <v>0.1</v>
      </c>
      <c r="X9" s="2318"/>
      <c r="Y9" s="182">
        <v>1</v>
      </c>
      <c r="Z9" s="183"/>
      <c r="AA9" s="176"/>
      <c r="AB9" s="176"/>
      <c r="AC9" s="2321"/>
      <c r="AD9" s="184"/>
      <c r="AE9" s="969">
        <f t="shared" ca="1" si="6"/>
        <v>34.049999999999997</v>
      </c>
      <c r="AF9" s="141"/>
      <c r="AG9" s="1210">
        <f t="shared" si="7"/>
        <v>0</v>
      </c>
      <c r="AH9" s="141">
        <v>319</v>
      </c>
      <c r="AI9" s="187">
        <v>365</v>
      </c>
      <c r="AJ9" s="188"/>
      <c r="AK9" s="189">
        <v>1.4999999999999999E-2</v>
      </c>
      <c r="AL9" s="190">
        <v>1.5E-3</v>
      </c>
      <c r="AM9" s="2365">
        <v>0.01</v>
      </c>
      <c r="AN9" s="2367" t="s">
        <v>3327</v>
      </c>
      <c r="AO9" s="1997"/>
      <c r="AP9" s="1201">
        <f t="shared" si="8"/>
        <v>0.752</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8"/>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9">
        <f t="shared" ca="1" si="6"/>
        <v>0</v>
      </c>
      <c r="AF10" s="141"/>
      <c r="AG10" s="1210">
        <f t="shared" si="7"/>
        <v>0</v>
      </c>
      <c r="AH10" s="141"/>
      <c r="AI10" s="187"/>
      <c r="AJ10" s="188"/>
      <c r="AK10" s="189"/>
      <c r="AL10" s="190"/>
      <c r="AM10" s="2365"/>
      <c r="AN10" s="2367"/>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98"/>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69">
        <f t="shared" ca="1" si="6"/>
        <v>0</v>
      </c>
      <c r="AF11" s="141"/>
      <c r="AG11" s="1210">
        <f t="shared" si="7"/>
        <v>0</v>
      </c>
      <c r="AH11" s="141"/>
      <c r="AI11" s="187"/>
      <c r="AJ11" s="188"/>
      <c r="AK11" s="195"/>
      <c r="AL11" s="196"/>
      <c r="AM11" s="1814"/>
      <c r="AN11" s="2367"/>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98"/>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69">
        <f t="shared" ca="1" si="6"/>
        <v>0</v>
      </c>
      <c r="AF12" s="141"/>
      <c r="AG12" s="1210">
        <f t="shared" si="7"/>
        <v>0</v>
      </c>
      <c r="AH12" s="141"/>
      <c r="AI12" s="187"/>
      <c r="AJ12" s="188"/>
      <c r="AK12" s="195"/>
      <c r="AL12" s="196"/>
      <c r="AM12" s="1814"/>
      <c r="AN12" s="2367"/>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98"/>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9">
        <f t="shared" ca="1" si="6"/>
        <v>0</v>
      </c>
      <c r="AF13" s="141"/>
      <c r="AG13" s="1210">
        <f t="shared" si="7"/>
        <v>0</v>
      </c>
      <c r="AH13" s="141"/>
      <c r="AI13" s="187"/>
      <c r="AJ13" s="188"/>
      <c r="AK13" s="189"/>
      <c r="AL13" s="190"/>
      <c r="AM13" s="2365"/>
      <c r="AN13" s="2367"/>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2314</v>
      </c>
      <c r="B14" s="2303" t="s">
        <v>1679</v>
      </c>
      <c r="C14" s="2304" t="s">
        <v>2314</v>
      </c>
      <c r="D14" s="2305"/>
      <c r="E14" s="2306"/>
      <c r="F14" s="174"/>
      <c r="G14" s="175"/>
      <c r="H14" s="2307"/>
      <c r="I14" s="2307"/>
      <c r="J14" s="2307"/>
      <c r="K14" s="179">
        <f>SUMIF('数据-汇总表'!C$19:C$33,'数据-取费表'!A14,'数据-汇总表'!E$19:E$33)</f>
        <v>1485</v>
      </c>
      <c r="L14" s="2998">
        <v>3000</v>
      </c>
      <c r="M14" s="177">
        <f t="shared" si="0"/>
        <v>446</v>
      </c>
      <c r="N14" s="193">
        <v>0</v>
      </c>
      <c r="O14" s="177">
        <f t="shared" si="3"/>
        <v>0</v>
      </c>
      <c r="P14" s="178">
        <f t="shared" si="4"/>
        <v>446</v>
      </c>
      <c r="Q14" s="2315"/>
      <c r="R14" s="179"/>
      <c r="S14" s="132"/>
      <c r="T14" s="2314"/>
      <c r="U14" s="971"/>
      <c r="V14" s="2317"/>
      <c r="W14" s="2317"/>
      <c r="X14" s="2318"/>
      <c r="Y14" s="2319"/>
      <c r="Z14" s="136"/>
      <c r="AA14" s="2320"/>
      <c r="AB14" s="2320"/>
      <c r="AC14" s="2321"/>
      <c r="AD14" s="2318"/>
      <c r="AE14" s="969"/>
      <c r="AF14" s="2293"/>
      <c r="AG14" s="1210"/>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2316</v>
      </c>
      <c r="B15" s="2303" t="s">
        <v>1679</v>
      </c>
      <c r="C15" s="2304" t="s">
        <v>2315</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1"/>
      <c r="V15" s="2317"/>
      <c r="W15" s="2317"/>
      <c r="X15" s="2318"/>
      <c r="Y15" s="2319"/>
      <c r="Z15" s="136"/>
      <c r="AA15" s="2320"/>
      <c r="AB15" s="2320"/>
      <c r="AC15" s="2321"/>
      <c r="AD15" s="2318"/>
      <c r="AE15" s="969"/>
      <c r="AF15" s="2293"/>
      <c r="AG15" s="1210"/>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7" t="s">
        <v>262</v>
      </c>
      <c r="B16" s="198"/>
      <c r="C16" s="199"/>
      <c r="D16" s="200"/>
      <c r="E16" s="198"/>
      <c r="F16" s="198"/>
      <c r="G16" s="201">
        <f>ROUND(SUMPRODUCT(G6:G13,K6:K13)/SUMPRODUCT((G6:G13&gt;0)*(K6:K13)),3)</f>
        <v>0.87</v>
      </c>
      <c r="H16" s="202">
        <f>ROUND(SUMPRODUCT(H6:H13,K6:K13)/SUMPRODUCT((H6:H13&gt;0)*(K6:K13)),3)</f>
        <v>4.9000000000000002E-2</v>
      </c>
      <c r="I16" s="203"/>
      <c r="J16" s="203"/>
      <c r="K16" s="204">
        <f>SUM(K6:K15)</f>
        <v>86130.880000000005</v>
      </c>
      <c r="L16" s="205">
        <f>ROUND(M16*10000/SUM(K6:K14),0)</f>
        <v>3686</v>
      </c>
      <c r="M16" s="205">
        <f>SUM(M6:M14)</f>
        <v>31750</v>
      </c>
      <c r="N16" s="206">
        <f>ROUND(SUMPRODUCT(M6:M14,N6:N14)/M16,3)</f>
        <v>0</v>
      </c>
      <c r="O16" s="205">
        <f>SUM(O6:O14)</f>
        <v>0</v>
      </c>
      <c r="P16" s="205">
        <f>SUM(P6:P14)</f>
        <v>31750</v>
      </c>
      <c r="Q16" s="207">
        <f>ROUND(SUMPRODUCT(Q6:Q13,K6:K13)/SUMPRODUCT((Q6:Q13&gt;0)*(K6:K13)),2)</f>
        <v>0.12</v>
      </c>
      <c r="R16" s="2308">
        <f>SUM(R6:R13)</f>
        <v>19599.98</v>
      </c>
      <c r="S16" s="208">
        <f>SUM(S6:S13)</f>
        <v>1485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1">
        <f>ROUND(SUMPRODUCT(AP6:AP13,K6:K13)/SUMPRODUCT((AP6:AP13&gt;0)*(K6:K13)),3)</f>
        <v>0.75600000000000001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40"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1.5</v>
      </c>
      <c r="C20" s="2340"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5" t="s">
        <v>2338</v>
      </c>
      <c r="B27" s="226">
        <v>160</v>
      </c>
      <c r="C27" s="2343"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7" t="s">
        <v>2339</v>
      </c>
      <c r="B28" s="228">
        <v>200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0" t="s">
        <v>2337</v>
      </c>
      <c r="B29" s="231">
        <v>0</v>
      </c>
      <c r="C29" s="1550"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4" t="s">
        <v>273</v>
      </c>
      <c r="B30" s="975">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5" t="s">
        <v>278</v>
      </c>
      <c r="B33" s="1376">
        <v>0.03</v>
      </c>
      <c r="C33" s="2341" t="s">
        <v>2892</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v>
      </c>
      <c r="C34" s="2341" t="s">
        <v>2893</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2894</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2895</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41" t="s">
        <v>2896</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0.02</v>
      </c>
      <c r="C38" s="2341" t="s">
        <v>2896</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4" t="s">
        <v>2456</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4" t="s">
        <v>2457</v>
      </c>
      <c r="B40" s="2456">
        <f ca="1">存贷款利率!E2</f>
        <v>4.7500000000000001E-2</v>
      </c>
      <c r="C40" s="2341"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7.0000000000000007E-2</v>
      </c>
      <c r="C44" s="2341" t="s">
        <v>2897</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2898</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2899</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6" t="s">
        <v>2900</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7" t="s">
        <v>2901</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2902</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1.5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1409</v>
      </c>
      <c r="C53" s="3048" t="s">
        <v>2903</v>
      </c>
      <c r="D53" s="3049" t="s">
        <v>2904</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2905</v>
      </c>
      <c r="B54" s="186">
        <v>30</v>
      </c>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2906</v>
      </c>
      <c r="B55" s="186">
        <v>24</v>
      </c>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2907</v>
      </c>
      <c r="B56" s="186">
        <v>18</v>
      </c>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2908</v>
      </c>
      <c r="B57" s="186">
        <v>12</v>
      </c>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2909</v>
      </c>
      <c r="B58" s="186">
        <v>3</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2910</v>
      </c>
      <c r="B59" s="186">
        <v>1.5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2911</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2912</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2913</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2914</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2" t="s">
        <v>1663</v>
      </c>
      <c r="B1" s="3293"/>
      <c r="C1" s="3293"/>
      <c r="D1" s="3293"/>
      <c r="E1" s="3293"/>
      <c r="F1" s="3293"/>
      <c r="G1" s="3293"/>
      <c r="H1" s="1999"/>
      <c r="I1" s="2000"/>
      <c r="J1" s="2001"/>
      <c r="K1" s="1999"/>
      <c r="L1" s="2000"/>
      <c r="M1" s="2001"/>
      <c r="N1" s="1999"/>
      <c r="O1" s="2000"/>
      <c r="P1" s="2001"/>
      <c r="Q1" s="2002"/>
      <c r="R1" s="2003"/>
    </row>
    <row r="2" spans="1:18" ht="14.25" thickBot="1">
      <c r="A2" s="1218"/>
      <c r="B2" s="1219"/>
      <c r="C2" s="1220" t="s">
        <v>1664</v>
      </c>
      <c r="D2" s="1221"/>
      <c r="E2" s="1222"/>
      <c r="F2" s="1223"/>
      <c r="G2" s="1220" t="s">
        <v>1665</v>
      </c>
      <c r="H2" s="2005"/>
      <c r="I2" s="2005"/>
      <c r="J2" s="2005"/>
      <c r="K2" s="2005"/>
      <c r="L2" s="2005"/>
      <c r="M2" s="2005"/>
      <c r="N2" s="2005"/>
      <c r="O2" s="2005"/>
      <c r="P2" s="2005"/>
      <c r="Q2" s="2005"/>
      <c r="R2" s="2005"/>
    </row>
    <row r="3" spans="1:18" ht="54">
      <c r="A3" s="1224" t="s">
        <v>1666</v>
      </c>
      <c r="B3" s="1225" t="s">
        <v>1653</v>
      </c>
      <c r="C3" s="3053" t="s">
        <v>2921</v>
      </c>
      <c r="D3" s="2006"/>
      <c r="E3" s="1226" t="s">
        <v>1666</v>
      </c>
      <c r="F3" s="1227" t="s">
        <v>1654</v>
      </c>
      <c r="G3" s="3057" t="s">
        <v>2920</v>
      </c>
      <c r="H3" s="2005"/>
      <c r="I3" s="2005"/>
      <c r="J3" s="2005"/>
      <c r="K3" s="2005"/>
      <c r="L3" s="2005"/>
      <c r="M3" s="2005"/>
      <c r="N3" s="2005"/>
      <c r="O3" s="2005"/>
      <c r="P3" s="2005"/>
      <c r="Q3" s="2005"/>
      <c r="R3" s="2005"/>
    </row>
    <row r="4" spans="1:18" ht="41.25">
      <c r="A4" s="1226"/>
      <c r="B4" s="1228" t="s">
        <v>1667</v>
      </c>
      <c r="C4" s="3054" t="s">
        <v>2922</v>
      </c>
      <c r="D4" s="2006"/>
      <c r="E4" s="1229"/>
      <c r="F4" s="1230" t="s">
        <v>1668</v>
      </c>
      <c r="G4" s="3055" t="s">
        <v>2917</v>
      </c>
      <c r="H4" s="2005"/>
      <c r="I4" s="2005"/>
      <c r="J4" s="2005"/>
      <c r="K4" s="2005"/>
      <c r="L4" s="2005"/>
      <c r="M4" s="2005"/>
      <c r="N4" s="2005"/>
      <c r="O4" s="2005"/>
      <c r="P4" s="2005"/>
      <c r="Q4" s="2005"/>
      <c r="R4" s="2005"/>
    </row>
    <row r="5" spans="1:18" ht="41.25">
      <c r="A5" s="1226"/>
      <c r="B5" s="1228" t="s">
        <v>1669</v>
      </c>
      <c r="C5" s="3054" t="s">
        <v>2923</v>
      </c>
      <c r="D5" s="2006"/>
      <c r="E5" s="1229"/>
      <c r="F5" s="1228" t="s">
        <v>2546</v>
      </c>
      <c r="G5" s="3055" t="s">
        <v>2918</v>
      </c>
      <c r="H5" s="2005"/>
      <c r="I5" s="2005"/>
      <c r="J5" s="2005"/>
      <c r="K5" s="2005"/>
      <c r="L5" s="2005"/>
      <c r="M5" s="2005"/>
      <c r="N5" s="2005"/>
      <c r="O5" s="2005"/>
      <c r="P5" s="2005"/>
      <c r="Q5" s="2005"/>
      <c r="R5" s="2005"/>
    </row>
    <row r="6" spans="1:18" ht="54">
      <c r="A6" s="1226"/>
      <c r="B6" s="1228" t="s">
        <v>1655</v>
      </c>
      <c r="C6" s="3055" t="s">
        <v>2917</v>
      </c>
      <c r="D6" s="2006"/>
      <c r="E6" s="1229"/>
      <c r="F6" s="1228" t="s">
        <v>2547</v>
      </c>
      <c r="G6" s="3055" t="s">
        <v>2915</v>
      </c>
      <c r="H6" s="2005"/>
      <c r="I6" s="2005"/>
      <c r="J6" s="2005"/>
      <c r="K6" s="2005"/>
      <c r="L6" s="2005"/>
      <c r="M6" s="2005"/>
      <c r="N6" s="2005"/>
      <c r="O6" s="2005"/>
      <c r="P6" s="2005"/>
      <c r="Q6" s="2005"/>
      <c r="R6" s="2005"/>
    </row>
    <row r="7" spans="1:18" ht="41.25" thickBot="1">
      <c r="A7" s="1226"/>
      <c r="B7" s="1228" t="s">
        <v>2546</v>
      </c>
      <c r="C7" s="3055" t="s">
        <v>2918</v>
      </c>
      <c r="D7" s="2007"/>
      <c r="E7" s="1231"/>
      <c r="F7" s="1232" t="s">
        <v>1670</v>
      </c>
      <c r="G7" s="3058" t="s">
        <v>2919</v>
      </c>
      <c r="H7" s="2005"/>
      <c r="I7" s="2005"/>
      <c r="J7" s="2005"/>
      <c r="K7" s="2005"/>
      <c r="L7" s="2005"/>
      <c r="M7" s="2005"/>
      <c r="N7" s="2005"/>
      <c r="O7" s="2005"/>
      <c r="P7" s="2005"/>
      <c r="Q7" s="2005"/>
      <c r="R7" s="2005"/>
    </row>
    <row r="8" spans="1:18" ht="27">
      <c r="A8" s="1226"/>
      <c r="B8" s="1228" t="s">
        <v>2547</v>
      </c>
      <c r="C8" s="3055" t="s">
        <v>2915</v>
      </c>
      <c r="D8" s="2007"/>
      <c r="E8" s="2007"/>
      <c r="F8" s="1551"/>
      <c r="G8" s="1551"/>
      <c r="H8" s="2005"/>
      <c r="I8" s="2005"/>
      <c r="J8" s="2005"/>
      <c r="K8" s="2005"/>
      <c r="L8" s="2005"/>
      <c r="M8" s="2005"/>
      <c r="N8" s="2005"/>
      <c r="O8" s="2005"/>
      <c r="P8" s="2005"/>
      <c r="Q8" s="2005"/>
      <c r="R8" s="2005"/>
    </row>
    <row r="9" spans="1:18" ht="40.5">
      <c r="A9" s="1226"/>
      <c r="B9" s="1228" t="s">
        <v>1656</v>
      </c>
      <c r="C9" s="3054" t="s">
        <v>2916</v>
      </c>
      <c r="D9" s="2006"/>
      <c r="E9" s="2007"/>
      <c r="F9" s="1551"/>
      <c r="G9" s="1551"/>
      <c r="H9" s="2005"/>
      <c r="I9" s="2005"/>
      <c r="J9" s="2005"/>
      <c r="K9" s="2005"/>
      <c r="L9" s="2005"/>
      <c r="M9" s="2005"/>
      <c r="N9" s="2005"/>
      <c r="O9" s="2005"/>
      <c r="P9" s="2005"/>
      <c r="Q9" s="2005"/>
      <c r="R9" s="2005"/>
    </row>
    <row r="10" spans="1:18" s="2013" customFormat="1" ht="15" thickBot="1">
      <c r="A10" s="1233"/>
      <c r="B10" s="1234" t="s">
        <v>1671</v>
      </c>
      <c r="C10" s="3056"/>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3"/>
      <c r="E12" s="2006"/>
      <c r="F12" s="2007"/>
      <c r="G12" s="2009"/>
      <c r="H12" s="2014"/>
      <c r="I12" s="2015"/>
      <c r="J12" s="2014"/>
      <c r="K12" s="2014"/>
      <c r="L12" s="2016"/>
      <c r="M12" s="2014"/>
      <c r="N12" s="2017"/>
      <c r="O12" s="2018"/>
      <c r="P12" s="2019"/>
      <c r="Q12" s="2017"/>
      <c r="R12" s="2003"/>
    </row>
    <row r="13" spans="1:18" ht="19.5" thickBot="1">
      <c r="A13" s="2552" t="s">
        <v>1672</v>
      </c>
      <c r="B13" s="2553"/>
      <c r="C13" s="2553"/>
      <c r="D13" s="1221"/>
      <c r="E13" s="2553"/>
      <c r="F13" s="2553"/>
      <c r="G13" s="2553"/>
    </row>
    <row r="14" spans="1:18" ht="14.25" thickBot="1">
      <c r="A14" s="1235"/>
      <c r="B14" s="1236"/>
      <c r="C14" s="1237" t="s">
        <v>1664</v>
      </c>
      <c r="D14" s="2006"/>
      <c r="E14" s="1238"/>
      <c r="F14" s="1238"/>
      <c r="G14" s="1220" t="s">
        <v>1665</v>
      </c>
    </row>
    <row r="15" spans="1:18" ht="54">
      <c r="A15" s="2563" t="s">
        <v>1657</v>
      </c>
      <c r="B15" s="1239" t="s">
        <v>1653</v>
      </c>
      <c r="C15" s="1240" t="str">
        <f>C3</f>
        <v>估价对象周边居住用地比例、居住小区规模和社区发展完善程度，综合评价居住社区成熟度一般</v>
      </c>
      <c r="D15" s="2006"/>
      <c r="E15" s="2560" t="s">
        <v>1658</v>
      </c>
      <c r="F15" s="1239" t="s">
        <v>1673</v>
      </c>
      <c r="G15" s="1241" t="str">
        <f>G3</f>
        <v>估价对象位于XX开发区，园区建设成熟度XX，产业集聚程度XX</v>
      </c>
    </row>
    <row r="16" spans="1:18" ht="40.5">
      <c r="A16" s="2564"/>
      <c r="B16" s="1242" t="s">
        <v>1667</v>
      </c>
      <c r="C16" s="1243" t="str">
        <f>C4</f>
        <v>估价对象位于XX商圈，周边商业氛围成熟，人流量大，商业繁华度好</v>
      </c>
      <c r="D16" s="2006"/>
      <c r="E16" s="2561"/>
      <c r="F16" s="1244" t="s">
        <v>1668</v>
      </c>
      <c r="G16" s="1002" t="str">
        <f>G4</f>
        <v>估价对象周边道路状况、公共交通通达情况、停车便捷程度，综合评价交通便捷度较好</v>
      </c>
    </row>
    <row r="17" spans="1:7" ht="40.5">
      <c r="A17" s="2564"/>
      <c r="B17" s="1242" t="s">
        <v>1669</v>
      </c>
      <c r="C17" s="1243" t="str">
        <f>C5</f>
        <v>估价对象位于XX商圈，周边办公楼项目较多，入驻率高，办公集聚程度较好</v>
      </c>
      <c r="D17" s="2007"/>
      <c r="E17" s="2561"/>
      <c r="F17" s="1244" t="s">
        <v>1674</v>
      </c>
      <c r="G17" s="2768"/>
    </row>
    <row r="18" spans="1:7" ht="54">
      <c r="A18" s="2564"/>
      <c r="B18" s="1244" t="s">
        <v>1655</v>
      </c>
      <c r="C18" s="1002" t="str">
        <f>C6</f>
        <v>估价对象周边道路状况、公共交通通达情况、停车便捷程度，综合评价交通便捷度较好</v>
      </c>
      <c r="D18" s="2007"/>
      <c r="E18" s="2561"/>
      <c r="F18" s="1244" t="s">
        <v>1670</v>
      </c>
      <c r="G18" s="1002" t="str">
        <f>G7</f>
        <v>该园区内是否有污染型企业，绿化情况，卫生条件，整体环境状况判断</v>
      </c>
    </row>
    <row r="19" spans="1:7" ht="27">
      <c r="A19" s="2564"/>
      <c r="B19" s="1244" t="s">
        <v>1659</v>
      </c>
      <c r="C19" s="2768"/>
      <c r="D19" s="2006"/>
      <c r="E19" s="2561"/>
      <c r="F19" s="1228" t="s">
        <v>2546</v>
      </c>
      <c r="G19" s="1002" t="str">
        <f>G5</f>
        <v>估价对象所在区域公共配套设施齐备情况</v>
      </c>
    </row>
    <row r="20" spans="1:7" ht="40.5">
      <c r="A20" s="2564"/>
      <c r="B20" s="1244" t="s">
        <v>1660</v>
      </c>
      <c r="C20" s="1243" t="str">
        <f>C9</f>
        <v>区域自然环境：；人文环境；综合评价环境状况一般</v>
      </c>
      <c r="D20" s="2007"/>
      <c r="E20" s="2561"/>
      <c r="F20" s="1228" t="s">
        <v>2547</v>
      </c>
      <c r="G20" s="1002" t="str">
        <f>G6</f>
        <v>估价对象所在区域基础设施水平</v>
      </c>
    </row>
    <row r="21" spans="1:7" ht="27">
      <c r="A21" s="2564"/>
      <c r="B21" s="1228" t="s">
        <v>2546</v>
      </c>
      <c r="C21" s="1002" t="str">
        <f>C7</f>
        <v>估价对象所在区域公共配套设施齐备情况</v>
      </c>
      <c r="D21" s="2006"/>
      <c r="E21" s="2561"/>
      <c r="F21" s="1244" t="s">
        <v>1661</v>
      </c>
      <c r="G21" s="3059"/>
    </row>
    <row r="22" spans="1:7" ht="27">
      <c r="A22" s="2564"/>
      <c r="B22" s="1228" t="s">
        <v>2547</v>
      </c>
      <c r="C22" s="1002" t="str">
        <f>C8</f>
        <v>估价对象所在区域基础设施水平</v>
      </c>
      <c r="D22" s="2006"/>
      <c r="E22" s="2561"/>
      <c r="F22" s="1244" t="s">
        <v>1671</v>
      </c>
      <c r="G22" s="2768"/>
    </row>
    <row r="23" spans="1:7" ht="15" thickBot="1">
      <c r="A23" s="2564"/>
      <c r="B23" s="1244" t="s">
        <v>1661</v>
      </c>
      <c r="C23" s="3059"/>
      <c r="E23" s="2562"/>
      <c r="F23" s="1245" t="s">
        <v>1675</v>
      </c>
      <c r="G23" s="3060"/>
    </row>
    <row r="24" spans="1:7" ht="14.25" thickBot="1">
      <c r="A24" s="2565"/>
      <c r="B24" s="1245" t="s">
        <v>1662</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D15"/>
    </sheetView>
  </sheetViews>
  <sheetFormatPr defaultColWidth="14.625" defaultRowHeight="13.5"/>
  <cols>
    <col min="1" max="1" width="24.375" customWidth="1"/>
  </cols>
  <sheetData>
    <row r="1" spans="1:9" ht="16.5">
      <c r="A1" s="3017" t="s">
        <v>2843</v>
      </c>
      <c r="B1" s="3017">
        <f>SUM(B14:B23)</f>
        <v>134607.67999999999</v>
      </c>
      <c r="C1" s="3018"/>
      <c r="D1" s="3018"/>
      <c r="E1" s="3018"/>
      <c r="F1" s="3018"/>
    </row>
    <row r="2" spans="1:9" ht="16.5">
      <c r="A2" s="3017" t="s">
        <v>2844</v>
      </c>
      <c r="B2" s="3017">
        <f>SUM(C14:C23)</f>
        <v>28318.17</v>
      </c>
      <c r="C2" s="3018"/>
      <c r="D2" s="3018"/>
      <c r="E2" s="3018"/>
      <c r="F2" s="3018"/>
    </row>
    <row r="3" spans="1:9" ht="16.5">
      <c r="A3" s="3017" t="s">
        <v>2845</v>
      </c>
      <c r="B3" s="3019">
        <f>项目基本情况!D3</f>
        <v>43510</v>
      </c>
      <c r="C3" s="3018"/>
      <c r="D3" s="3018"/>
      <c r="E3" s="3018"/>
      <c r="F3" s="3018"/>
    </row>
    <row r="4" spans="1:9" ht="33">
      <c r="A4" s="3017" t="s">
        <v>2846</v>
      </c>
      <c r="B4" s="3017" t="s">
        <v>2847</v>
      </c>
      <c r="C4" s="3017" t="s">
        <v>2848</v>
      </c>
      <c r="D4" s="3017" t="s">
        <v>2849</v>
      </c>
      <c r="E4" s="3018"/>
      <c r="F4" s="3018"/>
    </row>
    <row r="5" spans="1:9" ht="16.5">
      <c r="A5" s="3017" t="s">
        <v>2850</v>
      </c>
      <c r="B5" s="3017">
        <f ca="1">SUM(D14:D23)</f>
        <v>140091</v>
      </c>
      <c r="C5" s="3017">
        <f ca="1">ROUND(B5*10000/$B$1,0)</f>
        <v>10407</v>
      </c>
      <c r="D5" s="3017">
        <f ca="1">ROUND(B5*10000/$B$2,0)</f>
        <v>49470</v>
      </c>
      <c r="E5" s="3018"/>
      <c r="F5" s="3018"/>
    </row>
    <row r="6" spans="1:9" ht="16.5">
      <c r="A6" s="3017" t="s">
        <v>2851</v>
      </c>
      <c r="B6" s="3017">
        <f>SUM(G14:G23)</f>
        <v>0</v>
      </c>
      <c r="C6" s="3017">
        <f t="shared" ref="C6:C8" si="0">ROUND(B6*10000/$B$1,0)</f>
        <v>0</v>
      </c>
      <c r="D6" s="3017">
        <f t="shared" ref="D6:D8" si="1">ROUND(B6*10000/$B$2,0)</f>
        <v>0</v>
      </c>
      <c r="E6" s="3018"/>
      <c r="F6" s="3018"/>
    </row>
    <row r="7" spans="1:9" ht="16.5">
      <c r="A7" s="3017" t="s">
        <v>2852</v>
      </c>
      <c r="B7" s="3017">
        <f>SUM(H14:H23)</f>
        <v>0</v>
      </c>
      <c r="C7" s="3017">
        <f t="shared" si="0"/>
        <v>0</v>
      </c>
      <c r="D7" s="3017">
        <f t="shared" si="1"/>
        <v>0</v>
      </c>
      <c r="E7" s="3018"/>
      <c r="F7" s="3018"/>
    </row>
    <row r="8" spans="1:9" ht="16.5">
      <c r="A8" s="3017" t="s">
        <v>2853</v>
      </c>
      <c r="B8" s="3017">
        <f>SUM(I14:I23)</f>
        <v>0</v>
      </c>
      <c r="C8" s="3017">
        <f t="shared" si="0"/>
        <v>0</v>
      </c>
      <c r="D8" s="3017">
        <f t="shared" si="1"/>
        <v>0</v>
      </c>
      <c r="E8" s="3018"/>
      <c r="F8" s="3018"/>
    </row>
    <row r="9" spans="1:9" ht="16.5">
      <c r="A9" s="3017" t="s">
        <v>2854</v>
      </c>
      <c r="B9" s="3020"/>
      <c r="C9" s="3018"/>
      <c r="D9" s="3018"/>
      <c r="E9" s="3018"/>
      <c r="F9" s="3018"/>
    </row>
    <row r="10" spans="1:9" ht="16.5">
      <c r="A10" s="3017" t="s">
        <v>2855</v>
      </c>
      <c r="B10" s="3020"/>
      <c r="C10" s="3018"/>
      <c r="D10" s="3018"/>
      <c r="E10" s="3018"/>
      <c r="F10" s="3018"/>
    </row>
    <row r="11" spans="1:9" ht="16.5">
      <c r="A11" s="3017" t="s">
        <v>2872</v>
      </c>
      <c r="B11" s="3020"/>
      <c r="C11" s="3018"/>
      <c r="D11" s="3018"/>
      <c r="E11" s="3018"/>
      <c r="F11" s="3018"/>
    </row>
    <row r="12" spans="1:9" ht="16.5">
      <c r="A12" s="3018"/>
      <c r="B12" s="3018"/>
      <c r="C12" s="3018"/>
      <c r="D12" s="3018"/>
      <c r="E12" s="3018"/>
      <c r="F12" s="3018"/>
    </row>
    <row r="13" spans="1:9" ht="33">
      <c r="A13" s="3023" t="s">
        <v>2871</v>
      </c>
      <c r="B13" s="3021" t="s">
        <v>2843</v>
      </c>
      <c r="C13" s="3021" t="s">
        <v>2844</v>
      </c>
      <c r="D13" s="3021" t="s">
        <v>2856</v>
      </c>
      <c r="E13" s="3017" t="s">
        <v>2870</v>
      </c>
      <c r="F13" s="3017" t="s">
        <v>2849</v>
      </c>
      <c r="G13" s="3021" t="s">
        <v>2857</v>
      </c>
      <c r="H13" s="3021" t="s">
        <v>2858</v>
      </c>
      <c r="I13" s="3021" t="s">
        <v>2859</v>
      </c>
    </row>
    <row r="14" spans="1:9" ht="16.5">
      <c r="A14" s="3024" t="s">
        <v>2869</v>
      </c>
      <c r="B14" s="3021">
        <f>结果表!L38</f>
        <v>86130.880000000005</v>
      </c>
      <c r="C14" s="3021">
        <f>结果表!K38</f>
        <v>19600</v>
      </c>
      <c r="D14" s="3021">
        <f ca="1">结果表!C42</f>
        <v>87403</v>
      </c>
      <c r="E14" s="3021">
        <f ca="1">ROUND(D14*10000/B14,0)</f>
        <v>10148</v>
      </c>
      <c r="F14" s="3021">
        <f ca="1">ROUND(D14*10000/C14,0)</f>
        <v>44593</v>
      </c>
      <c r="G14" s="3021" t="str">
        <f>结果表!C44</f>
        <v>——</v>
      </c>
      <c r="H14" s="3021" t="str">
        <f>结果表!C45</f>
        <v>——</v>
      </c>
      <c r="I14" s="3021" t="str">
        <f>结果表!C46</f>
        <v>——</v>
      </c>
    </row>
    <row r="15" spans="1:9" ht="16.5">
      <c r="A15" s="3024" t="s">
        <v>2860</v>
      </c>
      <c r="B15" s="3025">
        <f>[1]系统读取表!$B$14</f>
        <v>48476.800000000003</v>
      </c>
      <c r="C15" s="3025">
        <f>[1]系统读取表!$C$14</f>
        <v>8718.17</v>
      </c>
      <c r="D15" s="3025">
        <f ca="1">[1]系统读取表!$D$14</f>
        <v>52688</v>
      </c>
      <c r="E15" s="3021">
        <f t="shared" ref="E15:E23" ca="1" si="2">ROUND(D15*10000/B15,0)</f>
        <v>10869</v>
      </c>
      <c r="F15" s="3021">
        <f t="shared" ref="F15:F23" ca="1" si="3">ROUND(D15*10000/C15,0)</f>
        <v>60435</v>
      </c>
      <c r="G15" s="3022"/>
      <c r="H15" s="3022"/>
      <c r="I15" s="3025"/>
    </row>
    <row r="16" spans="1:9" ht="16.5">
      <c r="A16" s="3024" t="s">
        <v>2861</v>
      </c>
      <c r="B16" s="3025"/>
      <c r="C16" s="3025"/>
      <c r="D16" s="3025"/>
      <c r="E16" s="3021" t="e">
        <f t="shared" si="2"/>
        <v>#DIV/0!</v>
      </c>
      <c r="F16" s="3021" t="e">
        <f t="shared" si="3"/>
        <v>#DIV/0!</v>
      </c>
      <c r="G16" s="3022"/>
      <c r="H16" s="3022"/>
      <c r="I16" s="3025"/>
    </row>
    <row r="17" spans="1:9" ht="16.5">
      <c r="A17" s="3024" t="s">
        <v>2862</v>
      </c>
      <c r="B17" s="3025"/>
      <c r="C17" s="3025"/>
      <c r="D17" s="3025"/>
      <c r="E17" s="3021" t="e">
        <f t="shared" si="2"/>
        <v>#DIV/0!</v>
      </c>
      <c r="F17" s="3021" t="e">
        <f t="shared" si="3"/>
        <v>#DIV/0!</v>
      </c>
      <c r="G17" s="3022"/>
      <c r="H17" s="3022"/>
      <c r="I17" s="3025"/>
    </row>
    <row r="18" spans="1:9" ht="16.5">
      <c r="A18" s="3024" t="s">
        <v>2863</v>
      </c>
      <c r="B18" s="3025"/>
      <c r="C18" s="3025"/>
      <c r="D18" s="3025"/>
      <c r="E18" s="3021" t="e">
        <f t="shared" si="2"/>
        <v>#DIV/0!</v>
      </c>
      <c r="F18" s="3021" t="e">
        <f t="shared" si="3"/>
        <v>#DIV/0!</v>
      </c>
      <c r="G18" s="3025"/>
      <c r="H18" s="3025"/>
      <c r="I18" s="3025"/>
    </row>
    <row r="19" spans="1:9" ht="16.5">
      <c r="A19" s="3024" t="s">
        <v>2864</v>
      </c>
      <c r="B19" s="3025"/>
      <c r="C19" s="3025"/>
      <c r="D19" s="3025"/>
      <c r="E19" s="3021" t="e">
        <f t="shared" si="2"/>
        <v>#DIV/0!</v>
      </c>
      <c r="F19" s="3021" t="e">
        <f t="shared" si="3"/>
        <v>#DIV/0!</v>
      </c>
      <c r="G19" s="3025"/>
      <c r="H19" s="3025"/>
      <c r="I19" s="3025"/>
    </row>
    <row r="20" spans="1:9" ht="16.5">
      <c r="A20" s="3024" t="s">
        <v>2865</v>
      </c>
      <c r="B20" s="3025"/>
      <c r="C20" s="3025"/>
      <c r="D20" s="3025"/>
      <c r="E20" s="3021" t="e">
        <f t="shared" si="2"/>
        <v>#DIV/0!</v>
      </c>
      <c r="F20" s="3021" t="e">
        <f t="shared" si="3"/>
        <v>#DIV/0!</v>
      </c>
      <c r="G20" s="3025"/>
      <c r="H20" s="3025"/>
      <c r="I20" s="3025"/>
    </row>
    <row r="21" spans="1:9" ht="16.5">
      <c r="A21" s="3024" t="s">
        <v>2866</v>
      </c>
      <c r="B21" s="3025"/>
      <c r="C21" s="3025"/>
      <c r="D21" s="3025"/>
      <c r="E21" s="3021" t="e">
        <f t="shared" si="2"/>
        <v>#DIV/0!</v>
      </c>
      <c r="F21" s="3021" t="e">
        <f t="shared" si="3"/>
        <v>#DIV/0!</v>
      </c>
      <c r="G21" s="3025"/>
      <c r="H21" s="3025"/>
      <c r="I21" s="3025"/>
    </row>
    <row r="22" spans="1:9" ht="16.5">
      <c r="A22" s="3024" t="s">
        <v>2867</v>
      </c>
      <c r="B22" s="3025"/>
      <c r="C22" s="3025"/>
      <c r="D22" s="3025"/>
      <c r="E22" s="3021" t="e">
        <f t="shared" si="2"/>
        <v>#DIV/0!</v>
      </c>
      <c r="F22" s="3021" t="e">
        <f t="shared" si="3"/>
        <v>#DIV/0!</v>
      </c>
      <c r="G22" s="3025"/>
      <c r="H22" s="3025"/>
      <c r="I22" s="3025"/>
    </row>
    <row r="23" spans="1:9" ht="16.5">
      <c r="A23" s="3024" t="s">
        <v>2868</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J30" sqref="J30"/>
    </sheetView>
  </sheetViews>
  <sheetFormatPr defaultColWidth="12.625" defaultRowHeight="21.75" customHeight="1"/>
  <cols>
    <col min="1" max="2" width="12.75" style="1247" bestFit="1" customWidth="1"/>
    <col min="3" max="4" width="12.625" style="1247" customWidth="1"/>
    <col min="5" max="9" width="12.75" style="1247" bestFit="1" customWidth="1"/>
    <col min="10" max="10" width="6.87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7"/>
  </cols>
  <sheetData>
    <row r="1" spans="1:22" ht="21.75" customHeight="1" thickBot="1">
      <c r="A1" s="1773" t="s">
        <v>2055</v>
      </c>
      <c r="B1" s="1774"/>
      <c r="C1" s="1802" t="s">
        <v>2056</v>
      </c>
      <c r="D1" s="1803" t="s">
        <v>3003</v>
      </c>
      <c r="E1" s="1802" t="s">
        <v>2057</v>
      </c>
      <c r="F1" s="1804" t="s">
        <v>3004</v>
      </c>
      <c r="G1" s="310"/>
      <c r="H1" s="310"/>
      <c r="I1" s="310"/>
      <c r="J1" s="2026"/>
      <c r="K1" s="2026"/>
      <c r="L1" s="2026"/>
      <c r="M1" s="2026"/>
      <c r="N1" s="2026"/>
      <c r="O1" s="2026"/>
      <c r="P1" s="2026"/>
      <c r="Q1" s="2026"/>
      <c r="R1" s="2026"/>
      <c r="S1" s="2026"/>
      <c r="T1" s="2026"/>
      <c r="U1" s="2026"/>
      <c r="V1" s="2026"/>
    </row>
    <row r="2" spans="1:22" ht="21.75" customHeight="1" thickBot="1">
      <c r="A2" s="3339" t="str">
        <f>项目基本情况!K2</f>
        <v>北京市一区西出让国有建设用地使用权</v>
      </c>
      <c r="B2" s="3340"/>
      <c r="C2" s="3341"/>
      <c r="D2" s="3341"/>
      <c r="E2" s="3341"/>
      <c r="F2" s="3341"/>
      <c r="G2" s="3340"/>
      <c r="H2" s="3340"/>
      <c r="I2" s="3342"/>
      <c r="J2" s="2027"/>
      <c r="K2" s="2026"/>
      <c r="L2" s="2026"/>
      <c r="M2" s="2026"/>
      <c r="N2" s="2026"/>
      <c r="O2" s="2026"/>
      <c r="P2" s="2026"/>
      <c r="Q2" s="2026"/>
      <c r="R2" s="2026"/>
      <c r="S2" s="2026"/>
      <c r="T2" s="2026"/>
      <c r="U2" s="2026"/>
      <c r="V2" s="2026"/>
    </row>
    <row r="3" spans="1:22" ht="14.25">
      <c r="A3" s="3350" t="s">
        <v>298</v>
      </c>
      <c r="B3" s="3351"/>
      <c r="C3" s="3351"/>
      <c r="D3" s="3351"/>
      <c r="E3" s="3351"/>
      <c r="F3" s="3351"/>
      <c r="G3" s="3351"/>
      <c r="H3" s="3351"/>
      <c r="I3" s="3351"/>
      <c r="J3" s="2027"/>
      <c r="K3" s="2026"/>
      <c r="L3" s="2026"/>
      <c r="M3" s="2026"/>
      <c r="N3" s="2026"/>
      <c r="O3" s="2026"/>
      <c r="P3" s="2026"/>
      <c r="Q3" s="2026"/>
      <c r="R3" s="2026"/>
      <c r="S3" s="2026"/>
      <c r="T3" s="2026"/>
      <c r="U3" s="2026"/>
      <c r="V3" s="2026"/>
    </row>
    <row r="4" spans="1:22" ht="14.25">
      <c r="A4" s="257" t="s">
        <v>299</v>
      </c>
      <c r="B4" s="258" t="s">
        <v>300</v>
      </c>
      <c r="C4" s="259" t="s">
        <v>3005</v>
      </c>
      <c r="D4" s="259" t="s">
        <v>3006</v>
      </c>
      <c r="E4" s="3314" t="s">
        <v>301</v>
      </c>
      <c r="F4" s="3356"/>
      <c r="G4" s="3356"/>
      <c r="H4" s="3356"/>
      <c r="I4" s="3315"/>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3" t="s">
        <v>302</v>
      </c>
      <c r="B5" s="3344">
        <v>25</v>
      </c>
      <c r="C5" s="3352"/>
      <c r="D5" s="3355"/>
      <c r="E5" s="260" t="s">
        <v>303</v>
      </c>
      <c r="F5" s="261"/>
      <c r="G5" s="261"/>
      <c r="H5" s="261"/>
      <c r="I5" s="262"/>
      <c r="J5" s="2027"/>
      <c r="K5" s="2026"/>
      <c r="L5" s="2026"/>
      <c r="M5" s="2026"/>
      <c r="N5" s="2026"/>
      <c r="O5" s="2026"/>
      <c r="P5" s="2026"/>
      <c r="Q5" s="2026"/>
      <c r="R5" s="2026"/>
      <c r="S5" s="2026"/>
      <c r="T5" s="2026"/>
      <c r="U5" s="2026"/>
      <c r="V5" s="2026"/>
    </row>
    <row r="6" spans="1:22" ht="14.25">
      <c r="A6" s="3343"/>
      <c r="B6" s="3344"/>
      <c r="C6" s="3353"/>
      <c r="D6" s="3355"/>
      <c r="E6" s="260" t="s">
        <v>304</v>
      </c>
      <c r="F6" s="261"/>
      <c r="G6" s="261"/>
      <c r="H6" s="261"/>
      <c r="I6" s="262"/>
      <c r="J6" s="2027"/>
      <c r="K6" s="2026"/>
      <c r="L6" s="2026"/>
      <c r="M6" s="2026"/>
      <c r="N6" s="2026"/>
      <c r="O6" s="2026"/>
      <c r="P6" s="2026"/>
      <c r="Q6" s="2026"/>
      <c r="R6" s="2026"/>
      <c r="S6" s="2026"/>
      <c r="T6" s="2026"/>
      <c r="U6" s="2026"/>
      <c r="V6" s="2026"/>
    </row>
    <row r="7" spans="1:22" ht="14.25">
      <c r="A7" s="3343"/>
      <c r="B7" s="3344"/>
      <c r="C7" s="3354"/>
      <c r="D7" s="3355"/>
      <c r="E7" s="260" t="s">
        <v>305</v>
      </c>
      <c r="F7" s="261"/>
      <c r="G7" s="261"/>
      <c r="H7" s="261"/>
      <c r="I7" s="262"/>
      <c r="J7" s="2027"/>
      <c r="K7" s="2026"/>
      <c r="L7" s="2026"/>
      <c r="M7" s="2026"/>
      <c r="N7" s="2026"/>
      <c r="O7" s="2026"/>
      <c r="P7" s="2026"/>
      <c r="Q7" s="2026"/>
      <c r="R7" s="2026"/>
      <c r="S7" s="2026"/>
      <c r="T7" s="2026"/>
      <c r="U7" s="2026"/>
      <c r="V7" s="2026"/>
    </row>
    <row r="8" spans="1:22" ht="14.25">
      <c r="A8" s="3343" t="s">
        <v>306</v>
      </c>
      <c r="B8" s="3344">
        <v>15</v>
      </c>
      <c r="C8" s="3352"/>
      <c r="D8" s="3355"/>
      <c r="E8" s="260" t="s">
        <v>307</v>
      </c>
      <c r="F8" s="261"/>
      <c r="G8" s="261"/>
      <c r="H8" s="261"/>
      <c r="I8" s="262"/>
      <c r="J8" s="2027"/>
      <c r="K8" s="2026"/>
      <c r="L8" s="2026"/>
      <c r="M8" s="2026"/>
      <c r="N8" s="2026"/>
      <c r="O8" s="2026"/>
      <c r="P8" s="2026"/>
      <c r="Q8" s="2026"/>
      <c r="R8" s="2026"/>
      <c r="S8" s="2026"/>
      <c r="T8" s="2026"/>
      <c r="U8" s="2026"/>
      <c r="V8" s="2026"/>
    </row>
    <row r="9" spans="1:22" ht="14.25">
      <c r="A9" s="3343"/>
      <c r="B9" s="3344"/>
      <c r="C9" s="3354"/>
      <c r="D9" s="3355"/>
      <c r="E9" s="260" t="s">
        <v>308</v>
      </c>
      <c r="F9" s="261"/>
      <c r="G9" s="261"/>
      <c r="H9" s="261"/>
      <c r="I9" s="262"/>
      <c r="J9" s="2027"/>
      <c r="K9" s="2026"/>
      <c r="L9" s="2026"/>
      <c r="M9" s="2026"/>
      <c r="N9" s="2026"/>
      <c r="O9" s="2026"/>
      <c r="P9" s="2026"/>
      <c r="Q9" s="2026"/>
      <c r="R9" s="2026"/>
      <c r="S9" s="2026"/>
      <c r="T9" s="2026"/>
      <c r="U9" s="2026"/>
      <c r="V9" s="2026"/>
    </row>
    <row r="10" spans="1:22" ht="14.25">
      <c r="A10" s="3343" t="s">
        <v>309</v>
      </c>
      <c r="B10" s="3344">
        <v>15</v>
      </c>
      <c r="C10" s="3352"/>
      <c r="D10" s="3355"/>
      <c r="E10" s="260" t="s">
        <v>310</v>
      </c>
      <c r="F10" s="261"/>
      <c r="G10" s="261"/>
      <c r="H10" s="261"/>
      <c r="I10" s="262"/>
      <c r="J10" s="2027"/>
      <c r="K10" s="2026"/>
      <c r="L10" s="2026"/>
      <c r="M10" s="2026"/>
      <c r="N10" s="2026"/>
      <c r="O10" s="2026"/>
      <c r="P10" s="2026"/>
      <c r="Q10" s="2026"/>
      <c r="R10" s="2026"/>
      <c r="S10" s="2026"/>
      <c r="T10" s="2026"/>
      <c r="U10" s="2026"/>
      <c r="V10" s="2026"/>
    </row>
    <row r="11" spans="1:22" ht="14.25">
      <c r="A11" s="3343"/>
      <c r="B11" s="3344"/>
      <c r="C11" s="3354"/>
      <c r="D11" s="3355"/>
      <c r="E11" s="260" t="s">
        <v>311</v>
      </c>
      <c r="F11" s="261"/>
      <c r="G11" s="261"/>
      <c r="H11" s="261"/>
      <c r="I11" s="262"/>
      <c r="J11" s="2027"/>
      <c r="K11" s="2026"/>
      <c r="L11" s="2026"/>
      <c r="M11" s="2026"/>
      <c r="N11" s="2026"/>
      <c r="O11" s="2026"/>
      <c r="P11" s="2026"/>
      <c r="Q11" s="2026"/>
      <c r="R11" s="2026"/>
      <c r="S11" s="2026"/>
      <c r="T11" s="2026"/>
      <c r="U11" s="2026"/>
      <c r="V11" s="2026"/>
    </row>
    <row r="12" spans="1:22" ht="14.25">
      <c r="A12" s="3343" t="s">
        <v>312</v>
      </c>
      <c r="B12" s="3344">
        <v>15</v>
      </c>
      <c r="C12" s="3352"/>
      <c r="D12" s="3355"/>
      <c r="E12" s="260" t="s">
        <v>313</v>
      </c>
      <c r="F12" s="261"/>
      <c r="G12" s="261"/>
      <c r="H12" s="261"/>
      <c r="I12" s="262"/>
      <c r="J12" s="2027"/>
      <c r="K12" s="2026"/>
      <c r="L12" s="2026"/>
      <c r="M12" s="2026"/>
      <c r="N12" s="2026"/>
      <c r="O12" s="2026"/>
      <c r="P12" s="2026"/>
      <c r="Q12" s="2026"/>
      <c r="R12" s="2026"/>
      <c r="S12" s="2026"/>
      <c r="T12" s="2026"/>
      <c r="U12" s="2026"/>
      <c r="V12" s="2026"/>
    </row>
    <row r="13" spans="1:22" ht="14.25">
      <c r="A13" s="3343"/>
      <c r="B13" s="3344"/>
      <c r="C13" s="3354"/>
      <c r="D13" s="3355"/>
      <c r="E13" s="260" t="s">
        <v>314</v>
      </c>
      <c r="F13" s="261"/>
      <c r="G13" s="261"/>
      <c r="H13" s="261"/>
      <c r="I13" s="262"/>
      <c r="J13" s="2027"/>
      <c r="K13" s="2026"/>
      <c r="L13" s="2026"/>
      <c r="M13" s="2026"/>
      <c r="N13" s="2026"/>
      <c r="O13" s="2026"/>
      <c r="P13" s="2026"/>
      <c r="Q13" s="2026"/>
      <c r="R13" s="2026"/>
      <c r="S13" s="2026"/>
      <c r="T13" s="2026"/>
      <c r="U13" s="2026"/>
      <c r="V13" s="2026"/>
    </row>
    <row r="14" spans="1:22" ht="14.25">
      <c r="A14" s="3343" t="s">
        <v>315</v>
      </c>
      <c r="B14" s="3344">
        <v>30</v>
      </c>
      <c r="C14" s="3352">
        <v>5</v>
      </c>
      <c r="D14" s="3355">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43"/>
      <c r="B15" s="3344"/>
      <c r="C15" s="3353"/>
      <c r="D15" s="3355"/>
      <c r="E15" s="260" t="s">
        <v>317</v>
      </c>
      <c r="F15" s="261"/>
      <c r="G15" s="261"/>
      <c r="H15" s="261"/>
      <c r="I15" s="262"/>
      <c r="J15" s="2027"/>
      <c r="K15" s="2026"/>
      <c r="L15" s="2026"/>
      <c r="M15" s="2026"/>
      <c r="N15" s="2026"/>
      <c r="O15" s="2026"/>
      <c r="P15" s="2026"/>
      <c r="Q15" s="2026"/>
      <c r="R15" s="2026"/>
      <c r="S15" s="2026"/>
      <c r="T15" s="2026"/>
      <c r="U15" s="2026"/>
      <c r="V15" s="2026"/>
    </row>
    <row r="16" spans="1:22" ht="14.25">
      <c r="A16" s="3343"/>
      <c r="B16" s="3344"/>
      <c r="C16" s="3354"/>
      <c r="D16" s="3355"/>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85610</v>
      </c>
      <c r="D19" s="270">
        <f ca="1">SUMIF(INDIRECT("'"&amp;D4&amp;"'"&amp;"!A:A"),结果表!B19,INDIRECT("'"&amp;D4&amp;"'"&amp;"!B:B"))</f>
        <v>89195</v>
      </c>
      <c r="E19" s="267" t="s">
        <v>323</v>
      </c>
      <c r="F19" s="268" t="s">
        <v>322</v>
      </c>
      <c r="G19" s="271">
        <f ca="1">ROUND(C19*$C$18+D19*$D$18,0)</f>
        <v>87403</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9940</v>
      </c>
      <c r="D20" s="276">
        <f ca="1">SUMIF(INDIRECT("'"&amp;D4&amp;"'"&amp;"!A:A"),结果表!B20,INDIRECT("'"&amp;D4&amp;"'"&amp;"!B:B"))</f>
        <v>10356</v>
      </c>
      <c r="E20" s="273"/>
      <c r="F20" s="274" t="s">
        <v>325</v>
      </c>
      <c r="G20" s="277">
        <f ca="1">ROUND(C20*$C$18+D20*$D$18,0)</f>
        <v>10148</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43679</v>
      </c>
      <c r="D21" s="151">
        <f ca="1">SUMIF(INDIRECT("'"&amp;D4&amp;"'"&amp;"!A:A"),结果表!B21,INDIRECT("'"&amp;D4&amp;"'"&amp;"!B:B"))</f>
        <v>45508</v>
      </c>
      <c r="E21" s="273"/>
      <c r="F21" s="279" t="s">
        <v>327</v>
      </c>
      <c r="G21" s="281">
        <f ca="1">ROUND(C21*$C$18+D21*$D$18,0)</f>
        <v>44594</v>
      </c>
      <c r="H21" s="1248" t="s">
        <v>326</v>
      </c>
      <c r="I21" s="310"/>
      <c r="J21" s="2026">
        <f ca="1">G21/'数据-汇总表'!I7</f>
        <v>17837.599999999999</v>
      </c>
      <c r="K21" s="2026"/>
      <c r="L21" s="2026"/>
      <c r="M21" s="2026"/>
      <c r="N21" s="2026"/>
      <c r="O21" s="2026"/>
      <c r="P21" s="2026"/>
      <c r="Q21" s="2026"/>
      <c r="R21" s="2026"/>
      <c r="S21" s="2026"/>
      <c r="T21" s="2026"/>
      <c r="U21" s="2026"/>
      <c r="V21" s="2026"/>
    </row>
    <row r="22" spans="1:26" ht="15.75" thickBot="1">
      <c r="A22" s="126" t="s">
        <v>328</v>
      </c>
      <c r="B22" s="1249"/>
      <c r="C22" s="1250"/>
      <c r="D22" s="282">
        <f ca="1">IF(C19&lt;D19,D19/C19-1,C19/D19-1)</f>
        <v>4.1875949071370266E-2</v>
      </c>
      <c r="E22" s="283"/>
      <c r="F22" s="284"/>
      <c r="G22" s="285">
        <f ca="1">ROUND(G19/('数据-汇总表'!D3/666.67),0)</f>
        <v>2973</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6"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8"/>
      <c r="B25" s="1318" t="s">
        <v>331</v>
      </c>
      <c r="C25" s="289">
        <f>IF(B30=0,0,C30)</f>
        <v>0</v>
      </c>
      <c r="D25" s="290"/>
      <c r="E25" s="310"/>
      <c r="F25" s="310"/>
      <c r="G25" s="310"/>
      <c r="H25" s="310"/>
      <c r="I25" s="310"/>
      <c r="J25" s="2026"/>
      <c r="K25" s="1252" t="str">
        <f ca="1">项目基本情况!B16&amp;"国有建设用地使用权价格："&amp;O38&amp;"万元"</f>
        <v>出让国有建设用地使用权价格：87403万元</v>
      </c>
      <c r="L25" s="1253"/>
      <c r="M25" s="1253"/>
      <c r="N25" s="1253"/>
      <c r="O25" s="1254"/>
      <c r="P25" s="2026"/>
      <c r="Q25" s="2026"/>
      <c r="R25" s="2026"/>
      <c r="S25" s="2026"/>
      <c r="T25" s="2026"/>
      <c r="U25" s="2026"/>
      <c r="V25" s="2026"/>
    </row>
    <row r="26" spans="1:26" s="1251" customFormat="1" ht="18">
      <c r="A26" s="292" t="s">
        <v>332</v>
      </c>
      <c r="B26" s="293" t="s">
        <v>333</v>
      </c>
      <c r="C26" s="293" t="s">
        <v>334</v>
      </c>
      <c r="D26" s="294" t="s">
        <v>335</v>
      </c>
      <c r="E26" s="310"/>
      <c r="F26" s="310"/>
      <c r="G26" s="310"/>
      <c r="H26" s="310"/>
      <c r="I26" s="310"/>
      <c r="J26" s="2026"/>
      <c r="K26" s="1255" t="str">
        <f ca="1">"大写金额：人民币"&amp;NUMBERSTRING(INT(O38*10000),2)&amp;"元整"</f>
        <v>大写金额：人民币捌亿柒仟肆佰零叁万元整</v>
      </c>
      <c r="L26" s="1249"/>
      <c r="M26" s="1249"/>
      <c r="N26" s="1249"/>
      <c r="O26" s="1248"/>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5" t="str">
        <f ca="1">"单位面积地价："&amp;M38&amp;"元/平方米"</f>
        <v>单位面积地价：44593元/平方米</v>
      </c>
      <c r="L27" s="1249"/>
      <c r="M27" s="1249"/>
      <c r="N27" s="1249"/>
      <c r="O27" s="1248"/>
      <c r="P27" s="2026"/>
      <c r="Q27" s="2026"/>
      <c r="R27" s="2026"/>
      <c r="S27" s="2026"/>
      <c r="T27" s="2026"/>
      <c r="U27" s="2026"/>
      <c r="V27" s="2026"/>
    </row>
    <row r="28" spans="1:26" ht="18.75" customHeight="1">
      <c r="A28" s="292"/>
      <c r="B28" s="293"/>
      <c r="C28" s="293"/>
      <c r="D28" s="294"/>
      <c r="E28" s="310"/>
      <c r="F28" s="310"/>
      <c r="G28" s="310"/>
      <c r="H28" s="310"/>
      <c r="I28" s="310"/>
      <c r="J28" s="2026"/>
      <c r="K28" s="1255" t="str">
        <f ca="1">"楼面地价："&amp;N38&amp;"元/平方米"</f>
        <v>楼面地价：10148元/平方米</v>
      </c>
      <c r="L28" s="1249"/>
      <c r="M28" s="1249"/>
      <c r="N28" s="1249"/>
      <c r="O28" s="1248"/>
      <c r="P28" s="2026"/>
      <c r="V28" s="2026"/>
    </row>
    <row r="29" spans="1:26" ht="18">
      <c r="A29" s="292"/>
      <c r="B29" s="293"/>
      <c r="C29" s="293"/>
      <c r="D29" s="294"/>
      <c r="E29" s="310"/>
      <c r="F29" s="310"/>
      <c r="G29" s="310"/>
      <c r="H29" s="310"/>
      <c r="I29" s="310"/>
      <c r="J29" s="2026"/>
      <c r="K29" s="1255" t="str">
        <f>IF(OR(项目基本情况!E8="抵押价格",项目基本情况!E8="已注销及未注销"),"抵押价格："&amp;O39&amp;"万元","——")</f>
        <v>——</v>
      </c>
      <c r="L29" s="1249"/>
      <c r="M29" s="1249"/>
      <c r="N29" s="1249"/>
      <c r="O29" s="1248"/>
      <c r="P29" s="2026"/>
      <c r="V29" s="2026"/>
    </row>
    <row r="30" spans="1:26" ht="18.75" thickBot="1">
      <c r="A30" s="3102" t="s">
        <v>336</v>
      </c>
      <c r="B30" s="308"/>
      <c r="C30" s="308"/>
      <c r="D30" s="309"/>
      <c r="E30" s="3103" t="s">
        <v>2969</v>
      </c>
      <c r="F30" s="310"/>
      <c r="G30" s="310"/>
      <c r="H30" s="310"/>
      <c r="I30" s="310"/>
      <c r="J30" s="2026"/>
      <c r="K30" s="1255" t="str">
        <f>IF(K29="——","——","大写金额：人民币"&amp;NUMBERSTRING(INT(O39*10000),2)&amp;"元整")</f>
        <v>——</v>
      </c>
      <c r="L30" s="1249"/>
      <c r="M30" s="1249"/>
      <c r="N30" s="1249"/>
      <c r="O30" s="1248"/>
      <c r="P30" s="2026"/>
      <c r="V30" s="2026"/>
    </row>
    <row r="31" spans="1:26" ht="24" customHeight="1" thickBot="1">
      <c r="A31" s="310"/>
      <c r="B31" s="310"/>
      <c r="C31" s="310"/>
      <c r="D31" s="310"/>
      <c r="E31" s="310"/>
      <c r="F31" s="310"/>
      <c r="G31" s="310"/>
      <c r="H31" s="310"/>
      <c r="I31" s="310"/>
      <c r="J31" s="2026"/>
      <c r="K31" s="2444" t="str">
        <f>IF(项目基本情况!E8="抵押价格","——","抵押担保权已注销时的抵押价格："&amp;O40&amp;"万元")</f>
        <v>抵押担保权已注销时的抵押价格：——万元</v>
      </c>
      <c r="L31" s="2440"/>
      <c r="M31" s="2440"/>
      <c r="N31" s="2440"/>
      <c r="O31" s="2441"/>
      <c r="P31" s="2026"/>
      <c r="V31" s="2026"/>
    </row>
    <row r="32" spans="1:26" ht="18.75" thickBot="1">
      <c r="A32" s="267" t="s">
        <v>337</v>
      </c>
      <c r="B32" s="1379" t="s">
        <v>1688</v>
      </c>
      <c r="C32" s="1380">
        <f ca="1">G19-C24</f>
        <v>87403</v>
      </c>
      <c r="D32" s="1381" t="s">
        <v>1689</v>
      </c>
      <c r="E32" s="310"/>
      <c r="F32" s="310"/>
      <c r="G32" s="310"/>
      <c r="H32" s="310"/>
      <c r="I32" s="310"/>
      <c r="J32" s="2026"/>
      <c r="K32" s="2439" t="e">
        <f>IF(K31="——","——","大写金额：人民币"&amp;NUMBERSTRING(INT(O40*10000),2)&amp;"元整")</f>
        <v>#VALUE!</v>
      </c>
      <c r="L32" s="2442"/>
      <c r="M32" s="2442"/>
      <c r="N32" s="2442"/>
      <c r="O32" s="2443"/>
      <c r="P32" s="2026"/>
      <c r="V32" s="2026"/>
    </row>
    <row r="33" spans="1:26" ht="18.75" thickBot="1">
      <c r="A33" s="297" t="s">
        <v>340</v>
      </c>
      <c r="B33" s="1382" t="s">
        <v>1690</v>
      </c>
      <c r="C33" s="263">
        <f ca="1">ROUND(C32*10000/'数据-汇总表'!E3,0)</f>
        <v>10148</v>
      </c>
      <c r="D33" s="1383" t="s">
        <v>1691</v>
      </c>
      <c r="E33" s="3316" t="s">
        <v>338</v>
      </c>
      <c r="F33" s="295" t="s">
        <v>339</v>
      </c>
      <c r="G33" s="296"/>
      <c r="H33" s="977"/>
      <c r="I33" s="1256"/>
      <c r="J33" s="2026"/>
      <c r="K33" s="1255" t="str">
        <f>IF(项目基本情况!E9="——","——","抵押净值："&amp;C46&amp;"万元")</f>
        <v>抵押净值：——万元</v>
      </c>
      <c r="L33" s="1249"/>
      <c r="M33" s="1249"/>
      <c r="N33" s="1249"/>
      <c r="O33" s="1248"/>
      <c r="P33" s="2026"/>
      <c r="V33" s="2026"/>
    </row>
    <row r="34" spans="1:26" s="1251" customFormat="1" ht="18.75" thickBot="1">
      <c r="A34" s="299"/>
      <c r="B34" s="1384" t="s">
        <v>1692</v>
      </c>
      <c r="C34" s="263">
        <f ca="1">ROUND(C32*10000/'数据-汇总表'!D3,0)</f>
        <v>44593</v>
      </c>
      <c r="D34" s="1385" t="s">
        <v>1691</v>
      </c>
      <c r="E34" s="3317"/>
      <c r="F34" s="127" t="s">
        <v>341</v>
      </c>
      <c r="G34" s="298"/>
      <c r="H34" s="105"/>
      <c r="I34" s="310"/>
      <c r="J34" s="2026"/>
      <c r="K34" s="1258" t="e">
        <f>IF(K33="——","——","大写金额：人民币"&amp;NUMBERSTRING(INT(O41*10000),2)&amp;"元整")</f>
        <v>#VALUE!</v>
      </c>
      <c r="L34" s="1259"/>
      <c r="M34" s="1259"/>
      <c r="N34" s="1259"/>
      <c r="O34" s="1260"/>
      <c r="P34" s="2026"/>
      <c r="Q34" s="291"/>
      <c r="R34" s="291"/>
      <c r="S34" s="291"/>
      <c r="T34" s="291"/>
      <c r="U34" s="291"/>
      <c r="V34" s="2026"/>
      <c r="W34" s="291"/>
      <c r="X34" s="291"/>
      <c r="Y34" s="291"/>
      <c r="Z34" s="291"/>
    </row>
    <row r="35" spans="1:26" ht="15.75" thickBot="1">
      <c r="A35" s="283"/>
      <c r="B35" s="1386"/>
      <c r="C35" s="1387">
        <f ca="1">ROUND(C32/('数据-汇总表'!D3/666.67),0)</f>
        <v>2973</v>
      </c>
      <c r="D35" s="1388" t="s">
        <v>1693</v>
      </c>
      <c r="E35" s="3318"/>
      <c r="F35" s="300" t="s">
        <v>342</v>
      </c>
      <c r="G35" s="979"/>
      <c r="H35" s="978" t="s">
        <v>343</v>
      </c>
      <c r="I35" s="310"/>
      <c r="J35" s="2026"/>
      <c r="K35" s="3322" t="s">
        <v>350</v>
      </c>
      <c r="L35" s="3322" t="s">
        <v>351</v>
      </c>
      <c r="M35" s="1261" t="s">
        <v>352</v>
      </c>
      <c r="N35" s="3322" t="s">
        <v>353</v>
      </c>
      <c r="O35" s="3322" t="s">
        <v>354</v>
      </c>
      <c r="P35" s="2026"/>
      <c r="V35" s="2026"/>
    </row>
    <row r="36" spans="1:26" ht="16.5" customHeight="1">
      <c r="A36" s="302" t="s">
        <v>344</v>
      </c>
      <c r="B36" s="303" t="s">
        <v>333</v>
      </c>
      <c r="C36" s="304" t="s">
        <v>345</v>
      </c>
      <c r="D36" s="304" t="s">
        <v>346</v>
      </c>
      <c r="E36" s="305" t="s">
        <v>347</v>
      </c>
      <c r="F36" s="310"/>
      <c r="G36" s="310"/>
      <c r="H36" s="310"/>
      <c r="I36" s="310"/>
      <c r="J36" s="2028"/>
      <c r="K36" s="3323"/>
      <c r="L36" s="3323"/>
      <c r="M36" s="1263" t="s">
        <v>355</v>
      </c>
      <c r="N36" s="3323"/>
      <c r="O36" s="3323"/>
      <c r="P36" s="2026"/>
      <c r="V36" s="2026"/>
    </row>
    <row r="37" spans="1:26" ht="16.5" customHeight="1" thickBot="1">
      <c r="A37" s="1257" t="s">
        <v>348</v>
      </c>
      <c r="B37" s="306"/>
      <c r="C37" s="293"/>
      <c r="D37" s="293"/>
      <c r="E37" s="294"/>
      <c r="F37" s="310"/>
      <c r="G37" s="310"/>
      <c r="H37" s="310"/>
      <c r="I37" s="310"/>
      <c r="J37" s="2028"/>
      <c r="K37" s="3324"/>
      <c r="L37" s="3324"/>
      <c r="M37" s="1264"/>
      <c r="N37" s="3324"/>
      <c r="O37" s="3324"/>
      <c r="P37" s="2026"/>
      <c r="V37" s="2026"/>
    </row>
    <row r="38" spans="1:26" ht="16.5" customHeight="1" thickBot="1">
      <c r="A38" s="1257" t="s">
        <v>349</v>
      </c>
      <c r="B38" s="306"/>
      <c r="C38" s="293"/>
      <c r="D38" s="293"/>
      <c r="E38" s="294"/>
      <c r="F38" s="310"/>
      <c r="G38" s="310"/>
      <c r="H38" s="310"/>
      <c r="I38" s="310"/>
      <c r="J38" s="2028"/>
      <c r="K38" s="1265">
        <f>'数据-汇总表'!D3</f>
        <v>19600</v>
      </c>
      <c r="L38" s="1266">
        <f>'数据-汇总表'!E3</f>
        <v>86130.880000000005</v>
      </c>
      <c r="M38" s="1266">
        <f ca="1">C34</f>
        <v>44593</v>
      </c>
      <c r="N38" s="1266">
        <f ca="1">C33</f>
        <v>10148</v>
      </c>
      <c r="O38" s="1267">
        <f ca="1">C32</f>
        <v>87403</v>
      </c>
      <c r="P38" s="2026"/>
      <c r="V38" s="2026"/>
    </row>
    <row r="39" spans="1:26" ht="16.5" customHeight="1" thickBot="1">
      <c r="A39" s="1262"/>
      <c r="B39" s="307"/>
      <c r="C39" s="308"/>
      <c r="D39" s="308"/>
      <c r="E39" s="309"/>
      <c r="F39" s="310"/>
      <c r="G39" s="310"/>
      <c r="H39" s="310"/>
      <c r="I39" s="310"/>
      <c r="J39" s="2028"/>
      <c r="K39" s="3299" t="str">
        <f>MID(A44,3,LEN(A44)-2)</f>
        <v/>
      </c>
      <c r="L39" s="3300"/>
      <c r="M39" s="3300"/>
      <c r="N39" s="3301"/>
      <c r="O39" s="1390" t="str">
        <f>C44</f>
        <v>——</v>
      </c>
      <c r="P39" s="2026"/>
      <c r="V39" s="2026"/>
    </row>
    <row r="40" spans="1:26" ht="19.5" thickBot="1">
      <c r="A40" s="104" t="s">
        <v>872</v>
      </c>
      <c r="B40" s="310"/>
      <c r="C40" s="310"/>
      <c r="D40" s="310"/>
      <c r="E40" s="310"/>
      <c r="F40" s="310"/>
      <c r="G40" s="310"/>
      <c r="H40" s="310"/>
      <c r="I40" s="310"/>
      <c r="J40" s="2028"/>
      <c r="K40" s="3299" t="str">
        <f t="shared" ref="K40:K41" si="0">MID(A45,3,LEN(A45)-2)</f>
        <v/>
      </c>
      <c r="L40" s="3300"/>
      <c r="M40" s="3300"/>
      <c r="N40" s="3301"/>
      <c r="O40" s="1390" t="str">
        <f>C45</f>
        <v>——</v>
      </c>
      <c r="P40" s="2026"/>
      <c r="V40" s="2026"/>
    </row>
    <row r="41" spans="1:26" ht="16.5" thickBot="1">
      <c r="A41" s="311" t="s">
        <v>356</v>
      </c>
      <c r="B41" s="312"/>
      <c r="C41" s="313" t="s">
        <v>357</v>
      </c>
      <c r="D41" s="314" t="s">
        <v>358</v>
      </c>
      <c r="E41" s="314" t="s">
        <v>359</v>
      </c>
      <c r="F41" s="315" t="s">
        <v>360</v>
      </c>
      <c r="G41" s="310"/>
      <c r="H41" s="310"/>
      <c r="I41" s="310"/>
      <c r="J41" s="2028"/>
      <c r="K41" s="3299" t="str">
        <f t="shared" si="0"/>
        <v/>
      </c>
      <c r="L41" s="3300"/>
      <c r="M41" s="3300"/>
      <c r="N41" s="3301"/>
      <c r="O41" s="1390" t="str">
        <f>C46</f>
        <v>——</v>
      </c>
      <c r="P41" s="2026"/>
      <c r="V41" s="2026"/>
    </row>
    <row r="42" spans="1:26" ht="29.25">
      <c r="A42" s="3359" t="s">
        <v>2067</v>
      </c>
      <c r="B42" s="3360"/>
      <c r="C42" s="263">
        <f ca="1">C32</f>
        <v>87403</v>
      </c>
      <c r="D42" s="316">
        <f ca="1">C33</f>
        <v>10148</v>
      </c>
      <c r="E42" s="316">
        <f ca="1">C34</f>
        <v>44593</v>
      </c>
      <c r="F42" s="317">
        <f ca="1">C35</f>
        <v>2973</v>
      </c>
      <c r="G42" s="310"/>
      <c r="H42" s="310"/>
      <c r="I42" s="318"/>
      <c r="J42" s="2028"/>
      <c r="K42" s="1268" t="s">
        <v>361</v>
      </c>
      <c r="L42" s="2045" t="s">
        <v>362</v>
      </c>
      <c r="M42" s="1269" t="s">
        <v>363</v>
      </c>
      <c r="N42" s="2046" t="s">
        <v>364</v>
      </c>
      <c r="O42" s="2047" t="s">
        <v>365</v>
      </c>
      <c r="P42" s="2026"/>
      <c r="V42" s="2026"/>
    </row>
    <row r="43" spans="1:26" ht="30">
      <c r="A43" s="3369" t="s">
        <v>2729</v>
      </c>
      <c r="B43" s="3370"/>
      <c r="C43" s="263">
        <f>IF(H33="正常操作",G33+G34+G35,G34+G35)</f>
        <v>0</v>
      </c>
      <c r="D43" s="316" t="s">
        <v>43</v>
      </c>
      <c r="E43" s="316" t="s">
        <v>44</v>
      </c>
      <c r="F43" s="317" t="s">
        <v>44</v>
      </c>
      <c r="G43" s="2841" t="s">
        <v>951</v>
      </c>
      <c r="H43" s="310"/>
      <c r="I43" s="318"/>
      <c r="J43" s="2028"/>
      <c r="K43" s="1270" t="str">
        <f>C4</f>
        <v>比较法-住宅、综合</v>
      </c>
      <c r="L43" s="1271">
        <f ca="1">IF(L42="估价结果/万元",C19,C20)</f>
        <v>85610</v>
      </c>
      <c r="M43" s="1272">
        <f>C18</f>
        <v>0.5</v>
      </c>
      <c r="N43" s="1273">
        <f ca="1">IF(N42="测算结果/万元",G19,G20)</f>
        <v>87403</v>
      </c>
      <c r="O43" s="1274">
        <f ca="1">IF(O42="最终结果/万元",C32,C33)</f>
        <v>87403</v>
      </c>
      <c r="P43" s="2026"/>
      <c r="V43" s="2026"/>
    </row>
    <row r="44" spans="1:26" ht="30.75" thickBot="1">
      <c r="A44" s="3359" t="str">
        <f>IF(OR(项目基本情况!E8="抵押价格",项目基本情况!E8="已注销及未注销"),"3.抵押价格","——")</f>
        <v>——</v>
      </c>
      <c r="B44" s="3360"/>
      <c r="C44" s="263" t="str">
        <f>IF(A44="——","——",C42-C43)</f>
        <v>——</v>
      </c>
      <c r="D44" s="316" t="e">
        <f>ROUND(C44*10000/'数据-汇总表'!E3,0)</f>
        <v>#VALUE!</v>
      </c>
      <c r="E44" s="316" t="e">
        <f>ROUND(C44*10000/'数据-汇总表'!D3,0)</f>
        <v>#VALUE!</v>
      </c>
      <c r="F44" s="317" t="e">
        <f>ROUND(C44/('数据-汇总表'!D3/666.67),0)</f>
        <v>#VALUE!</v>
      </c>
      <c r="G44" s="310"/>
      <c r="H44" s="310"/>
      <c r="I44" s="318"/>
      <c r="J44" s="2028"/>
      <c r="K44" s="1275" t="str">
        <f>D4</f>
        <v>剩余法-待开发</v>
      </c>
      <c r="L44" s="1276">
        <f ca="1">IF(L42="估价结果/万元",D19,D20)</f>
        <v>89195</v>
      </c>
      <c r="M44" s="1277">
        <f>D18</f>
        <v>0.5</v>
      </c>
      <c r="N44" s="1278"/>
      <c r="O44" s="1279"/>
      <c r="P44" s="2026"/>
      <c r="V44" s="2026"/>
    </row>
    <row r="45" spans="1:26" ht="15">
      <c r="A45" s="3364" t="str">
        <f>IF(项目基本情况!E8="已注销及未注销","4.抵押担保权已注销时的抵押价格",IF(项目基本情况!E8="已注销","3.抵押担保权已注销时的抵押价格","——"))</f>
        <v>——</v>
      </c>
      <c r="B45" s="3365"/>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61" t="str">
        <f>IF(项目基本情况!E9="抵押净值",IF(A45="——","4.抵押净值","5.抵押净值"),"——")</f>
        <v>——</v>
      </c>
      <c r="B46" s="3362"/>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0"/>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27" t="s">
        <v>374</v>
      </c>
      <c r="B63" s="3328"/>
      <c r="C63" s="3329"/>
      <c r="D63" s="340">
        <f ca="1">ROUND(C42*F63,0)</f>
        <v>52442</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66" t="s">
        <v>378</v>
      </c>
      <c r="B64" s="3367"/>
      <c r="C64" s="3367"/>
      <c r="D64" s="3367"/>
      <c r="E64" s="3367"/>
      <c r="F64" s="3367"/>
      <c r="G64" s="3368"/>
      <c r="H64" s="1285"/>
      <c r="I64" s="947"/>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5"/>
      <c r="I65" s="947"/>
      <c r="J65" s="1988"/>
      <c r="K65" s="1286"/>
      <c r="L65" s="1287"/>
      <c r="M65" s="1287"/>
      <c r="N65" s="1319" t="s">
        <v>379</v>
      </c>
      <c r="O65" s="1320"/>
      <c r="P65" s="1321"/>
      <c r="Q65" s="2026"/>
      <c r="R65" s="2026"/>
      <c r="S65" s="2026"/>
      <c r="T65" s="2026"/>
      <c r="U65" s="2026"/>
      <c r="V65" s="2026"/>
    </row>
    <row r="66" spans="1:22" ht="25.5">
      <c r="A66" s="3363" t="s">
        <v>386</v>
      </c>
      <c r="B66" s="3334"/>
      <c r="C66" s="3334"/>
      <c r="D66" s="260">
        <f ca="1">IF(H66="情况1",0,IF(H66="情况2",D70,IF(H66="情况3",D71,IF(H66="情况4",D72))))</f>
        <v>2797</v>
      </c>
      <c r="E66" s="990" t="str">
        <f>IF(H66="情况4","(销售额-原购置价)×税（费）率","销售额×税（费）率")</f>
        <v>销售额×税（费）率</v>
      </c>
      <c r="F66" s="349">
        <f>IF(H66="情况1","免征",'数据-取费表'!B41)</f>
        <v>5.6000000000000001E-2</v>
      </c>
      <c r="G66" s="350" t="s">
        <v>387</v>
      </c>
      <c r="H66" s="191" t="s">
        <v>388</v>
      </c>
      <c r="I66" s="1285"/>
      <c r="J66" s="2032"/>
      <c r="K66" s="1288">
        <v>1</v>
      </c>
      <c r="L66" s="3303" t="s">
        <v>385</v>
      </c>
      <c r="M66" s="3304"/>
      <c r="N66" s="2434"/>
      <c r="O66" s="2435"/>
      <c r="P66" s="2436"/>
      <c r="Q66" s="2026"/>
      <c r="R66" s="2026"/>
      <c r="S66" s="2026"/>
      <c r="T66" s="2026"/>
      <c r="U66" s="2026"/>
      <c r="V66" s="2026"/>
    </row>
    <row r="67" spans="1:22" ht="25.5" customHeight="1">
      <c r="A67" s="351" t="s">
        <v>390</v>
      </c>
      <c r="B67" s="3346" t="s">
        <v>391</v>
      </c>
      <c r="C67" s="3346"/>
      <c r="D67" s="352">
        <v>0</v>
      </c>
      <c r="E67" s="41" t="s">
        <v>392</v>
      </c>
      <c r="F67" s="62" t="s">
        <v>21</v>
      </c>
      <c r="G67" s="3330"/>
      <c r="H67" s="310"/>
      <c r="I67" s="1289"/>
      <c r="J67" s="2033"/>
      <c r="K67" s="1974">
        <v>2</v>
      </c>
      <c r="L67" s="3302" t="s">
        <v>389</v>
      </c>
      <c r="M67" s="3302"/>
      <c r="N67" s="1322">
        <f>'数据-取费表'!B2</f>
        <v>43510</v>
      </c>
      <c r="O67" s="1322"/>
      <c r="P67" s="1322"/>
      <c r="Q67" s="2026"/>
      <c r="R67" s="2026"/>
      <c r="S67" s="2026"/>
      <c r="T67" s="2026"/>
      <c r="U67" s="2026"/>
      <c r="V67" s="2026"/>
    </row>
    <row r="68" spans="1:22" ht="25.5" customHeight="1">
      <c r="A68" s="353"/>
      <c r="B68" s="3346" t="s">
        <v>394</v>
      </c>
      <c r="C68" s="3346"/>
      <c r="D68" s="354"/>
      <c r="E68" s="77"/>
      <c r="F68" s="355"/>
      <c r="G68" s="3331"/>
      <c r="H68" s="310"/>
      <c r="I68" s="1289"/>
      <c r="J68" s="2033"/>
      <c r="K68" s="1974">
        <v>3</v>
      </c>
      <c r="L68" s="3302" t="s">
        <v>393</v>
      </c>
      <c r="M68" s="3302"/>
      <c r="N68" s="1290">
        <f ca="1">C42</f>
        <v>87403</v>
      </c>
      <c r="O68" s="1290"/>
      <c r="P68" s="1290"/>
      <c r="Q68" s="2026"/>
      <c r="R68" s="2026"/>
      <c r="S68" s="2026"/>
      <c r="T68" s="2026"/>
      <c r="U68" s="2026"/>
      <c r="V68" s="2026"/>
    </row>
    <row r="69" spans="1:22" ht="12" customHeight="1">
      <c r="A69" s="356"/>
      <c r="B69" s="3346" t="s">
        <v>395</v>
      </c>
      <c r="C69" s="3346"/>
      <c r="D69" s="357"/>
      <c r="E69" s="73"/>
      <c r="F69" s="355"/>
      <c r="G69" s="3332"/>
      <c r="H69" s="310"/>
      <c r="I69" s="1289"/>
      <c r="J69" s="2033"/>
      <c r="K69" s="1291">
        <v>4</v>
      </c>
      <c r="L69" s="3308" t="s">
        <v>2882</v>
      </c>
      <c r="M69" s="3309"/>
      <c r="N69" s="1292" t="str">
        <f>C44</f>
        <v>——</v>
      </c>
      <c r="O69" s="1292"/>
      <c r="P69" s="1292"/>
      <c r="Q69" s="2026"/>
      <c r="R69" s="2026"/>
      <c r="S69" s="2026"/>
      <c r="T69" s="2026"/>
      <c r="U69" s="2026"/>
      <c r="V69" s="2026"/>
    </row>
    <row r="70" spans="1:22" ht="24" customHeight="1">
      <c r="A70" s="358" t="s">
        <v>396</v>
      </c>
      <c r="B70" s="3346" t="s">
        <v>397</v>
      </c>
      <c r="C70" s="3346"/>
      <c r="D70" s="357">
        <f ca="1">ROUND(D63*'数据-取费表'!B41/(1+'数据-取费表'!C42),0)</f>
        <v>2797</v>
      </c>
      <c r="E70" s="17" t="s">
        <v>398</v>
      </c>
      <c r="F70" s="359">
        <f>'数据-取费表'!B41</f>
        <v>5.6000000000000001E-2</v>
      </c>
      <c r="G70" s="360"/>
      <c r="H70" s="310"/>
      <c r="I70" s="1289"/>
      <c r="J70" s="2033"/>
      <c r="K70" s="3034"/>
      <c r="L70" s="3035"/>
      <c r="M70" s="3035"/>
      <c r="N70" s="3036" t="s">
        <v>2887</v>
      </c>
      <c r="O70" s="3035"/>
      <c r="P70" s="3037"/>
      <c r="Q70" s="2026"/>
      <c r="R70" s="2026"/>
      <c r="S70" s="2026"/>
      <c r="T70" s="2026"/>
      <c r="U70" s="2026"/>
      <c r="V70" s="2026"/>
    </row>
    <row r="71" spans="1:22" ht="12" customHeight="1">
      <c r="A71" s="358" t="s">
        <v>404</v>
      </c>
      <c r="B71" s="3345" t="s">
        <v>405</v>
      </c>
      <c r="C71" s="3357"/>
      <c r="D71" s="357">
        <f ca="1">ROUND(D63*'数据-取费表'!B41/(1+'数据-取费表'!C42),0)</f>
        <v>2797</v>
      </c>
      <c r="E71" s="17" t="s">
        <v>398</v>
      </c>
      <c r="F71" s="359">
        <f>'数据-取费表'!B41</f>
        <v>5.6000000000000001E-2</v>
      </c>
      <c r="G71" s="360"/>
      <c r="H71" s="310"/>
      <c r="I71" s="1289"/>
      <c r="J71" s="2033"/>
      <c r="K71" s="3033" t="s">
        <v>399</v>
      </c>
      <c r="L71" s="3310" t="s">
        <v>400</v>
      </c>
      <c r="M71" s="3310"/>
      <c r="N71" s="3033" t="s">
        <v>401</v>
      </c>
      <c r="O71" s="3033" t="s">
        <v>402</v>
      </c>
      <c r="P71" s="3033" t="s">
        <v>403</v>
      </c>
      <c r="Q71" s="2026"/>
      <c r="R71" s="2026"/>
      <c r="S71" s="2026"/>
      <c r="T71" s="2026"/>
      <c r="U71" s="2026"/>
      <c r="V71" s="2026"/>
    </row>
    <row r="72" spans="1:22" ht="12" customHeight="1">
      <c r="A72" s="358" t="s">
        <v>407</v>
      </c>
      <c r="B72" s="3345" t="s">
        <v>408</v>
      </c>
      <c r="C72" s="3357"/>
      <c r="D72" s="357">
        <f ca="1">C86</f>
        <v>2685</v>
      </c>
      <c r="E72" s="73" t="s">
        <v>409</v>
      </c>
      <c r="F72" s="359">
        <f>'数据-取费表'!B41</f>
        <v>5.6000000000000001E-2</v>
      </c>
      <c r="G72" s="360"/>
      <c r="H72" s="1295"/>
      <c r="I72" s="1289"/>
      <c r="J72" s="2033"/>
      <c r="K72" s="1974">
        <v>1</v>
      </c>
      <c r="L72" s="3307" t="s">
        <v>406</v>
      </c>
      <c r="M72" s="3307"/>
      <c r="N72" s="1293">
        <f ca="1">D66</f>
        <v>2797</v>
      </c>
      <c r="O72" s="1857" t="str">
        <f>E66</f>
        <v>销售额×税（费）率</v>
      </c>
      <c r="P72" s="1294">
        <f>F66</f>
        <v>5.6000000000000001E-2</v>
      </c>
      <c r="Q72" s="2026"/>
      <c r="R72" s="2026"/>
      <c r="S72" s="2026"/>
      <c r="T72" s="2026"/>
      <c r="U72" s="2026"/>
      <c r="V72" s="2026"/>
    </row>
    <row r="73" spans="1:22" ht="24" customHeight="1">
      <c r="A73" s="3333" t="s">
        <v>411</v>
      </c>
      <c r="B73" s="3334"/>
      <c r="C73" s="3334"/>
      <c r="D73" s="361">
        <f>IF(H73="个人住宅",0,ROUND(D63*I73,0))</f>
        <v>0</v>
      </c>
      <c r="E73" s="17" t="s">
        <v>412</v>
      </c>
      <c r="F73" s="359" t="str">
        <f>IF(H73="正常",I73,"免征")</f>
        <v>免征</v>
      </c>
      <c r="G73" s="360"/>
      <c r="H73" s="191" t="s">
        <v>2455</v>
      </c>
      <c r="I73" s="359">
        <f>'数据-取费表'!B49</f>
        <v>5.0000000000000001E-4</v>
      </c>
      <c r="J73" s="2033"/>
      <c r="K73" s="1974">
        <v>2</v>
      </c>
      <c r="L73" s="3307" t="s">
        <v>410</v>
      </c>
      <c r="M73" s="3307"/>
      <c r="N73" s="1293">
        <f t="shared" ref="N73:P74" si="1">D73</f>
        <v>0</v>
      </c>
      <c r="O73" s="1857" t="str">
        <f t="shared" si="1"/>
        <v>销售额×税（费）率</v>
      </c>
      <c r="P73" s="1294" t="str">
        <f t="shared" si="1"/>
        <v>免征</v>
      </c>
      <c r="Q73" s="2026"/>
      <c r="R73" s="2026"/>
      <c r="S73" s="2026"/>
      <c r="T73" s="2026"/>
      <c r="U73" s="2026"/>
      <c r="V73" s="2026"/>
    </row>
    <row r="74" spans="1:22" ht="24.75">
      <c r="A74" s="3333" t="s">
        <v>415</v>
      </c>
      <c r="B74" s="3334"/>
      <c r="C74" s="3334"/>
      <c r="D74" s="361">
        <f ca="1">IF(H74="个人住宅",D75,D76)</f>
        <v>29027</v>
      </c>
      <c r="E74" s="17" t="s">
        <v>416</v>
      </c>
      <c r="F74" s="359" t="str">
        <f>IF(H74="正常",F76,"免征")</f>
        <v>——</v>
      </c>
      <c r="G74" s="980" t="s">
        <v>417</v>
      </c>
      <c r="H74" s="362" t="s">
        <v>413</v>
      </c>
      <c r="I74" s="42"/>
      <c r="J74" s="2033"/>
      <c r="K74" s="1974">
        <v>3</v>
      </c>
      <c r="L74" s="3307" t="s">
        <v>414</v>
      </c>
      <c r="M74" s="3307"/>
      <c r="N74" s="1293">
        <f t="shared" ca="1" si="1"/>
        <v>29027</v>
      </c>
      <c r="O74" s="1857" t="str">
        <f t="shared" si="1"/>
        <v>增值额×税（费）率</v>
      </c>
      <c r="P74" s="1296" t="str">
        <f t="shared" si="1"/>
        <v>——</v>
      </c>
      <c r="Q74" s="2026"/>
      <c r="R74" s="2026"/>
      <c r="S74" s="2026"/>
      <c r="T74" s="2026"/>
      <c r="U74" s="2026"/>
      <c r="V74" s="2026"/>
    </row>
    <row r="75" spans="1:22" ht="24">
      <c r="A75" s="358" t="s">
        <v>418</v>
      </c>
      <c r="B75" s="3314" t="s">
        <v>419</v>
      </c>
      <c r="C75" s="3315"/>
      <c r="D75" s="363">
        <v>0</v>
      </c>
      <c r="E75" s="41" t="s">
        <v>420</v>
      </c>
      <c r="F75" s="364"/>
      <c r="G75" s="360"/>
      <c r="H75" s="42"/>
      <c r="I75" s="42"/>
      <c r="J75" s="2033"/>
      <c r="K75" s="3026">
        <f>IF(H77="非个人房产","",4)</f>
        <v>4</v>
      </c>
      <c r="L75" s="3307" t="str">
        <f>IF(H77="非个人房产","——","个人所得税")</f>
        <v>个人所得税</v>
      </c>
      <c r="M75" s="3307"/>
      <c r="N75" s="1297">
        <f ca="1">D77</f>
        <v>524</v>
      </c>
      <c r="O75" s="1870" t="str">
        <f>E77</f>
        <v>销售额×税（费）率</v>
      </c>
      <c r="P75" s="1298">
        <f>F77</f>
        <v>0.01</v>
      </c>
      <c r="Q75" s="2026"/>
      <c r="R75" s="2026"/>
      <c r="S75" s="2026"/>
      <c r="T75" s="2026"/>
      <c r="U75" s="2026"/>
      <c r="V75" s="2026"/>
    </row>
    <row r="76" spans="1:22" ht="24.75">
      <c r="A76" s="358" t="s">
        <v>396</v>
      </c>
      <c r="B76" s="3314" t="s">
        <v>422</v>
      </c>
      <c r="C76" s="3356"/>
      <c r="D76" s="361">
        <f ca="1">IF(H76="转让取得",C99,C115)</f>
        <v>29027</v>
      </c>
      <c r="E76" s="17" t="s">
        <v>423</v>
      </c>
      <c r="F76" s="53" t="s">
        <v>21</v>
      </c>
      <c r="G76" s="360"/>
      <c r="H76" s="362" t="s">
        <v>424</v>
      </c>
      <c r="I76" s="42"/>
      <c r="J76" s="2033"/>
      <c r="K76" s="3026" t="str">
        <f>IF(项目基本情况!K6="上海银行",IF(K75="",4,K75+1),"")</f>
        <v/>
      </c>
      <c r="L76" s="3295" t="str">
        <f>IF(项目基本情况!K6="上海银行","其他处置费用","")</f>
        <v/>
      </c>
      <c r="M76" s="3296"/>
      <c r="N76" s="1293" t="str">
        <f>IF(项目基本情况!K6="上海银行",N89,"")</f>
        <v/>
      </c>
      <c r="O76" s="3297" t="str">
        <f>IF(项目基本情况!K6="上海银行","包含处置中涉及的律师、诉讼、拍卖、评估等费用","")</f>
        <v/>
      </c>
      <c r="P76" s="3298"/>
      <c r="Q76" s="2026"/>
      <c r="R76" s="2026"/>
      <c r="S76" s="2026"/>
      <c r="T76" s="2026"/>
      <c r="U76" s="2026"/>
      <c r="V76" s="2026"/>
    </row>
    <row r="77" spans="1:22" ht="26.25" thickBot="1">
      <c r="A77" s="3325" t="s">
        <v>426</v>
      </c>
      <c r="B77" s="3326"/>
      <c r="C77" s="3326"/>
      <c r="D77" s="365">
        <f ca="1">IF(H77="非个人房产","——",IF(H77="个人住宅",0,ROUND(D63*I77,0)))</f>
        <v>524</v>
      </c>
      <c r="E77" s="366" t="str">
        <f>IF(H77="非个人房产","——","销售额×税（费）率")</f>
        <v>销售额×税（费）率</v>
      </c>
      <c r="F77" s="367">
        <f>IF(H77="非个人房产","——",IF(H77="个人住宅","免征",I77))</f>
        <v>0.01</v>
      </c>
      <c r="G77" s="981" t="s">
        <v>417</v>
      </c>
      <c r="H77" s="362" t="s">
        <v>2883</v>
      </c>
      <c r="I77" s="368">
        <v>0.01</v>
      </c>
      <c r="J77" s="2033"/>
      <c r="K77" s="3321">
        <f>IF(AND(K75="",K76=""),4,IF(项目基本情况!K6="上海银行",K76+1,K75+1))</f>
        <v>5</v>
      </c>
      <c r="L77" s="3307" t="s">
        <v>2884</v>
      </c>
      <c r="M77" s="3032" t="s">
        <v>421</v>
      </c>
      <c r="N77" s="1299"/>
      <c r="O77" s="1300">
        <f ca="1">SUMIF(N72:N76,"&lt;9e307")</f>
        <v>32348</v>
      </c>
      <c r="P77" s="1301"/>
      <c r="Q77" s="3030" t="e">
        <f ca="1">O77/N69</f>
        <v>#VALUE!</v>
      </c>
      <c r="R77" s="2026"/>
      <c r="S77" s="2026"/>
      <c r="T77" s="2026"/>
      <c r="U77" s="2026"/>
      <c r="V77" s="2026"/>
    </row>
    <row r="78" spans="1:22" ht="12" customHeight="1">
      <c r="A78" s="1302"/>
      <c r="B78" s="310"/>
      <c r="C78" s="310"/>
      <c r="D78" s="310"/>
      <c r="E78" s="42"/>
      <c r="F78" s="42"/>
      <c r="G78" s="42"/>
      <c r="H78" s="1000"/>
      <c r="I78" s="310"/>
      <c r="J78" s="2033"/>
      <c r="K78" s="3321"/>
      <c r="L78" s="3307"/>
      <c r="M78" s="3032" t="s">
        <v>425</v>
      </c>
      <c r="N78" s="1299"/>
      <c r="O78" s="1300" t="str">
        <f ca="1">NUMBERSTRING(INT(O77*10000),2)&amp;"元整"</f>
        <v>叁亿贰仟叁佰肆拾捌万元整</v>
      </c>
      <c r="P78" s="1301"/>
      <c r="Q78" s="2026"/>
      <c r="R78" s="2026"/>
      <c r="S78" s="2026"/>
      <c r="T78" s="2026"/>
      <c r="U78" s="2026"/>
      <c r="V78" s="2026"/>
    </row>
    <row r="79" spans="1:22" ht="13.5" thickBot="1">
      <c r="A79" s="3311" t="s">
        <v>427</v>
      </c>
      <c r="B79" s="3311"/>
      <c r="C79" s="3311"/>
      <c r="D79" s="3311"/>
      <c r="E79" s="3311"/>
      <c r="F79" s="42"/>
      <c r="G79" s="42"/>
      <c r="H79" s="1000"/>
      <c r="I79" s="310"/>
      <c r="J79" s="2033"/>
      <c r="K79" s="3305">
        <f>K77+1</f>
        <v>6</v>
      </c>
      <c r="L79" s="3307" t="s">
        <v>2885</v>
      </c>
      <c r="M79" s="3032" t="s">
        <v>421</v>
      </c>
      <c r="N79" s="1299"/>
      <c r="O79" s="1300" t="e">
        <f ca="1">N69-O77</f>
        <v>#VALUE!</v>
      </c>
      <c r="P79" s="1301"/>
      <c r="Q79" s="2026"/>
      <c r="R79" s="2026"/>
      <c r="S79" s="2026"/>
      <c r="T79" s="2026"/>
      <c r="U79" s="2026"/>
      <c r="V79" s="2026"/>
    </row>
    <row r="80" spans="1:22" ht="12.75">
      <c r="A80" s="3312" t="s">
        <v>428</v>
      </c>
      <c r="B80" s="3313"/>
      <c r="C80" s="991"/>
      <c r="D80" s="991" t="s">
        <v>429</v>
      </c>
      <c r="E80" s="369" t="s">
        <v>430</v>
      </c>
      <c r="F80" s="42"/>
      <c r="G80" s="42"/>
      <c r="H80" s="1000"/>
      <c r="I80" s="310"/>
      <c r="J80" s="2026"/>
      <c r="K80" s="3306"/>
      <c r="L80" s="3307"/>
      <c r="M80" s="3032" t="s">
        <v>425</v>
      </c>
      <c r="N80" s="1299"/>
      <c r="O80" s="1300" t="e">
        <f ca="1">NUMBERSTRING(INT(O79*10000),2)&amp;"元整"</f>
        <v>#VALUE!</v>
      </c>
      <c r="P80" s="1301"/>
      <c r="Q80" s="2026"/>
      <c r="R80" s="2026"/>
      <c r="S80" s="2026"/>
      <c r="T80" s="2026"/>
      <c r="U80" s="2026"/>
      <c r="V80" s="2026"/>
    </row>
    <row r="81" spans="1:26" ht="13.5" thickBot="1">
      <c r="A81" s="380" t="s">
        <v>1823</v>
      </c>
      <c r="B81" s="370" t="s">
        <v>431</v>
      </c>
      <c r="C81" s="371">
        <f ca="1">ROUND((C82+C83)/(1+'数据-取费表'!C42),0)</f>
        <v>49945</v>
      </c>
      <c r="D81" s="372"/>
      <c r="E81" s="373"/>
      <c r="F81" s="42"/>
      <c r="G81" s="42"/>
      <c r="H81" s="1000"/>
      <c r="I81" s="310"/>
      <c r="J81" s="2026"/>
      <c r="K81" s="3026">
        <f>K79+1</f>
        <v>7</v>
      </c>
      <c r="L81" s="3319" t="s">
        <v>2886</v>
      </c>
      <c r="M81" s="3320"/>
      <c r="N81" s="1303"/>
      <c r="O81" s="1304" t="e">
        <f ca="1">ROUND(O79*10000/'数据-汇总表'!E3,0)</f>
        <v>#VALUE!</v>
      </c>
      <c r="P81" s="1305"/>
      <c r="Q81" s="2026"/>
      <c r="R81" s="2026"/>
      <c r="S81" s="2026"/>
      <c r="T81" s="2026"/>
      <c r="U81" s="2026"/>
      <c r="V81" s="2026"/>
    </row>
    <row r="82" spans="1:26" ht="13.5" thickTop="1">
      <c r="A82" s="374" t="s">
        <v>1824</v>
      </c>
      <c r="B82" s="375" t="s">
        <v>432</v>
      </c>
      <c r="C82" s="376">
        <f ca="1">D63</f>
        <v>52442</v>
      </c>
      <c r="D82" s="377" t="s">
        <v>19</v>
      </c>
      <c r="E82" s="378"/>
      <c r="F82" s="42"/>
      <c r="G82" s="42"/>
      <c r="H82" s="1000"/>
      <c r="I82" s="310"/>
      <c r="J82" s="2026"/>
      <c r="K82" s="2026"/>
      <c r="L82" s="2026"/>
      <c r="M82" s="2026"/>
      <c r="N82" s="2026"/>
      <c r="O82" s="2026"/>
      <c r="P82" s="2026"/>
      <c r="Q82" s="2026"/>
      <c r="R82" s="2026"/>
      <c r="S82" s="2026"/>
      <c r="T82" s="2026"/>
      <c r="U82" s="2026"/>
      <c r="V82" s="2026"/>
    </row>
    <row r="83" spans="1:26" ht="12.75">
      <c r="A83" s="374" t="s">
        <v>1825</v>
      </c>
      <c r="B83" s="375" t="s">
        <v>433</v>
      </c>
      <c r="C83" s="379">
        <v>0</v>
      </c>
      <c r="D83" s="377"/>
      <c r="E83" s="378"/>
      <c r="F83" s="42"/>
      <c r="G83" s="42"/>
      <c r="H83" s="1000"/>
      <c r="I83" s="310"/>
      <c r="J83" s="2026"/>
      <c r="K83" s="3294" t="s">
        <v>2873</v>
      </c>
      <c r="L83" s="3038" t="s">
        <v>2874</v>
      </c>
      <c r="M83" s="3028" t="e">
        <f>IF(N69&gt;10000,N69*0.5%,IF(AND(N69&gt;1000,N69&lt;=10000),N69*1%,IF(AND(N69&gt;100,N69&lt;=1000),N69*3%,IF(AND(N69&gt;10,N69&lt;=100),N69*5%,N69*8%))))</f>
        <v>#VALUE!</v>
      </c>
      <c r="N83" s="53" t="e">
        <f>ROUND(M83,1)</f>
        <v>#VALUE!</v>
      </c>
      <c r="O83" s="3031"/>
      <c r="P83" s="2026"/>
      <c r="Q83" s="2026"/>
      <c r="R83" s="2026"/>
      <c r="S83" s="2026"/>
      <c r="T83" s="2026"/>
      <c r="U83" s="2026"/>
      <c r="V83" s="2026"/>
    </row>
    <row r="84" spans="1:26" ht="12.75">
      <c r="A84" s="380" t="s">
        <v>1826</v>
      </c>
      <c r="B84" s="381" t="s">
        <v>434</v>
      </c>
      <c r="C84" s="382">
        <v>2000</v>
      </c>
      <c r="D84" s="383" t="s">
        <v>19</v>
      </c>
      <c r="E84" s="3073" t="s">
        <v>2941</v>
      </c>
      <c r="F84" s="42"/>
      <c r="G84" s="42"/>
      <c r="H84" s="1000"/>
      <c r="I84" s="310"/>
      <c r="J84" s="2026"/>
      <c r="K84" s="3294"/>
      <c r="L84" s="3038" t="s">
        <v>2875</v>
      </c>
      <c r="M84" s="302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2876</v>
      </c>
      <c r="P84" s="2026"/>
      <c r="Q84" s="2026"/>
      <c r="R84" s="2026"/>
      <c r="S84" s="2026"/>
      <c r="T84" s="2026"/>
      <c r="U84" s="2026"/>
      <c r="V84" s="2026"/>
    </row>
    <row r="85" spans="1:26" ht="12.75">
      <c r="A85" s="380" t="s">
        <v>1827</v>
      </c>
      <c r="B85" s="381" t="s">
        <v>435</v>
      </c>
      <c r="C85" s="384">
        <f ca="1">C81-C84</f>
        <v>47945</v>
      </c>
      <c r="D85" s="377" t="s">
        <v>19</v>
      </c>
      <c r="E85" s="378"/>
      <c r="F85" s="42"/>
      <c r="G85" s="42"/>
      <c r="H85" s="1000"/>
      <c r="I85" s="310"/>
      <c r="J85" s="2026"/>
      <c r="K85" s="3294"/>
      <c r="L85" s="3038" t="s">
        <v>2877</v>
      </c>
      <c r="M85" s="3028" t="e">
        <f>IF(N69&gt;1000,N69*0.1%,IF(AND(N69&gt;500,N69&lt;=1000),N69*0.5%,IF(AND(N69&gt;50,N69&lt;=500),N69*1%,IF(AND(N69&gt;1,N69&lt;=50),N69*1.5%))))</f>
        <v>#VALUE!</v>
      </c>
      <c r="N85" s="53" t="e">
        <f t="shared" si="2"/>
        <v>#VALUE!</v>
      </c>
      <c r="O85" s="2026" t="s">
        <v>2876</v>
      </c>
      <c r="P85" s="2026"/>
      <c r="Q85" s="2026"/>
      <c r="R85" s="2026"/>
      <c r="S85" s="2026"/>
      <c r="T85" s="2026"/>
      <c r="U85" s="2026"/>
      <c r="V85" s="2026"/>
    </row>
    <row r="86" spans="1:26" ht="13.5" thickBot="1">
      <c r="A86" s="385" t="s">
        <v>1828</v>
      </c>
      <c r="B86" s="386" t="s">
        <v>436</v>
      </c>
      <c r="C86" s="387">
        <f ca="1">IF(C85&lt;=0,0,ROUND(C85*D86,0))</f>
        <v>2685</v>
      </c>
      <c r="D86" s="388">
        <f>'数据-取费表'!B41</f>
        <v>5.6000000000000001E-2</v>
      </c>
      <c r="E86" s="389"/>
      <c r="F86" s="42"/>
      <c r="G86" s="42"/>
      <c r="H86" s="1000"/>
      <c r="I86" s="310"/>
      <c r="J86" s="2026"/>
      <c r="K86" s="3294"/>
      <c r="L86" s="3038" t="s">
        <v>2878</v>
      </c>
      <c r="M86" s="3028" t="e">
        <f>N69*0.5%</f>
        <v>#VALUE!</v>
      </c>
      <c r="N86" s="53" t="e">
        <f>IF(M86&gt;0.5,0.5,ROUND(M86,0))</f>
        <v>#VALUE!</v>
      </c>
      <c r="O86" s="2026" t="s">
        <v>2879</v>
      </c>
      <c r="P86" s="2026"/>
      <c r="Q86" s="2026"/>
      <c r="R86" s="2026"/>
      <c r="S86" s="2026"/>
      <c r="T86" s="2026"/>
      <c r="U86" s="2026"/>
      <c r="V86" s="2026"/>
    </row>
    <row r="87" spans="1:26" s="1251" customFormat="1" ht="14.25" customHeight="1">
      <c r="A87" s="1306"/>
      <c r="B87" s="1307"/>
      <c r="C87" s="1308"/>
      <c r="D87" s="1309"/>
      <c r="E87" s="1310"/>
      <c r="F87" s="42"/>
      <c r="G87" s="42"/>
      <c r="H87" s="1000"/>
      <c r="I87" s="310"/>
      <c r="J87" s="2026"/>
      <c r="K87" s="3294"/>
      <c r="L87" s="3038" t="s">
        <v>2880</v>
      </c>
      <c r="M87" s="302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1"/>
      <c r="P87" s="310"/>
      <c r="Q87" s="2026"/>
      <c r="R87" s="2026"/>
      <c r="S87" s="2026"/>
      <c r="T87" s="2026"/>
      <c r="U87" s="2026"/>
      <c r="V87" s="2026"/>
      <c r="W87" s="291"/>
      <c r="X87" s="291"/>
      <c r="Y87" s="291"/>
      <c r="Z87" s="291"/>
    </row>
    <row r="88" spans="1:26" s="1311" customFormat="1" ht="15" thickBot="1">
      <c r="A88" s="3348" t="s">
        <v>437</v>
      </c>
      <c r="B88" s="3349"/>
      <c r="C88" s="3349"/>
      <c r="D88" s="3349"/>
      <c r="E88" s="3349"/>
      <c r="F88" s="3349"/>
      <c r="G88" s="3349"/>
      <c r="H88" s="3349"/>
      <c r="I88" s="1312"/>
      <c r="J88" s="2034"/>
      <c r="K88" s="3294"/>
      <c r="L88" s="3038" t="s">
        <v>2881</v>
      </c>
      <c r="M88" s="3028" t="e">
        <f>IF(N69&gt;10000,N69*0.5%,IF(AND(N69&gt;5000,N69&lt;=10000),N69*1%,IF(AND(N69&gt;1000,N69&lt;=5000),N69*2%,IF(AND(N69&gt;200,N69&lt;=1000),N69*3%,N69*5%))))</f>
        <v>#VALUE!</v>
      </c>
      <c r="N88" s="53" t="e">
        <f>ROUND(M88,1)</f>
        <v>#VALUE!</v>
      </c>
      <c r="O88" s="3031"/>
      <c r="P88" s="11"/>
      <c r="Q88" s="2031"/>
      <c r="R88" s="2031"/>
      <c r="S88" s="2031"/>
      <c r="T88" s="2031"/>
      <c r="U88" s="2031"/>
      <c r="V88" s="2031"/>
      <c r="W88" s="2035"/>
      <c r="X88" s="2035"/>
      <c r="Y88" s="2035"/>
      <c r="Z88" s="2035"/>
    </row>
    <row r="89" spans="1:26" s="1311" customFormat="1" ht="14.25">
      <c r="A89" s="3312" t="s">
        <v>428</v>
      </c>
      <c r="B89" s="3313"/>
      <c r="C89" s="991"/>
      <c r="D89" s="991" t="s">
        <v>429</v>
      </c>
      <c r="E89" s="390" t="s">
        <v>438</v>
      </c>
      <c r="F89" s="391"/>
      <c r="G89" s="391"/>
      <c r="H89" s="392"/>
      <c r="I89" s="1313"/>
      <c r="J89" s="2036"/>
      <c r="K89" s="3294"/>
      <c r="L89" s="3038" t="s">
        <v>27</v>
      </c>
      <c r="M89" s="3029"/>
      <c r="N89" s="53" t="e">
        <f>ROUND(SUM(N83:N88),0)</f>
        <v>#VALUE!</v>
      </c>
      <c r="O89" s="3039" t="e">
        <f>N89/N69</f>
        <v>#VALUE!</v>
      </c>
      <c r="P89" s="2031"/>
      <c r="Q89" s="2031"/>
      <c r="R89" s="2031"/>
      <c r="S89" s="2031"/>
      <c r="T89" s="2031"/>
      <c r="U89" s="2031"/>
      <c r="V89" s="2031"/>
      <c r="W89" s="2035"/>
      <c r="X89" s="2035"/>
      <c r="Y89" s="2035"/>
      <c r="Z89" s="2035"/>
    </row>
    <row r="90" spans="1:26" s="1311" customFormat="1" ht="14.25">
      <c r="A90" s="380" t="s">
        <v>1823</v>
      </c>
      <c r="B90" s="381" t="s">
        <v>439</v>
      </c>
      <c r="C90" s="384">
        <f ca="1">ROUND(D63/(1+'数据-取费表'!C42),0)</f>
        <v>49945</v>
      </c>
      <c r="D90" s="377" t="s">
        <v>19</v>
      </c>
      <c r="E90" s="988"/>
      <c r="F90" s="987"/>
      <c r="G90" s="987"/>
      <c r="H90" s="393"/>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80" t="s">
        <v>1829</v>
      </c>
      <c r="B91" s="347" t="s">
        <v>440</v>
      </c>
      <c r="C91" s="384">
        <f ca="1">C92+C96</f>
        <v>2861</v>
      </c>
      <c r="D91" s="377" t="s">
        <v>19</v>
      </c>
      <c r="E91" s="988"/>
      <c r="F91" s="987"/>
      <c r="G91" s="987"/>
      <c r="H91" s="393"/>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4" t="s">
        <v>1830</v>
      </c>
      <c r="B92" s="375" t="s">
        <v>441</v>
      </c>
      <c r="C92" s="377">
        <f>ROUND(IF(G95="2016年5月1日后购买",C93/(1+'数据-取费表'!C30)+C94+C95,C93+C94+C95),0)</f>
        <v>2561</v>
      </c>
      <c r="D92" s="377" t="s">
        <v>19</v>
      </c>
      <c r="E92" s="988"/>
      <c r="F92" s="987"/>
      <c r="G92" s="987"/>
      <c r="H92" s="393"/>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4" t="s">
        <v>1831</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4" t="s">
        <v>1832</v>
      </c>
      <c r="B94" s="399" t="s">
        <v>446</v>
      </c>
      <c r="C94" s="377">
        <f>IF(F93="购房发票",ROUND(C93*H93*5%,0),0)</f>
        <v>500</v>
      </c>
      <c r="D94" s="400">
        <v>0.05</v>
      </c>
      <c r="E94" s="3345" t="s">
        <v>447</v>
      </c>
      <c r="F94" s="3346"/>
      <c r="G94" s="3346"/>
      <c r="H94" s="3347"/>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4" t="s">
        <v>1834</v>
      </c>
      <c r="B96" s="375" t="s">
        <v>450</v>
      </c>
      <c r="C96" s="404">
        <f ca="1">ROUND(D63*D96/(1+'数据-取费表'!C42),0)</f>
        <v>300</v>
      </c>
      <c r="D96" s="405">
        <f>'数据-取费表'!B43</f>
        <v>6.000000000000001E-3</v>
      </c>
      <c r="E96" s="3335" t="s">
        <v>2428</v>
      </c>
      <c r="F96" s="3336"/>
      <c r="G96" s="3336"/>
      <c r="H96" s="3337"/>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1835</v>
      </c>
      <c r="B97" s="381" t="s">
        <v>451</v>
      </c>
      <c r="C97" s="384">
        <f ca="1">C90-C91</f>
        <v>47084</v>
      </c>
      <c r="D97" s="377" t="s">
        <v>19</v>
      </c>
      <c r="E97" s="988"/>
      <c r="F97" s="987"/>
      <c r="G97" s="987"/>
      <c r="H97" s="393"/>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1836</v>
      </c>
      <c r="B98" s="381" t="s">
        <v>452</v>
      </c>
      <c r="C98" s="406">
        <f ca="1">IF(C97&lt;=0,0,C97/C91)</f>
        <v>16.457182803215659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1837</v>
      </c>
      <c r="B99" s="386" t="s">
        <v>453</v>
      </c>
      <c r="C99" s="407">
        <f ca="1">ROUND(IF(C97&lt;=0,0,IF(C98&gt;=200%,C97*60%-C91*35%,IF(C98&gt;=100%,C97*50%-C91*15%,IF(C98&gt;=50%,C97*40%-C91*5%,IF(C98&lt;50%,C97*30%,0))))),0)</f>
        <v>27249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48" t="s">
        <v>454</v>
      </c>
      <c r="B101" s="3349"/>
      <c r="C101" s="3349"/>
      <c r="D101" s="3349"/>
      <c r="E101" s="3349"/>
      <c r="F101" s="3349"/>
      <c r="G101" s="3349"/>
      <c r="H101" s="3349"/>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12" t="s">
        <v>428</v>
      </c>
      <c r="B102" s="3313"/>
      <c r="C102" s="991"/>
      <c r="D102" s="991"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80" t="s">
        <v>1823</v>
      </c>
      <c r="B103" s="381" t="s">
        <v>439</v>
      </c>
      <c r="C103" s="384">
        <f ca="1">ROUND(D63/(1+'数据-取费表'!C42),0)</f>
        <v>49945</v>
      </c>
      <c r="D103" s="377" t="s">
        <v>19</v>
      </c>
      <c r="E103" s="988"/>
      <c r="F103" s="987"/>
      <c r="G103" s="987"/>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80" t="s">
        <v>1829</v>
      </c>
      <c r="B104" s="347" t="s">
        <v>440</v>
      </c>
      <c r="C104" s="384">
        <f ca="1">IF(H106="仅含出让金",C105+C108+C109+C110+C111+C112,C105+C109+C110+C111+C112)</f>
        <v>990</v>
      </c>
      <c r="D104" s="414"/>
      <c r="E104" s="988"/>
      <c r="F104" s="987"/>
      <c r="G104" s="987"/>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4" t="s">
        <v>1830</v>
      </c>
      <c r="B105" s="375" t="s">
        <v>455</v>
      </c>
      <c r="C105" s="404">
        <f>C106+C107</f>
        <v>572</v>
      </c>
      <c r="D105" s="405"/>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4" t="s">
        <v>1831</v>
      </c>
      <c r="B106" s="375" t="s">
        <v>456</v>
      </c>
      <c r="C106" s="415">
        <v>555</v>
      </c>
      <c r="D106" s="405"/>
      <c r="E106" s="416" t="s">
        <v>457</v>
      </c>
      <c r="F106" s="983"/>
      <c r="G106" s="417" t="s">
        <v>458</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4" t="s">
        <v>1832</v>
      </c>
      <c r="B107" s="375" t="s">
        <v>448</v>
      </c>
      <c r="C107" s="404">
        <f>ROUND(C106*D107,0)</f>
        <v>17</v>
      </c>
      <c r="D107" s="405">
        <f>'数据-取费表'!B48+'数据-取费表'!B49</f>
        <v>3.0499999999999999E-2</v>
      </c>
      <c r="E107" s="416"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4" t="s">
        <v>1834</v>
      </c>
      <c r="B108" s="375" t="s">
        <v>460</v>
      </c>
      <c r="C108" s="415"/>
      <c r="D108" s="405"/>
      <c r="E108" s="416"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1838</v>
      </c>
      <c r="B109" s="375" t="s">
        <v>461</v>
      </c>
      <c r="C109" s="404">
        <f>IF(H109="——",IF(F1="现房",'剩余法-现房'!C18,'剩余法-待开发'!C18),I109)</f>
        <v>55</v>
      </c>
      <c r="D109" s="405"/>
      <c r="E109" s="3338" t="s">
        <v>462</v>
      </c>
      <c r="F109" s="3336"/>
      <c r="G109" s="3336"/>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1839</v>
      </c>
      <c r="B110" s="375" t="s">
        <v>463</v>
      </c>
      <c r="C110" s="404">
        <f>ROUND((C105+C108+C109)*D110,0)</f>
        <v>63</v>
      </c>
      <c r="D110" s="405">
        <v>0.1</v>
      </c>
      <c r="E110" s="3338" t="s">
        <v>464</v>
      </c>
      <c r="F110" s="3336"/>
      <c r="G110" s="3336"/>
      <c r="H110" s="3337"/>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1840</v>
      </c>
      <c r="B111" s="375" t="s">
        <v>450</v>
      </c>
      <c r="C111" s="404">
        <f ca="1">ROUND(D63*D111/(1+'数据-取费表'!C42),0)</f>
        <v>300</v>
      </c>
      <c r="D111" s="405">
        <f>'数据-取费表'!B43</f>
        <v>6.000000000000001E-3</v>
      </c>
      <c r="E111" s="3335" t="s">
        <v>2428</v>
      </c>
      <c r="F111" s="3336"/>
      <c r="G111" s="3336"/>
      <c r="H111" s="3337"/>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1841</v>
      </c>
      <c r="B112" s="375" t="s">
        <v>465</v>
      </c>
      <c r="C112" s="404">
        <f>ROUND(C108*D112,0)</f>
        <v>0</v>
      </c>
      <c r="D112" s="405">
        <v>0.2</v>
      </c>
      <c r="E112" s="3338" t="s">
        <v>2453</v>
      </c>
      <c r="F112" s="3336"/>
      <c r="G112" s="3336"/>
      <c r="H112" s="3337"/>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1835</v>
      </c>
      <c r="B113" s="381" t="s">
        <v>451</v>
      </c>
      <c r="C113" s="384">
        <f ca="1">ROUND(C103-C104,0)</f>
        <v>48955</v>
      </c>
      <c r="D113" s="377" t="s">
        <v>19</v>
      </c>
      <c r="E113" s="988"/>
      <c r="F113" s="987"/>
      <c r="G113" s="987"/>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1836</v>
      </c>
      <c r="B114" s="381" t="s">
        <v>452</v>
      </c>
      <c r="C114" s="406">
        <f ca="1">IF(C113&lt;=0,0,C113/C104)</f>
        <v>49.449494949494948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1837</v>
      </c>
      <c r="B115" s="386" t="s">
        <v>453</v>
      </c>
      <c r="C115" s="407">
        <f ca="1">ROUND(IF(C113&lt;=0,0,IF(C114&gt;=200%,C113*60%-C104*35%,IF(C114&gt;=100%,C113*50%-C104*15%,IF(C114&gt;=50%,C113*40%-C104*5%,IF(C114&lt;50%,C113*30%,0))))),0)</f>
        <v>29027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D26" sqref="D26"/>
    </sheetView>
  </sheetViews>
  <sheetFormatPr defaultColWidth="9" defaultRowHeight="12.75"/>
  <cols>
    <col min="1" max="1" width="16.5" style="1247" customWidth="1"/>
    <col min="2" max="2" width="16.625" style="1215" customWidth="1"/>
    <col min="3" max="3" width="5" style="1215" customWidth="1"/>
    <col min="4" max="4" width="9" style="1215"/>
    <col min="5" max="5" width="12.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6"/>
    <col min="36" max="16384" width="9" style="1247"/>
  </cols>
  <sheetData>
    <row r="1" spans="1:45" s="256" customFormat="1" ht="14.25" customHeight="1" thickBot="1">
      <c r="A1" s="364"/>
      <c r="B1" s="2232" t="s">
        <v>2303</v>
      </c>
      <c r="C1" s="3374" t="s">
        <v>2304</v>
      </c>
      <c r="D1" s="3375"/>
      <c r="E1" s="3375"/>
      <c r="F1" s="3375"/>
      <c r="G1" s="3375"/>
      <c r="H1" s="3375"/>
      <c r="I1" s="3375"/>
      <c r="J1" s="3375"/>
      <c r="K1" s="3375"/>
      <c r="L1" s="3375"/>
      <c r="M1" s="3375"/>
      <c r="N1" s="3375"/>
      <c r="O1" s="3375"/>
      <c r="P1" s="3375"/>
      <c r="Q1" s="3375"/>
      <c r="R1" s="3375"/>
      <c r="S1" s="3376"/>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51">
      <c r="A2" s="2233"/>
      <c r="B2" s="948" t="s">
        <v>2306</v>
      </c>
      <c r="C2" s="949" t="str">
        <f t="shared" ref="C2:L2" si="0">C3&amp;"(含)"&amp;"-"&amp;D3</f>
        <v>0(含)-40000</v>
      </c>
      <c r="D2" s="950" t="str">
        <f t="shared" si="0"/>
        <v>40000(含)-80000</v>
      </c>
      <c r="E2" s="950" t="str">
        <f t="shared" si="0"/>
        <v>80000(含)-120000</v>
      </c>
      <c r="F2" s="950" t="str">
        <f t="shared" si="0"/>
        <v>120000(含)-160000</v>
      </c>
      <c r="G2" s="950" t="str">
        <f t="shared" si="0"/>
        <v>160000(含)-200000</v>
      </c>
      <c r="H2" s="950" t="str">
        <f t="shared" si="0"/>
        <v>200000(含)-240000</v>
      </c>
      <c r="I2" s="950" t="str">
        <f t="shared" si="0"/>
        <v>240000(含)-280000</v>
      </c>
      <c r="J2" s="950" t="str">
        <f t="shared" si="0"/>
        <v>280000(含)-320000</v>
      </c>
      <c r="K2" s="950" t="str">
        <f t="shared" si="0"/>
        <v>320000(含)-0</v>
      </c>
      <c r="L2" s="950" t="str">
        <f t="shared" si="0"/>
        <v>0(含)-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f>'比较法-住宅、综合'!C119</f>
        <v>0</v>
      </c>
      <c r="D3" s="953">
        <f>'比较法-住宅、综合'!D119</f>
        <v>40000</v>
      </c>
      <c r="E3" s="953">
        <f>'比较法-住宅、综合'!E119</f>
        <v>80000</v>
      </c>
      <c r="F3" s="953">
        <f>'比较法-住宅、综合'!F119</f>
        <v>120000</v>
      </c>
      <c r="G3" s="953">
        <f>'比较法-住宅、综合'!G119</f>
        <v>160000</v>
      </c>
      <c r="H3" s="953">
        <f>'比较法-住宅、综合'!H119</f>
        <v>200000</v>
      </c>
      <c r="I3" s="953">
        <f>'比较法-住宅、综合'!I119</f>
        <v>240000</v>
      </c>
      <c r="J3" s="953">
        <f>'比较法-住宅、综合'!J119</f>
        <v>280000</v>
      </c>
      <c r="K3" s="953">
        <f>'比较法-住宅、综合'!K119</f>
        <v>320000</v>
      </c>
      <c r="L3" s="953">
        <f>'比较法-住宅、综合'!L119</f>
        <v>0</v>
      </c>
      <c r="M3" s="2237"/>
      <c r="N3" s="2238"/>
      <c r="O3" s="954"/>
      <c r="P3" s="954"/>
      <c r="Q3" s="954"/>
      <c r="R3" s="954"/>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f>'比较法-住宅、综合'!C120</f>
        <v>100</v>
      </c>
      <c r="D4" s="2243">
        <f>'比较法-住宅、综合'!D120</f>
        <v>102</v>
      </c>
      <c r="E4" s="2243">
        <f>'比较法-住宅、综合'!E120</f>
        <v>104</v>
      </c>
      <c r="F4" s="2243">
        <f>'比较法-住宅、综合'!F120</f>
        <v>106</v>
      </c>
      <c r="G4" s="2243">
        <f>'比较法-住宅、综合'!G120</f>
        <v>108</v>
      </c>
      <c r="H4" s="2243">
        <f>'比较法-住宅、综合'!H120</f>
        <v>110</v>
      </c>
      <c r="I4" s="2243">
        <f>'比较法-住宅、综合'!I120</f>
        <v>112</v>
      </c>
      <c r="J4" s="2243">
        <f>'比较法-住宅、综合'!J120</f>
        <v>114</v>
      </c>
      <c r="K4" s="2243">
        <f>'比较法-住宅、综合'!K120</f>
        <v>116</v>
      </c>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82" t="s">
        <v>3060</v>
      </c>
      <c r="C5" s="2250">
        <v>3.58</v>
      </c>
      <c r="D5" s="2251">
        <v>2.8</v>
      </c>
      <c r="E5" s="2251"/>
      <c r="F5" s="2251"/>
      <c r="G5" s="2251"/>
      <c r="H5" s="2251"/>
      <c r="I5" s="2251"/>
      <c r="J5" s="2251"/>
      <c r="K5" s="2251"/>
      <c r="L5" s="2252"/>
      <c r="M5" s="2253"/>
      <c r="N5" s="2253"/>
      <c r="O5" s="2251"/>
      <c r="P5" s="2251"/>
      <c r="Q5" s="2251"/>
      <c r="R5" s="2251"/>
      <c r="S5" s="2254"/>
      <c r="T5" s="2255">
        <v>10</v>
      </c>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90</v>
      </c>
      <c r="E6" s="1967">
        <f t="shared" ref="E6:S6" si="7">D6-$T5</f>
        <v>80</v>
      </c>
      <c r="F6" s="1967">
        <f t="shared" si="7"/>
        <v>70</v>
      </c>
      <c r="G6" s="1967">
        <f t="shared" si="7"/>
        <v>60</v>
      </c>
      <c r="H6" s="1967">
        <f t="shared" si="7"/>
        <v>50</v>
      </c>
      <c r="I6" s="1967">
        <f t="shared" si="7"/>
        <v>40</v>
      </c>
      <c r="J6" s="1967">
        <f t="shared" si="7"/>
        <v>30</v>
      </c>
      <c r="K6" s="1967">
        <f t="shared" si="7"/>
        <v>20</v>
      </c>
      <c r="L6" s="1967">
        <f t="shared" si="7"/>
        <v>10</v>
      </c>
      <c r="M6" s="1967">
        <f t="shared" si="7"/>
        <v>0</v>
      </c>
      <c r="N6" s="1967">
        <f t="shared" si="7"/>
        <v>-10</v>
      </c>
      <c r="O6" s="1967">
        <f t="shared" si="7"/>
        <v>-20</v>
      </c>
      <c r="P6" s="1967">
        <f t="shared" si="7"/>
        <v>-30</v>
      </c>
      <c r="Q6" s="1967">
        <f t="shared" si="7"/>
        <v>-40</v>
      </c>
      <c r="R6" s="1967">
        <f t="shared" si="7"/>
        <v>-50</v>
      </c>
      <c r="S6" s="1967">
        <f t="shared" si="7"/>
        <v>-60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2927</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2926</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2925</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2924</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7" t="s">
        <v>828</v>
      </c>
      <c r="B20" s="774" t="e">
        <f ca="1">S22</f>
        <v>#REF!</v>
      </c>
      <c r="C20" s="1988"/>
      <c r="D20" s="1988"/>
      <c r="E20" s="1988"/>
      <c r="F20" s="1988"/>
      <c r="G20" s="1988"/>
      <c r="H20" s="1988"/>
      <c r="I20" s="1988"/>
      <c r="J20" s="1988"/>
      <c r="K20" s="1988"/>
      <c r="L20" s="1988"/>
      <c r="M20" s="1988"/>
      <c r="N20" s="1988"/>
      <c r="O20" s="1988"/>
      <c r="P20" s="1988"/>
      <c r="Q20" s="1988"/>
      <c r="R20" s="2223"/>
      <c r="S20" s="2026"/>
    </row>
    <row r="21" spans="1:45" ht="15.75">
      <c r="A21" s="957" t="s">
        <v>829</v>
      </c>
      <c r="B21" s="774" t="e">
        <f ca="1">R22</f>
        <v>#REF!</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t="e">
        <f>SUM(B24:B10000)</f>
        <v>#REF!</v>
      </c>
      <c r="C22" s="3371" t="s">
        <v>20</v>
      </c>
      <c r="D22" s="3372"/>
      <c r="E22" s="3372"/>
      <c r="F22" s="3372"/>
      <c r="G22" s="3372"/>
      <c r="H22" s="3372"/>
      <c r="I22" s="3372"/>
      <c r="J22" s="3372"/>
      <c r="K22" s="3372"/>
      <c r="L22" s="3372"/>
      <c r="M22" s="3372"/>
      <c r="N22" s="3372"/>
      <c r="O22" s="3372"/>
      <c r="P22" s="3372"/>
      <c r="Q22" s="3373"/>
      <c r="R22" s="489" t="e">
        <f ca="1">ROUND(S22*10000/B22,0)</f>
        <v>#REF!</v>
      </c>
      <c r="S22" s="53" t="e">
        <f ca="1">SUM(S24:S10000)</f>
        <v>#REF!</v>
      </c>
    </row>
    <row r="23" spans="1:45" s="1612"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8" t="e">
        <f>#REF!</f>
        <v>#REF!</v>
      </c>
      <c r="B24" s="958" t="e">
        <f>#REF!</f>
        <v>#REF!</v>
      </c>
      <c r="C24" s="959">
        <v>1</v>
      </c>
      <c r="D24" s="960">
        <v>2.8</v>
      </c>
      <c r="E24" s="959">
        <v>1</v>
      </c>
      <c r="F24" s="960"/>
      <c r="G24" s="959">
        <v>1</v>
      </c>
      <c r="H24" s="960"/>
      <c r="I24" s="959">
        <v>1</v>
      </c>
      <c r="J24" s="960"/>
      <c r="K24" s="959">
        <v>1</v>
      </c>
      <c r="L24" s="960"/>
      <c r="M24" s="959">
        <v>1</v>
      </c>
      <c r="N24" s="960"/>
      <c r="O24" s="959">
        <v>1</v>
      </c>
      <c r="P24" s="960"/>
      <c r="Q24" s="959">
        <v>1</v>
      </c>
      <c r="R24" s="961">
        <f ca="1">结果表!G21</f>
        <v>44594</v>
      </c>
      <c r="S24" s="959" t="e">
        <f t="shared" ref="S24:S54" ca="1" si="11">ROUND(R24*B24/10000,0)</f>
        <v>#REF!</v>
      </c>
      <c r="T24" s="1971"/>
      <c r="U24" s="1971"/>
      <c r="V24" s="1971"/>
      <c r="W24" s="1971"/>
      <c r="X24" s="1971"/>
      <c r="Y24" s="1971"/>
      <c r="Z24" s="1971"/>
      <c r="AA24" s="1971"/>
      <c r="AB24" s="1971"/>
      <c r="AC24" s="1971"/>
      <c r="AD24" s="1971"/>
      <c r="AE24" s="1971"/>
      <c r="AF24" s="1971"/>
      <c r="AG24" s="1971"/>
      <c r="AH24" s="1971"/>
      <c r="AI24" s="1971"/>
    </row>
    <row r="25" spans="1:45">
      <c r="A25" s="962" t="e">
        <f>#REF!</f>
        <v>#REF!</v>
      </c>
      <c r="B25" s="137" t="e">
        <f>#REF!</f>
        <v>#REF!</v>
      </c>
      <c r="C25" s="53" t="e">
        <f>IF(B25="",1,(LOOKUP(B25,$3:$3,$4:$4)-LOOKUP($B$24,$3:$3,$4:$4)+100)/100)</f>
        <v>#REF!</v>
      </c>
      <c r="D25" s="960">
        <v>2.8</v>
      </c>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t="e">
        <f>IF(B25="",0,ROUND($R$24*C25*E25*G25*I25*K25*M25*O25*Q25,0))</f>
        <v>#REF!</v>
      </c>
      <c r="S25" s="798" t="e">
        <f t="shared" si="11"/>
        <v>#REF!</v>
      </c>
    </row>
    <row r="26" spans="1:45">
      <c r="A26" s="962"/>
      <c r="B26" s="137"/>
      <c r="C26" s="53">
        <f t="shared" ref="C26:C89" si="12">IF(B26="",1,(LOOKUP(B26,$3:$3,$4:$4)-LOOKUP($B$24,$3:$3,$4:$4)+100)/100)</f>
        <v>1</v>
      </c>
      <c r="D26" s="960"/>
      <c r="E26" s="53">
        <f t="shared" ref="E26:E89" si="13">(SUMIF($5:$5,D26,$6:$6)-SUMIF($5:$5,$D$24,$6:$6)+100)/100</f>
        <v>0.1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9">
        <f t="shared" ref="R26:R89" si="20">IF(B26="",0,ROUND($R$24*C26*E26*G26*I26*K26*M26*O26*Q26,0))</f>
        <v>0</v>
      </c>
      <c r="S26" s="798">
        <f t="shared" si="11"/>
        <v>0</v>
      </c>
    </row>
    <row r="27" spans="1:45">
      <c r="A27" s="962"/>
      <c r="B27" s="137"/>
      <c r="C27" s="53">
        <f t="shared" si="12"/>
        <v>1</v>
      </c>
      <c r="D27" s="960"/>
      <c r="E27" s="53">
        <f t="shared" si="13"/>
        <v>0.1</v>
      </c>
      <c r="F27" s="960"/>
      <c r="G27" s="53">
        <f t="shared" si="14"/>
        <v>1</v>
      </c>
      <c r="H27" s="960"/>
      <c r="I27" s="53">
        <f t="shared" si="15"/>
        <v>1</v>
      </c>
      <c r="J27" s="960"/>
      <c r="K27" s="53">
        <f t="shared" si="16"/>
        <v>1</v>
      </c>
      <c r="L27" s="960"/>
      <c r="M27" s="53">
        <f t="shared" si="17"/>
        <v>1</v>
      </c>
      <c r="N27" s="960"/>
      <c r="O27" s="53">
        <f t="shared" si="18"/>
        <v>1</v>
      </c>
      <c r="P27" s="960"/>
      <c r="Q27" s="53">
        <f t="shared" si="19"/>
        <v>1</v>
      </c>
      <c r="R27" s="489">
        <f t="shared" si="20"/>
        <v>0</v>
      </c>
      <c r="S27" s="798">
        <f t="shared" si="11"/>
        <v>0</v>
      </c>
    </row>
    <row r="28" spans="1:45">
      <c r="A28" s="962"/>
      <c r="B28" s="137"/>
      <c r="C28" s="53">
        <f t="shared" si="12"/>
        <v>1</v>
      </c>
      <c r="D28" s="960"/>
      <c r="E28" s="53">
        <f t="shared" si="13"/>
        <v>0.1</v>
      </c>
      <c r="F28" s="960"/>
      <c r="G28" s="53">
        <f t="shared" si="14"/>
        <v>1</v>
      </c>
      <c r="H28" s="960"/>
      <c r="I28" s="53">
        <f t="shared" si="15"/>
        <v>1</v>
      </c>
      <c r="J28" s="960"/>
      <c r="K28" s="53">
        <f t="shared" si="16"/>
        <v>1</v>
      </c>
      <c r="L28" s="960"/>
      <c r="M28" s="53">
        <f t="shared" si="17"/>
        <v>1</v>
      </c>
      <c r="N28" s="960"/>
      <c r="O28" s="53">
        <f t="shared" si="18"/>
        <v>1</v>
      </c>
      <c r="P28" s="960"/>
      <c r="Q28" s="53">
        <f t="shared" si="19"/>
        <v>1</v>
      </c>
      <c r="R28" s="489">
        <f t="shared" si="20"/>
        <v>0</v>
      </c>
      <c r="S28" s="798">
        <f t="shared" si="11"/>
        <v>0</v>
      </c>
    </row>
    <row r="29" spans="1:45">
      <c r="A29" s="962"/>
      <c r="B29" s="137"/>
      <c r="C29" s="53">
        <f t="shared" si="12"/>
        <v>1</v>
      </c>
      <c r="D29" s="960"/>
      <c r="E29" s="53">
        <f t="shared" si="13"/>
        <v>0.1</v>
      </c>
      <c r="F29" s="960"/>
      <c r="G29" s="53">
        <f t="shared" si="14"/>
        <v>1</v>
      </c>
      <c r="H29" s="960"/>
      <c r="I29" s="53">
        <f t="shared" si="15"/>
        <v>1</v>
      </c>
      <c r="J29" s="960"/>
      <c r="K29" s="53">
        <f t="shared" si="16"/>
        <v>1</v>
      </c>
      <c r="L29" s="960"/>
      <c r="M29" s="53">
        <f t="shared" si="17"/>
        <v>1</v>
      </c>
      <c r="N29" s="960"/>
      <c r="O29" s="53">
        <f t="shared" si="18"/>
        <v>1</v>
      </c>
      <c r="P29" s="960"/>
      <c r="Q29" s="53">
        <f t="shared" si="19"/>
        <v>1</v>
      </c>
      <c r="R29" s="489">
        <f t="shared" si="20"/>
        <v>0</v>
      </c>
      <c r="S29" s="798">
        <f t="shared" si="11"/>
        <v>0</v>
      </c>
    </row>
    <row r="30" spans="1:45">
      <c r="A30" s="962"/>
      <c r="B30" s="137"/>
      <c r="C30" s="53">
        <f t="shared" si="12"/>
        <v>1</v>
      </c>
      <c r="D30" s="960"/>
      <c r="E30" s="53">
        <f t="shared" si="13"/>
        <v>0.1</v>
      </c>
      <c r="F30" s="960"/>
      <c r="G30" s="53">
        <f t="shared" si="14"/>
        <v>1</v>
      </c>
      <c r="H30" s="960"/>
      <c r="I30" s="53">
        <f t="shared" si="15"/>
        <v>1</v>
      </c>
      <c r="J30" s="960"/>
      <c r="K30" s="53">
        <f t="shared" si="16"/>
        <v>1</v>
      </c>
      <c r="L30" s="960"/>
      <c r="M30" s="53">
        <f t="shared" si="17"/>
        <v>1</v>
      </c>
      <c r="N30" s="960"/>
      <c r="O30" s="53">
        <f t="shared" si="18"/>
        <v>1</v>
      </c>
      <c r="P30" s="960"/>
      <c r="Q30" s="53">
        <f t="shared" si="19"/>
        <v>1</v>
      </c>
      <c r="R30" s="489">
        <f t="shared" si="20"/>
        <v>0</v>
      </c>
      <c r="S30" s="798">
        <f t="shared" si="11"/>
        <v>0</v>
      </c>
    </row>
    <row r="31" spans="1:45">
      <c r="A31" s="962"/>
      <c r="B31" s="137"/>
      <c r="C31" s="53">
        <f t="shared" si="12"/>
        <v>1</v>
      </c>
      <c r="D31" s="960"/>
      <c r="E31" s="53">
        <f t="shared" si="13"/>
        <v>0.1</v>
      </c>
      <c r="F31" s="960"/>
      <c r="G31" s="53">
        <f t="shared" si="14"/>
        <v>1</v>
      </c>
      <c r="H31" s="960"/>
      <c r="I31" s="53">
        <f t="shared" si="15"/>
        <v>1</v>
      </c>
      <c r="J31" s="960"/>
      <c r="K31" s="53">
        <f t="shared" si="16"/>
        <v>1</v>
      </c>
      <c r="L31" s="960"/>
      <c r="M31" s="53">
        <f t="shared" si="17"/>
        <v>1</v>
      </c>
      <c r="N31" s="960"/>
      <c r="O31" s="53">
        <f t="shared" si="18"/>
        <v>1</v>
      </c>
      <c r="P31" s="960"/>
      <c r="Q31" s="53">
        <f t="shared" si="19"/>
        <v>1</v>
      </c>
      <c r="R31" s="489">
        <f t="shared" si="20"/>
        <v>0</v>
      </c>
      <c r="S31" s="798">
        <f t="shared" si="11"/>
        <v>0</v>
      </c>
    </row>
    <row r="32" spans="1:45">
      <c r="A32" s="962"/>
      <c r="B32" s="137"/>
      <c r="C32" s="53">
        <f t="shared" si="12"/>
        <v>1</v>
      </c>
      <c r="D32" s="960"/>
      <c r="E32" s="53">
        <f t="shared" si="13"/>
        <v>0.1</v>
      </c>
      <c r="F32" s="960"/>
      <c r="G32" s="53">
        <f t="shared" si="14"/>
        <v>1</v>
      </c>
      <c r="H32" s="960"/>
      <c r="I32" s="53">
        <f t="shared" si="15"/>
        <v>1</v>
      </c>
      <c r="J32" s="960"/>
      <c r="K32" s="53">
        <f t="shared" si="16"/>
        <v>1</v>
      </c>
      <c r="L32" s="960"/>
      <c r="M32" s="53">
        <f t="shared" si="17"/>
        <v>1</v>
      </c>
      <c r="N32" s="960"/>
      <c r="O32" s="53">
        <f t="shared" si="18"/>
        <v>1</v>
      </c>
      <c r="P32" s="960"/>
      <c r="Q32" s="53">
        <f t="shared" si="19"/>
        <v>1</v>
      </c>
      <c r="R32" s="489">
        <f t="shared" si="20"/>
        <v>0</v>
      </c>
      <c r="S32" s="798">
        <f t="shared" si="11"/>
        <v>0</v>
      </c>
    </row>
    <row r="33" spans="1:19">
      <c r="A33" s="962"/>
      <c r="B33" s="137"/>
      <c r="C33" s="53">
        <f t="shared" si="12"/>
        <v>1</v>
      </c>
      <c r="D33" s="960"/>
      <c r="E33" s="53">
        <f t="shared" si="13"/>
        <v>0.1</v>
      </c>
      <c r="F33" s="960"/>
      <c r="G33" s="53">
        <f t="shared" si="14"/>
        <v>1</v>
      </c>
      <c r="H33" s="960"/>
      <c r="I33" s="53">
        <f t="shared" si="15"/>
        <v>1</v>
      </c>
      <c r="J33" s="960"/>
      <c r="K33" s="53">
        <f t="shared" si="16"/>
        <v>1</v>
      </c>
      <c r="L33" s="960"/>
      <c r="M33" s="53">
        <f t="shared" si="17"/>
        <v>1</v>
      </c>
      <c r="N33" s="960"/>
      <c r="O33" s="53">
        <f t="shared" si="18"/>
        <v>1</v>
      </c>
      <c r="P33" s="960"/>
      <c r="Q33" s="53">
        <f t="shared" si="19"/>
        <v>1</v>
      </c>
      <c r="R33" s="489">
        <f t="shared" si="20"/>
        <v>0</v>
      </c>
      <c r="S33" s="798">
        <f t="shared" si="11"/>
        <v>0</v>
      </c>
    </row>
    <row r="34" spans="1:19">
      <c r="A34" s="962"/>
      <c r="B34" s="137"/>
      <c r="C34" s="53">
        <f t="shared" si="12"/>
        <v>1</v>
      </c>
      <c r="D34" s="960"/>
      <c r="E34" s="53">
        <f t="shared" si="13"/>
        <v>0.1</v>
      </c>
      <c r="F34" s="960"/>
      <c r="G34" s="53">
        <f t="shared" si="14"/>
        <v>1</v>
      </c>
      <c r="H34" s="960"/>
      <c r="I34" s="53">
        <f t="shared" si="15"/>
        <v>1</v>
      </c>
      <c r="J34" s="960"/>
      <c r="K34" s="53">
        <f t="shared" si="16"/>
        <v>1</v>
      </c>
      <c r="L34" s="960"/>
      <c r="M34" s="53">
        <f t="shared" si="17"/>
        <v>1</v>
      </c>
      <c r="N34" s="960"/>
      <c r="O34" s="53">
        <f t="shared" si="18"/>
        <v>1</v>
      </c>
      <c r="P34" s="960"/>
      <c r="Q34" s="53">
        <f t="shared" si="19"/>
        <v>1</v>
      </c>
      <c r="R34" s="489">
        <f t="shared" si="20"/>
        <v>0</v>
      </c>
      <c r="S34" s="798">
        <f t="shared" si="11"/>
        <v>0</v>
      </c>
    </row>
    <row r="35" spans="1:19">
      <c r="A35" s="962"/>
      <c r="B35" s="137"/>
      <c r="C35" s="53">
        <f t="shared" si="12"/>
        <v>1</v>
      </c>
      <c r="D35" s="960"/>
      <c r="E35" s="53">
        <f t="shared" si="13"/>
        <v>0.1</v>
      </c>
      <c r="F35" s="960"/>
      <c r="G35" s="53">
        <f t="shared" si="14"/>
        <v>1</v>
      </c>
      <c r="H35" s="960"/>
      <c r="I35" s="53">
        <f t="shared" si="15"/>
        <v>1</v>
      </c>
      <c r="J35" s="960"/>
      <c r="K35" s="53">
        <f t="shared" si="16"/>
        <v>1</v>
      </c>
      <c r="L35" s="960"/>
      <c r="M35" s="53">
        <f t="shared" si="17"/>
        <v>1</v>
      </c>
      <c r="N35" s="960"/>
      <c r="O35" s="53">
        <f t="shared" si="18"/>
        <v>1</v>
      </c>
      <c r="P35" s="960"/>
      <c r="Q35" s="53">
        <f t="shared" si="19"/>
        <v>1</v>
      </c>
      <c r="R35" s="489">
        <f t="shared" si="20"/>
        <v>0</v>
      </c>
      <c r="S35" s="798">
        <f t="shared" si="11"/>
        <v>0</v>
      </c>
    </row>
    <row r="36" spans="1:19">
      <c r="A36" s="962"/>
      <c r="B36" s="137"/>
      <c r="C36" s="53">
        <f t="shared" si="12"/>
        <v>1</v>
      </c>
      <c r="D36" s="960"/>
      <c r="E36" s="53">
        <f t="shared" si="13"/>
        <v>0.1</v>
      </c>
      <c r="F36" s="960"/>
      <c r="G36" s="53">
        <f t="shared" si="14"/>
        <v>1</v>
      </c>
      <c r="H36" s="960"/>
      <c r="I36" s="53">
        <f t="shared" si="15"/>
        <v>1</v>
      </c>
      <c r="J36" s="960"/>
      <c r="K36" s="53">
        <f t="shared" si="16"/>
        <v>1</v>
      </c>
      <c r="L36" s="960"/>
      <c r="M36" s="53">
        <f t="shared" si="17"/>
        <v>1</v>
      </c>
      <c r="N36" s="960"/>
      <c r="O36" s="53">
        <f t="shared" si="18"/>
        <v>1</v>
      </c>
      <c r="P36" s="960"/>
      <c r="Q36" s="53">
        <f t="shared" si="19"/>
        <v>1</v>
      </c>
      <c r="R36" s="489">
        <f t="shared" si="20"/>
        <v>0</v>
      </c>
      <c r="S36" s="798">
        <f t="shared" si="11"/>
        <v>0</v>
      </c>
    </row>
    <row r="37" spans="1:19">
      <c r="A37" s="962"/>
      <c r="B37" s="137"/>
      <c r="C37" s="53">
        <f t="shared" si="12"/>
        <v>1</v>
      </c>
      <c r="D37" s="960"/>
      <c r="E37" s="53">
        <f t="shared" si="13"/>
        <v>0.1</v>
      </c>
      <c r="F37" s="960"/>
      <c r="G37" s="53">
        <f t="shared" si="14"/>
        <v>1</v>
      </c>
      <c r="H37" s="960"/>
      <c r="I37" s="53">
        <f t="shared" si="15"/>
        <v>1</v>
      </c>
      <c r="J37" s="960"/>
      <c r="K37" s="53">
        <f t="shared" si="16"/>
        <v>1</v>
      </c>
      <c r="L37" s="960"/>
      <c r="M37" s="53">
        <f t="shared" si="17"/>
        <v>1</v>
      </c>
      <c r="N37" s="960"/>
      <c r="O37" s="53">
        <f t="shared" si="18"/>
        <v>1</v>
      </c>
      <c r="P37" s="960"/>
      <c r="Q37" s="53">
        <f t="shared" si="19"/>
        <v>1</v>
      </c>
      <c r="R37" s="489">
        <f t="shared" si="20"/>
        <v>0</v>
      </c>
      <c r="S37" s="798">
        <f t="shared" si="11"/>
        <v>0</v>
      </c>
    </row>
    <row r="38" spans="1:19">
      <c r="A38" s="962"/>
      <c r="B38" s="137"/>
      <c r="C38" s="53">
        <f t="shared" si="12"/>
        <v>1</v>
      </c>
      <c r="D38" s="960"/>
      <c r="E38" s="53">
        <f t="shared" si="13"/>
        <v>0.1</v>
      </c>
      <c r="F38" s="960"/>
      <c r="G38" s="53">
        <f t="shared" si="14"/>
        <v>1</v>
      </c>
      <c r="H38" s="960"/>
      <c r="I38" s="53">
        <f t="shared" si="15"/>
        <v>1</v>
      </c>
      <c r="J38" s="960"/>
      <c r="K38" s="53">
        <f t="shared" si="16"/>
        <v>1</v>
      </c>
      <c r="L38" s="960"/>
      <c r="M38" s="53">
        <f t="shared" si="17"/>
        <v>1</v>
      </c>
      <c r="N38" s="960"/>
      <c r="O38" s="53">
        <f t="shared" si="18"/>
        <v>1</v>
      </c>
      <c r="P38" s="960"/>
      <c r="Q38" s="53">
        <f t="shared" si="19"/>
        <v>1</v>
      </c>
      <c r="R38" s="489">
        <f t="shared" si="20"/>
        <v>0</v>
      </c>
      <c r="S38" s="798">
        <f t="shared" si="11"/>
        <v>0</v>
      </c>
    </row>
    <row r="39" spans="1:19">
      <c r="A39" s="962"/>
      <c r="B39" s="137"/>
      <c r="C39" s="53">
        <f t="shared" si="12"/>
        <v>1</v>
      </c>
      <c r="D39" s="960"/>
      <c r="E39" s="53">
        <f t="shared" si="13"/>
        <v>0.1</v>
      </c>
      <c r="F39" s="960"/>
      <c r="G39" s="53">
        <f t="shared" si="14"/>
        <v>1</v>
      </c>
      <c r="H39" s="960"/>
      <c r="I39" s="53">
        <f t="shared" si="15"/>
        <v>1</v>
      </c>
      <c r="J39" s="960"/>
      <c r="K39" s="53">
        <f t="shared" si="16"/>
        <v>1</v>
      </c>
      <c r="L39" s="960"/>
      <c r="M39" s="53">
        <f t="shared" si="17"/>
        <v>1</v>
      </c>
      <c r="N39" s="960"/>
      <c r="O39" s="53">
        <f t="shared" si="18"/>
        <v>1</v>
      </c>
      <c r="P39" s="960"/>
      <c r="Q39" s="53">
        <f t="shared" si="19"/>
        <v>1</v>
      </c>
      <c r="R39" s="489">
        <f t="shared" si="20"/>
        <v>0</v>
      </c>
      <c r="S39" s="798">
        <f t="shared" si="11"/>
        <v>0</v>
      </c>
    </row>
    <row r="40" spans="1:19">
      <c r="A40" s="962"/>
      <c r="B40" s="137"/>
      <c r="C40" s="53">
        <f t="shared" si="12"/>
        <v>1</v>
      </c>
      <c r="D40" s="960"/>
      <c r="E40" s="53">
        <f t="shared" si="13"/>
        <v>0.1</v>
      </c>
      <c r="F40" s="960"/>
      <c r="G40" s="53">
        <f t="shared" si="14"/>
        <v>1</v>
      </c>
      <c r="H40" s="960"/>
      <c r="I40" s="53">
        <f t="shared" si="15"/>
        <v>1</v>
      </c>
      <c r="J40" s="960"/>
      <c r="K40" s="53">
        <f t="shared" si="16"/>
        <v>1</v>
      </c>
      <c r="L40" s="960"/>
      <c r="M40" s="53">
        <f t="shared" si="17"/>
        <v>1</v>
      </c>
      <c r="N40" s="960"/>
      <c r="O40" s="53">
        <f t="shared" si="18"/>
        <v>1</v>
      </c>
      <c r="P40" s="960"/>
      <c r="Q40" s="53">
        <f t="shared" si="19"/>
        <v>1</v>
      </c>
      <c r="R40" s="489">
        <f t="shared" si="20"/>
        <v>0</v>
      </c>
      <c r="S40" s="798">
        <f t="shared" si="11"/>
        <v>0</v>
      </c>
    </row>
    <row r="41" spans="1:19">
      <c r="A41" s="962"/>
      <c r="B41" s="137"/>
      <c r="C41" s="53">
        <f t="shared" si="12"/>
        <v>1</v>
      </c>
      <c r="D41" s="960"/>
      <c r="E41" s="53">
        <f t="shared" si="13"/>
        <v>0.1</v>
      </c>
      <c r="F41" s="960"/>
      <c r="G41" s="53">
        <f t="shared" si="14"/>
        <v>1</v>
      </c>
      <c r="H41" s="960"/>
      <c r="I41" s="53">
        <f t="shared" si="15"/>
        <v>1</v>
      </c>
      <c r="J41" s="960"/>
      <c r="K41" s="53">
        <f t="shared" si="16"/>
        <v>1</v>
      </c>
      <c r="L41" s="960"/>
      <c r="M41" s="53">
        <f t="shared" si="17"/>
        <v>1</v>
      </c>
      <c r="N41" s="960"/>
      <c r="O41" s="53">
        <f t="shared" si="18"/>
        <v>1</v>
      </c>
      <c r="P41" s="960"/>
      <c r="Q41" s="53">
        <f t="shared" si="19"/>
        <v>1</v>
      </c>
      <c r="R41" s="489">
        <f t="shared" si="20"/>
        <v>0</v>
      </c>
      <c r="S41" s="798">
        <f t="shared" si="11"/>
        <v>0</v>
      </c>
    </row>
    <row r="42" spans="1:19">
      <c r="A42" s="962"/>
      <c r="B42" s="137"/>
      <c r="C42" s="53">
        <f t="shared" si="12"/>
        <v>1</v>
      </c>
      <c r="D42" s="960"/>
      <c r="E42" s="53">
        <f t="shared" si="13"/>
        <v>0.1</v>
      </c>
      <c r="F42" s="960"/>
      <c r="G42" s="53">
        <f t="shared" si="14"/>
        <v>1</v>
      </c>
      <c r="H42" s="960"/>
      <c r="I42" s="53">
        <f t="shared" si="15"/>
        <v>1</v>
      </c>
      <c r="J42" s="960"/>
      <c r="K42" s="53">
        <f t="shared" si="16"/>
        <v>1</v>
      </c>
      <c r="L42" s="960"/>
      <c r="M42" s="53">
        <f t="shared" si="17"/>
        <v>1</v>
      </c>
      <c r="N42" s="960"/>
      <c r="O42" s="53">
        <f t="shared" si="18"/>
        <v>1</v>
      </c>
      <c r="P42" s="960"/>
      <c r="Q42" s="53">
        <f t="shared" si="19"/>
        <v>1</v>
      </c>
      <c r="R42" s="489">
        <f t="shared" si="20"/>
        <v>0</v>
      </c>
      <c r="S42" s="798">
        <f t="shared" si="11"/>
        <v>0</v>
      </c>
    </row>
    <row r="43" spans="1:19">
      <c r="A43" s="962"/>
      <c r="B43" s="137"/>
      <c r="C43" s="53">
        <f t="shared" si="12"/>
        <v>1</v>
      </c>
      <c r="D43" s="960"/>
      <c r="E43" s="53">
        <f t="shared" si="13"/>
        <v>0.1</v>
      </c>
      <c r="F43" s="960"/>
      <c r="G43" s="53">
        <f t="shared" si="14"/>
        <v>1</v>
      </c>
      <c r="H43" s="960"/>
      <c r="I43" s="53">
        <f t="shared" si="15"/>
        <v>1</v>
      </c>
      <c r="J43" s="960"/>
      <c r="K43" s="53">
        <f t="shared" si="16"/>
        <v>1</v>
      </c>
      <c r="L43" s="960"/>
      <c r="M43" s="53">
        <f t="shared" si="17"/>
        <v>1</v>
      </c>
      <c r="N43" s="960"/>
      <c r="O43" s="53">
        <f t="shared" si="18"/>
        <v>1</v>
      </c>
      <c r="P43" s="960"/>
      <c r="Q43" s="53">
        <f t="shared" si="19"/>
        <v>1</v>
      </c>
      <c r="R43" s="489">
        <f t="shared" si="20"/>
        <v>0</v>
      </c>
      <c r="S43" s="798">
        <f t="shared" si="11"/>
        <v>0</v>
      </c>
    </row>
    <row r="44" spans="1:19">
      <c r="A44" s="962"/>
      <c r="B44" s="137"/>
      <c r="C44" s="53">
        <f t="shared" si="12"/>
        <v>1</v>
      </c>
      <c r="D44" s="960"/>
      <c r="E44" s="53">
        <f t="shared" si="13"/>
        <v>0.1</v>
      </c>
      <c r="F44" s="960"/>
      <c r="G44" s="53">
        <f t="shared" si="14"/>
        <v>1</v>
      </c>
      <c r="H44" s="960"/>
      <c r="I44" s="53">
        <f t="shared" si="15"/>
        <v>1</v>
      </c>
      <c r="J44" s="960"/>
      <c r="K44" s="53">
        <f t="shared" si="16"/>
        <v>1</v>
      </c>
      <c r="L44" s="960"/>
      <c r="M44" s="53">
        <f t="shared" si="17"/>
        <v>1</v>
      </c>
      <c r="N44" s="960"/>
      <c r="O44" s="53">
        <f t="shared" si="18"/>
        <v>1</v>
      </c>
      <c r="P44" s="960"/>
      <c r="Q44" s="53">
        <f t="shared" si="19"/>
        <v>1</v>
      </c>
      <c r="R44" s="489">
        <f t="shared" si="20"/>
        <v>0</v>
      </c>
      <c r="S44" s="798">
        <f t="shared" si="11"/>
        <v>0</v>
      </c>
    </row>
    <row r="45" spans="1:19">
      <c r="A45" s="962"/>
      <c r="B45" s="137"/>
      <c r="C45" s="53">
        <f t="shared" si="12"/>
        <v>1</v>
      </c>
      <c r="D45" s="960"/>
      <c r="E45" s="53">
        <f t="shared" si="13"/>
        <v>0.1</v>
      </c>
      <c r="F45" s="960"/>
      <c r="G45" s="53">
        <f t="shared" si="14"/>
        <v>1</v>
      </c>
      <c r="H45" s="960"/>
      <c r="I45" s="53">
        <f t="shared" si="15"/>
        <v>1</v>
      </c>
      <c r="J45" s="960"/>
      <c r="K45" s="53">
        <f t="shared" si="16"/>
        <v>1</v>
      </c>
      <c r="L45" s="960"/>
      <c r="M45" s="53">
        <f t="shared" si="17"/>
        <v>1</v>
      </c>
      <c r="N45" s="960"/>
      <c r="O45" s="53">
        <f t="shared" si="18"/>
        <v>1</v>
      </c>
      <c r="P45" s="960"/>
      <c r="Q45" s="53">
        <f t="shared" si="19"/>
        <v>1</v>
      </c>
      <c r="R45" s="489">
        <f t="shared" si="20"/>
        <v>0</v>
      </c>
      <c r="S45" s="798">
        <f t="shared" si="11"/>
        <v>0</v>
      </c>
    </row>
    <row r="46" spans="1:19">
      <c r="A46" s="962"/>
      <c r="B46" s="137"/>
      <c r="C46" s="53">
        <f t="shared" si="12"/>
        <v>1</v>
      </c>
      <c r="D46" s="960"/>
      <c r="E46" s="53">
        <f t="shared" si="13"/>
        <v>0.1</v>
      </c>
      <c r="F46" s="960"/>
      <c r="G46" s="53">
        <f t="shared" si="14"/>
        <v>1</v>
      </c>
      <c r="H46" s="960"/>
      <c r="I46" s="53">
        <f t="shared" si="15"/>
        <v>1</v>
      </c>
      <c r="J46" s="960"/>
      <c r="K46" s="53">
        <f t="shared" si="16"/>
        <v>1</v>
      </c>
      <c r="L46" s="960"/>
      <c r="M46" s="53">
        <f t="shared" si="17"/>
        <v>1</v>
      </c>
      <c r="N46" s="960"/>
      <c r="O46" s="53">
        <f t="shared" si="18"/>
        <v>1</v>
      </c>
      <c r="P46" s="960"/>
      <c r="Q46" s="53">
        <f t="shared" si="19"/>
        <v>1</v>
      </c>
      <c r="R46" s="489">
        <f t="shared" si="20"/>
        <v>0</v>
      </c>
      <c r="S46" s="798">
        <f t="shared" si="11"/>
        <v>0</v>
      </c>
    </row>
    <row r="47" spans="1:19">
      <c r="A47" s="962"/>
      <c r="B47" s="137"/>
      <c r="C47" s="53">
        <f t="shared" si="12"/>
        <v>1</v>
      </c>
      <c r="D47" s="960"/>
      <c r="E47" s="53">
        <f t="shared" si="13"/>
        <v>0.1</v>
      </c>
      <c r="F47" s="960"/>
      <c r="G47" s="53">
        <f t="shared" si="14"/>
        <v>1</v>
      </c>
      <c r="H47" s="960"/>
      <c r="I47" s="53">
        <f t="shared" si="15"/>
        <v>1</v>
      </c>
      <c r="J47" s="960"/>
      <c r="K47" s="53">
        <f t="shared" si="16"/>
        <v>1</v>
      </c>
      <c r="L47" s="960"/>
      <c r="M47" s="53">
        <f t="shared" si="17"/>
        <v>1</v>
      </c>
      <c r="N47" s="960"/>
      <c r="O47" s="53">
        <f t="shared" si="18"/>
        <v>1</v>
      </c>
      <c r="P47" s="960"/>
      <c r="Q47" s="53">
        <f t="shared" si="19"/>
        <v>1</v>
      </c>
      <c r="R47" s="489">
        <f t="shared" si="20"/>
        <v>0</v>
      </c>
      <c r="S47" s="798">
        <f t="shared" si="11"/>
        <v>0</v>
      </c>
    </row>
    <row r="48" spans="1:19">
      <c r="A48" s="962"/>
      <c r="B48" s="137"/>
      <c r="C48" s="53">
        <f t="shared" si="12"/>
        <v>1</v>
      </c>
      <c r="D48" s="960"/>
      <c r="E48" s="53">
        <f t="shared" si="13"/>
        <v>0.1</v>
      </c>
      <c r="F48" s="960"/>
      <c r="G48" s="53">
        <f t="shared" si="14"/>
        <v>1</v>
      </c>
      <c r="H48" s="960"/>
      <c r="I48" s="53">
        <f t="shared" si="15"/>
        <v>1</v>
      </c>
      <c r="J48" s="960"/>
      <c r="K48" s="53">
        <f t="shared" si="16"/>
        <v>1</v>
      </c>
      <c r="L48" s="960"/>
      <c r="M48" s="53">
        <f t="shared" si="17"/>
        <v>1</v>
      </c>
      <c r="N48" s="960"/>
      <c r="O48" s="53">
        <f t="shared" si="18"/>
        <v>1</v>
      </c>
      <c r="P48" s="960"/>
      <c r="Q48" s="53">
        <f t="shared" si="19"/>
        <v>1</v>
      </c>
      <c r="R48" s="489">
        <f t="shared" si="20"/>
        <v>0</v>
      </c>
      <c r="S48" s="798">
        <f t="shared" si="11"/>
        <v>0</v>
      </c>
    </row>
    <row r="49" spans="1:19">
      <c r="A49" s="962"/>
      <c r="B49" s="137"/>
      <c r="C49" s="53">
        <f t="shared" si="12"/>
        <v>1</v>
      </c>
      <c r="D49" s="960"/>
      <c r="E49" s="53">
        <f t="shared" si="13"/>
        <v>0.1</v>
      </c>
      <c r="F49" s="960"/>
      <c r="G49" s="53">
        <f t="shared" si="14"/>
        <v>1</v>
      </c>
      <c r="H49" s="960"/>
      <c r="I49" s="53">
        <f t="shared" si="15"/>
        <v>1</v>
      </c>
      <c r="J49" s="960"/>
      <c r="K49" s="53">
        <f t="shared" si="16"/>
        <v>1</v>
      </c>
      <c r="L49" s="960"/>
      <c r="M49" s="53">
        <f t="shared" si="17"/>
        <v>1</v>
      </c>
      <c r="N49" s="960"/>
      <c r="O49" s="53">
        <f t="shared" si="18"/>
        <v>1</v>
      </c>
      <c r="P49" s="960"/>
      <c r="Q49" s="53">
        <f t="shared" si="19"/>
        <v>1</v>
      </c>
      <c r="R49" s="489">
        <f t="shared" si="20"/>
        <v>0</v>
      </c>
      <c r="S49" s="798">
        <f t="shared" si="11"/>
        <v>0</v>
      </c>
    </row>
    <row r="50" spans="1:19">
      <c r="A50" s="962"/>
      <c r="B50" s="137"/>
      <c r="C50" s="53">
        <f t="shared" si="12"/>
        <v>1</v>
      </c>
      <c r="D50" s="960"/>
      <c r="E50" s="53">
        <f t="shared" si="13"/>
        <v>0.1</v>
      </c>
      <c r="F50" s="960"/>
      <c r="G50" s="53">
        <f t="shared" si="14"/>
        <v>1</v>
      </c>
      <c r="H50" s="960"/>
      <c r="I50" s="53">
        <f t="shared" si="15"/>
        <v>1</v>
      </c>
      <c r="J50" s="960"/>
      <c r="K50" s="53">
        <f t="shared" si="16"/>
        <v>1</v>
      </c>
      <c r="L50" s="960"/>
      <c r="M50" s="53">
        <f t="shared" si="17"/>
        <v>1</v>
      </c>
      <c r="N50" s="960"/>
      <c r="O50" s="53">
        <f t="shared" si="18"/>
        <v>1</v>
      </c>
      <c r="P50" s="960"/>
      <c r="Q50" s="53">
        <f t="shared" si="19"/>
        <v>1</v>
      </c>
      <c r="R50" s="489">
        <f t="shared" si="20"/>
        <v>0</v>
      </c>
      <c r="S50" s="798">
        <f t="shared" si="11"/>
        <v>0</v>
      </c>
    </row>
    <row r="51" spans="1:19">
      <c r="A51" s="962"/>
      <c r="B51" s="137"/>
      <c r="C51" s="53">
        <f t="shared" si="12"/>
        <v>1</v>
      </c>
      <c r="D51" s="960"/>
      <c r="E51" s="53">
        <f t="shared" si="13"/>
        <v>0.1</v>
      </c>
      <c r="F51" s="960"/>
      <c r="G51" s="53">
        <f t="shared" si="14"/>
        <v>1</v>
      </c>
      <c r="H51" s="960"/>
      <c r="I51" s="53">
        <f t="shared" si="15"/>
        <v>1</v>
      </c>
      <c r="J51" s="960"/>
      <c r="K51" s="53">
        <f t="shared" si="16"/>
        <v>1</v>
      </c>
      <c r="L51" s="960"/>
      <c r="M51" s="53">
        <f t="shared" si="17"/>
        <v>1</v>
      </c>
      <c r="N51" s="960"/>
      <c r="O51" s="53">
        <f t="shared" si="18"/>
        <v>1</v>
      </c>
      <c r="P51" s="960"/>
      <c r="Q51" s="53">
        <f t="shared" si="19"/>
        <v>1</v>
      </c>
      <c r="R51" s="489">
        <f t="shared" si="20"/>
        <v>0</v>
      </c>
      <c r="S51" s="798">
        <f t="shared" si="11"/>
        <v>0</v>
      </c>
    </row>
    <row r="52" spans="1:19">
      <c r="A52" s="962"/>
      <c r="B52" s="137"/>
      <c r="C52" s="53">
        <f t="shared" si="12"/>
        <v>1</v>
      </c>
      <c r="D52" s="960"/>
      <c r="E52" s="53">
        <f t="shared" si="13"/>
        <v>0.1</v>
      </c>
      <c r="F52" s="960"/>
      <c r="G52" s="53">
        <f t="shared" si="14"/>
        <v>1</v>
      </c>
      <c r="H52" s="960"/>
      <c r="I52" s="53">
        <f t="shared" si="15"/>
        <v>1</v>
      </c>
      <c r="J52" s="960"/>
      <c r="K52" s="53">
        <f t="shared" si="16"/>
        <v>1</v>
      </c>
      <c r="L52" s="960"/>
      <c r="M52" s="53">
        <f t="shared" si="17"/>
        <v>1</v>
      </c>
      <c r="N52" s="960"/>
      <c r="O52" s="53">
        <f t="shared" si="18"/>
        <v>1</v>
      </c>
      <c r="P52" s="960"/>
      <c r="Q52" s="53">
        <f t="shared" si="19"/>
        <v>1</v>
      </c>
      <c r="R52" s="489">
        <f t="shared" si="20"/>
        <v>0</v>
      </c>
      <c r="S52" s="798">
        <f t="shared" si="11"/>
        <v>0</v>
      </c>
    </row>
    <row r="53" spans="1:19">
      <c r="A53" s="962"/>
      <c r="B53" s="137"/>
      <c r="C53" s="53">
        <f t="shared" si="12"/>
        <v>1</v>
      </c>
      <c r="D53" s="960"/>
      <c r="E53" s="53">
        <f t="shared" si="13"/>
        <v>0.1</v>
      </c>
      <c r="F53" s="960"/>
      <c r="G53" s="53">
        <f t="shared" si="14"/>
        <v>1</v>
      </c>
      <c r="H53" s="960"/>
      <c r="I53" s="53">
        <f t="shared" si="15"/>
        <v>1</v>
      </c>
      <c r="J53" s="960"/>
      <c r="K53" s="53">
        <f t="shared" si="16"/>
        <v>1</v>
      </c>
      <c r="L53" s="960"/>
      <c r="M53" s="53">
        <f t="shared" si="17"/>
        <v>1</v>
      </c>
      <c r="N53" s="960"/>
      <c r="O53" s="53">
        <f t="shared" si="18"/>
        <v>1</v>
      </c>
      <c r="P53" s="960"/>
      <c r="Q53" s="53">
        <f t="shared" si="19"/>
        <v>1</v>
      </c>
      <c r="R53" s="489">
        <f t="shared" si="20"/>
        <v>0</v>
      </c>
      <c r="S53" s="798">
        <f t="shared" si="11"/>
        <v>0</v>
      </c>
    </row>
    <row r="54" spans="1:19">
      <c r="A54" s="962"/>
      <c r="B54" s="137"/>
      <c r="C54" s="53">
        <f t="shared" si="12"/>
        <v>1</v>
      </c>
      <c r="D54" s="960"/>
      <c r="E54" s="53">
        <f t="shared" si="13"/>
        <v>0.1</v>
      </c>
      <c r="F54" s="960"/>
      <c r="G54" s="53">
        <f t="shared" si="14"/>
        <v>1</v>
      </c>
      <c r="H54" s="960"/>
      <c r="I54" s="53">
        <f t="shared" si="15"/>
        <v>1</v>
      </c>
      <c r="J54" s="960"/>
      <c r="K54" s="53">
        <f t="shared" si="16"/>
        <v>1</v>
      </c>
      <c r="L54" s="960"/>
      <c r="M54" s="53">
        <f t="shared" si="17"/>
        <v>1</v>
      </c>
      <c r="N54" s="960"/>
      <c r="O54" s="53">
        <f t="shared" si="18"/>
        <v>1</v>
      </c>
      <c r="P54" s="960"/>
      <c r="Q54" s="53">
        <f t="shared" si="19"/>
        <v>1</v>
      </c>
      <c r="R54" s="489">
        <f t="shared" si="20"/>
        <v>0</v>
      </c>
      <c r="S54" s="798">
        <f t="shared" si="11"/>
        <v>0</v>
      </c>
    </row>
    <row r="55" spans="1:19">
      <c r="A55" s="962"/>
      <c r="B55" s="137"/>
      <c r="C55" s="53">
        <f t="shared" si="12"/>
        <v>1</v>
      </c>
      <c r="D55" s="960"/>
      <c r="E55" s="53">
        <f t="shared" si="13"/>
        <v>0.1</v>
      </c>
      <c r="F55" s="960"/>
      <c r="G55" s="53">
        <f t="shared" si="14"/>
        <v>1</v>
      </c>
      <c r="H55" s="960"/>
      <c r="I55" s="53">
        <f t="shared" si="15"/>
        <v>1</v>
      </c>
      <c r="J55" s="960"/>
      <c r="K55" s="53">
        <f t="shared" si="16"/>
        <v>1</v>
      </c>
      <c r="L55" s="960"/>
      <c r="M55" s="53">
        <f t="shared" si="17"/>
        <v>1</v>
      </c>
      <c r="N55" s="960"/>
      <c r="O55" s="53">
        <f t="shared" si="18"/>
        <v>1</v>
      </c>
      <c r="P55" s="960"/>
      <c r="Q55" s="53">
        <f t="shared" si="19"/>
        <v>1</v>
      </c>
      <c r="R55" s="489">
        <f t="shared" si="20"/>
        <v>0</v>
      </c>
      <c r="S55" s="798">
        <f t="shared" ref="S55:S77" si="21">ROUND(R55*B55/10000,0)</f>
        <v>0</v>
      </c>
    </row>
    <row r="56" spans="1:19">
      <c r="A56" s="962"/>
      <c r="B56" s="137"/>
      <c r="C56" s="53">
        <f t="shared" si="12"/>
        <v>1</v>
      </c>
      <c r="D56" s="960"/>
      <c r="E56" s="53">
        <f t="shared" si="13"/>
        <v>0.1</v>
      </c>
      <c r="F56" s="960"/>
      <c r="G56" s="53">
        <f t="shared" si="14"/>
        <v>1</v>
      </c>
      <c r="H56" s="960"/>
      <c r="I56" s="53">
        <f t="shared" si="15"/>
        <v>1</v>
      </c>
      <c r="J56" s="960"/>
      <c r="K56" s="53">
        <f t="shared" si="16"/>
        <v>1</v>
      </c>
      <c r="L56" s="960"/>
      <c r="M56" s="53">
        <f t="shared" si="17"/>
        <v>1</v>
      </c>
      <c r="N56" s="960"/>
      <c r="O56" s="53">
        <f t="shared" si="18"/>
        <v>1</v>
      </c>
      <c r="P56" s="960"/>
      <c r="Q56" s="53">
        <f t="shared" si="19"/>
        <v>1</v>
      </c>
      <c r="R56" s="489">
        <f t="shared" si="20"/>
        <v>0</v>
      </c>
      <c r="S56" s="798">
        <f t="shared" si="21"/>
        <v>0</v>
      </c>
    </row>
    <row r="57" spans="1:19">
      <c r="A57" s="962"/>
      <c r="B57" s="137"/>
      <c r="C57" s="53">
        <f t="shared" si="12"/>
        <v>1</v>
      </c>
      <c r="D57" s="960"/>
      <c r="E57" s="53">
        <f t="shared" si="13"/>
        <v>0.1</v>
      </c>
      <c r="F57" s="960"/>
      <c r="G57" s="53">
        <f t="shared" si="14"/>
        <v>1</v>
      </c>
      <c r="H57" s="960"/>
      <c r="I57" s="53">
        <f t="shared" si="15"/>
        <v>1</v>
      </c>
      <c r="J57" s="960"/>
      <c r="K57" s="53">
        <f t="shared" si="16"/>
        <v>1</v>
      </c>
      <c r="L57" s="960"/>
      <c r="M57" s="53">
        <f t="shared" si="17"/>
        <v>1</v>
      </c>
      <c r="N57" s="960"/>
      <c r="O57" s="53">
        <f t="shared" si="18"/>
        <v>1</v>
      </c>
      <c r="P57" s="960"/>
      <c r="Q57" s="53">
        <f t="shared" si="19"/>
        <v>1</v>
      </c>
      <c r="R57" s="489">
        <f t="shared" si="20"/>
        <v>0</v>
      </c>
      <c r="S57" s="798">
        <f t="shared" si="21"/>
        <v>0</v>
      </c>
    </row>
    <row r="58" spans="1:19">
      <c r="A58" s="962"/>
      <c r="B58" s="137"/>
      <c r="C58" s="53">
        <f t="shared" si="12"/>
        <v>1</v>
      </c>
      <c r="D58" s="960"/>
      <c r="E58" s="53">
        <f t="shared" si="13"/>
        <v>0.1</v>
      </c>
      <c r="F58" s="960"/>
      <c r="G58" s="53">
        <f t="shared" si="14"/>
        <v>1</v>
      </c>
      <c r="H58" s="960"/>
      <c r="I58" s="53">
        <f t="shared" si="15"/>
        <v>1</v>
      </c>
      <c r="J58" s="960"/>
      <c r="K58" s="53">
        <f t="shared" si="16"/>
        <v>1</v>
      </c>
      <c r="L58" s="960"/>
      <c r="M58" s="53">
        <f t="shared" si="17"/>
        <v>1</v>
      </c>
      <c r="N58" s="960"/>
      <c r="O58" s="53">
        <f t="shared" si="18"/>
        <v>1</v>
      </c>
      <c r="P58" s="960"/>
      <c r="Q58" s="53">
        <f t="shared" si="19"/>
        <v>1</v>
      </c>
      <c r="R58" s="489">
        <f t="shared" si="20"/>
        <v>0</v>
      </c>
      <c r="S58" s="798">
        <f t="shared" si="21"/>
        <v>0</v>
      </c>
    </row>
    <row r="59" spans="1:19">
      <c r="A59" s="962"/>
      <c r="B59" s="137"/>
      <c r="C59" s="53">
        <f t="shared" si="12"/>
        <v>1</v>
      </c>
      <c r="D59" s="960"/>
      <c r="E59" s="53">
        <f t="shared" si="13"/>
        <v>0.1</v>
      </c>
      <c r="F59" s="960"/>
      <c r="G59" s="53">
        <f t="shared" si="14"/>
        <v>1</v>
      </c>
      <c r="H59" s="960"/>
      <c r="I59" s="53">
        <f t="shared" si="15"/>
        <v>1</v>
      </c>
      <c r="J59" s="960"/>
      <c r="K59" s="53">
        <f t="shared" si="16"/>
        <v>1</v>
      </c>
      <c r="L59" s="960"/>
      <c r="M59" s="53">
        <f t="shared" si="17"/>
        <v>1</v>
      </c>
      <c r="N59" s="960"/>
      <c r="O59" s="53">
        <f t="shared" si="18"/>
        <v>1</v>
      </c>
      <c r="P59" s="960"/>
      <c r="Q59" s="53">
        <f t="shared" si="19"/>
        <v>1</v>
      </c>
      <c r="R59" s="489">
        <f t="shared" si="20"/>
        <v>0</v>
      </c>
      <c r="S59" s="798">
        <f t="shared" si="21"/>
        <v>0</v>
      </c>
    </row>
    <row r="60" spans="1:19">
      <c r="A60" s="962"/>
      <c r="B60" s="137"/>
      <c r="C60" s="53">
        <f t="shared" si="12"/>
        <v>1</v>
      </c>
      <c r="D60" s="960"/>
      <c r="E60" s="53">
        <f t="shared" si="13"/>
        <v>0.1</v>
      </c>
      <c r="F60" s="960"/>
      <c r="G60" s="53">
        <f t="shared" si="14"/>
        <v>1</v>
      </c>
      <c r="H60" s="960"/>
      <c r="I60" s="53">
        <f t="shared" si="15"/>
        <v>1</v>
      </c>
      <c r="J60" s="960"/>
      <c r="K60" s="53">
        <f t="shared" si="16"/>
        <v>1</v>
      </c>
      <c r="L60" s="960"/>
      <c r="M60" s="53">
        <f t="shared" si="17"/>
        <v>1</v>
      </c>
      <c r="N60" s="960"/>
      <c r="O60" s="53">
        <f t="shared" si="18"/>
        <v>1</v>
      </c>
      <c r="P60" s="960"/>
      <c r="Q60" s="53">
        <f t="shared" si="19"/>
        <v>1</v>
      </c>
      <c r="R60" s="489">
        <f t="shared" si="20"/>
        <v>0</v>
      </c>
      <c r="S60" s="798">
        <f t="shared" si="21"/>
        <v>0</v>
      </c>
    </row>
    <row r="61" spans="1:19">
      <c r="A61" s="962"/>
      <c r="B61" s="137"/>
      <c r="C61" s="53">
        <f t="shared" si="12"/>
        <v>1</v>
      </c>
      <c r="D61" s="960"/>
      <c r="E61" s="53">
        <f t="shared" si="13"/>
        <v>0.1</v>
      </c>
      <c r="F61" s="960"/>
      <c r="G61" s="53">
        <f t="shared" si="14"/>
        <v>1</v>
      </c>
      <c r="H61" s="960"/>
      <c r="I61" s="53">
        <f t="shared" si="15"/>
        <v>1</v>
      </c>
      <c r="J61" s="960"/>
      <c r="K61" s="53">
        <f t="shared" si="16"/>
        <v>1</v>
      </c>
      <c r="L61" s="960"/>
      <c r="M61" s="53">
        <f t="shared" si="17"/>
        <v>1</v>
      </c>
      <c r="N61" s="960"/>
      <c r="O61" s="53">
        <f t="shared" si="18"/>
        <v>1</v>
      </c>
      <c r="P61" s="960"/>
      <c r="Q61" s="53">
        <f t="shared" si="19"/>
        <v>1</v>
      </c>
      <c r="R61" s="489">
        <f t="shared" si="20"/>
        <v>0</v>
      </c>
      <c r="S61" s="798">
        <f t="shared" si="21"/>
        <v>0</v>
      </c>
    </row>
    <row r="62" spans="1:19">
      <c r="A62" s="962"/>
      <c r="B62" s="137"/>
      <c r="C62" s="53">
        <f t="shared" si="12"/>
        <v>1</v>
      </c>
      <c r="D62" s="960"/>
      <c r="E62" s="53">
        <f t="shared" si="13"/>
        <v>0.1</v>
      </c>
      <c r="F62" s="960"/>
      <c r="G62" s="53">
        <f t="shared" si="14"/>
        <v>1</v>
      </c>
      <c r="H62" s="960"/>
      <c r="I62" s="53">
        <f t="shared" si="15"/>
        <v>1</v>
      </c>
      <c r="J62" s="960"/>
      <c r="K62" s="53">
        <f t="shared" si="16"/>
        <v>1</v>
      </c>
      <c r="L62" s="960"/>
      <c r="M62" s="53">
        <f t="shared" si="17"/>
        <v>1</v>
      </c>
      <c r="N62" s="960"/>
      <c r="O62" s="53">
        <f t="shared" si="18"/>
        <v>1</v>
      </c>
      <c r="P62" s="960"/>
      <c r="Q62" s="53">
        <f t="shared" si="19"/>
        <v>1</v>
      </c>
      <c r="R62" s="489">
        <f t="shared" si="20"/>
        <v>0</v>
      </c>
      <c r="S62" s="798">
        <f t="shared" si="21"/>
        <v>0</v>
      </c>
    </row>
    <row r="63" spans="1:19">
      <c r="A63" s="962"/>
      <c r="B63" s="137"/>
      <c r="C63" s="53">
        <f t="shared" si="12"/>
        <v>1</v>
      </c>
      <c r="D63" s="960"/>
      <c r="E63" s="53">
        <f t="shared" si="13"/>
        <v>0.1</v>
      </c>
      <c r="F63" s="960"/>
      <c r="G63" s="53">
        <f t="shared" si="14"/>
        <v>1</v>
      </c>
      <c r="H63" s="960"/>
      <c r="I63" s="53">
        <f t="shared" si="15"/>
        <v>1</v>
      </c>
      <c r="J63" s="960"/>
      <c r="K63" s="53">
        <f t="shared" si="16"/>
        <v>1</v>
      </c>
      <c r="L63" s="960"/>
      <c r="M63" s="53">
        <f t="shared" si="17"/>
        <v>1</v>
      </c>
      <c r="N63" s="960"/>
      <c r="O63" s="53">
        <f t="shared" si="18"/>
        <v>1</v>
      </c>
      <c r="P63" s="960"/>
      <c r="Q63" s="53">
        <f t="shared" si="19"/>
        <v>1</v>
      </c>
      <c r="R63" s="489">
        <f t="shared" si="20"/>
        <v>0</v>
      </c>
      <c r="S63" s="798">
        <f t="shared" si="21"/>
        <v>0</v>
      </c>
    </row>
    <row r="64" spans="1:19">
      <c r="A64" s="962"/>
      <c r="B64" s="137"/>
      <c r="C64" s="53">
        <f t="shared" si="12"/>
        <v>1</v>
      </c>
      <c r="D64" s="960"/>
      <c r="E64" s="53">
        <f t="shared" si="13"/>
        <v>0.1</v>
      </c>
      <c r="F64" s="960"/>
      <c r="G64" s="53">
        <f t="shared" si="14"/>
        <v>1</v>
      </c>
      <c r="H64" s="960"/>
      <c r="I64" s="53">
        <f t="shared" si="15"/>
        <v>1</v>
      </c>
      <c r="J64" s="960"/>
      <c r="K64" s="53">
        <f t="shared" si="16"/>
        <v>1</v>
      </c>
      <c r="L64" s="960"/>
      <c r="M64" s="53">
        <f t="shared" si="17"/>
        <v>1</v>
      </c>
      <c r="N64" s="960"/>
      <c r="O64" s="53">
        <f t="shared" si="18"/>
        <v>1</v>
      </c>
      <c r="P64" s="960"/>
      <c r="Q64" s="53">
        <f t="shared" si="19"/>
        <v>1</v>
      </c>
      <c r="R64" s="489">
        <f t="shared" si="20"/>
        <v>0</v>
      </c>
      <c r="S64" s="798">
        <f t="shared" si="21"/>
        <v>0</v>
      </c>
    </row>
    <row r="65" spans="1:19">
      <c r="A65" s="962"/>
      <c r="B65" s="137"/>
      <c r="C65" s="53">
        <f t="shared" si="12"/>
        <v>1</v>
      </c>
      <c r="D65" s="960"/>
      <c r="E65" s="53">
        <f t="shared" si="13"/>
        <v>0.1</v>
      </c>
      <c r="F65" s="960"/>
      <c r="G65" s="53">
        <f t="shared" si="14"/>
        <v>1</v>
      </c>
      <c r="H65" s="960"/>
      <c r="I65" s="53">
        <f t="shared" si="15"/>
        <v>1</v>
      </c>
      <c r="J65" s="960"/>
      <c r="K65" s="53">
        <f t="shared" si="16"/>
        <v>1</v>
      </c>
      <c r="L65" s="960"/>
      <c r="M65" s="53">
        <f t="shared" si="17"/>
        <v>1</v>
      </c>
      <c r="N65" s="960"/>
      <c r="O65" s="53">
        <f t="shared" si="18"/>
        <v>1</v>
      </c>
      <c r="P65" s="960"/>
      <c r="Q65" s="53">
        <f t="shared" si="19"/>
        <v>1</v>
      </c>
      <c r="R65" s="489">
        <f t="shared" si="20"/>
        <v>0</v>
      </c>
      <c r="S65" s="798">
        <f t="shared" si="21"/>
        <v>0</v>
      </c>
    </row>
    <row r="66" spans="1:19">
      <c r="A66" s="962"/>
      <c r="B66" s="137"/>
      <c r="C66" s="53">
        <f t="shared" si="12"/>
        <v>1</v>
      </c>
      <c r="D66" s="960"/>
      <c r="E66" s="53">
        <f t="shared" si="13"/>
        <v>0.1</v>
      </c>
      <c r="F66" s="960"/>
      <c r="G66" s="53">
        <f t="shared" si="14"/>
        <v>1</v>
      </c>
      <c r="H66" s="960"/>
      <c r="I66" s="53">
        <f t="shared" si="15"/>
        <v>1</v>
      </c>
      <c r="J66" s="960"/>
      <c r="K66" s="53">
        <f t="shared" si="16"/>
        <v>1</v>
      </c>
      <c r="L66" s="960"/>
      <c r="M66" s="53">
        <f t="shared" si="17"/>
        <v>1</v>
      </c>
      <c r="N66" s="960"/>
      <c r="O66" s="53">
        <f t="shared" si="18"/>
        <v>1</v>
      </c>
      <c r="P66" s="960"/>
      <c r="Q66" s="53">
        <f t="shared" si="19"/>
        <v>1</v>
      </c>
      <c r="R66" s="489">
        <f t="shared" si="20"/>
        <v>0</v>
      </c>
      <c r="S66" s="798">
        <f t="shared" si="21"/>
        <v>0</v>
      </c>
    </row>
    <row r="67" spans="1:19">
      <c r="A67" s="962"/>
      <c r="B67" s="137"/>
      <c r="C67" s="53">
        <f t="shared" si="12"/>
        <v>1</v>
      </c>
      <c r="D67" s="960"/>
      <c r="E67" s="53">
        <f t="shared" si="13"/>
        <v>0.1</v>
      </c>
      <c r="F67" s="960"/>
      <c r="G67" s="53">
        <f t="shared" si="14"/>
        <v>1</v>
      </c>
      <c r="H67" s="960"/>
      <c r="I67" s="53">
        <f t="shared" si="15"/>
        <v>1</v>
      </c>
      <c r="J67" s="960"/>
      <c r="K67" s="53">
        <f t="shared" si="16"/>
        <v>1</v>
      </c>
      <c r="L67" s="960"/>
      <c r="M67" s="53">
        <f t="shared" si="17"/>
        <v>1</v>
      </c>
      <c r="N67" s="960"/>
      <c r="O67" s="53">
        <f t="shared" si="18"/>
        <v>1</v>
      </c>
      <c r="P67" s="960"/>
      <c r="Q67" s="53">
        <f t="shared" si="19"/>
        <v>1</v>
      </c>
      <c r="R67" s="489">
        <f t="shared" si="20"/>
        <v>0</v>
      </c>
      <c r="S67" s="798">
        <f t="shared" si="21"/>
        <v>0</v>
      </c>
    </row>
    <row r="68" spans="1:19">
      <c r="A68" s="962"/>
      <c r="B68" s="137"/>
      <c r="C68" s="53">
        <f t="shared" si="12"/>
        <v>1</v>
      </c>
      <c r="D68" s="960"/>
      <c r="E68" s="53">
        <f t="shared" si="13"/>
        <v>0.1</v>
      </c>
      <c r="F68" s="960"/>
      <c r="G68" s="53">
        <f t="shared" si="14"/>
        <v>1</v>
      </c>
      <c r="H68" s="960"/>
      <c r="I68" s="53">
        <f t="shared" si="15"/>
        <v>1</v>
      </c>
      <c r="J68" s="960"/>
      <c r="K68" s="53">
        <f t="shared" si="16"/>
        <v>1</v>
      </c>
      <c r="L68" s="960"/>
      <c r="M68" s="53">
        <f t="shared" si="17"/>
        <v>1</v>
      </c>
      <c r="N68" s="960"/>
      <c r="O68" s="53">
        <f t="shared" si="18"/>
        <v>1</v>
      </c>
      <c r="P68" s="960"/>
      <c r="Q68" s="53">
        <f t="shared" si="19"/>
        <v>1</v>
      </c>
      <c r="R68" s="489">
        <f t="shared" si="20"/>
        <v>0</v>
      </c>
      <c r="S68" s="798">
        <f t="shared" si="21"/>
        <v>0</v>
      </c>
    </row>
    <row r="69" spans="1:19">
      <c r="A69" s="962"/>
      <c r="B69" s="137"/>
      <c r="C69" s="53">
        <f t="shared" si="12"/>
        <v>1</v>
      </c>
      <c r="D69" s="960"/>
      <c r="E69" s="53">
        <f t="shared" si="13"/>
        <v>0.1</v>
      </c>
      <c r="F69" s="960"/>
      <c r="G69" s="53">
        <f t="shared" si="14"/>
        <v>1</v>
      </c>
      <c r="H69" s="960"/>
      <c r="I69" s="53">
        <f t="shared" si="15"/>
        <v>1</v>
      </c>
      <c r="J69" s="960"/>
      <c r="K69" s="53">
        <f t="shared" si="16"/>
        <v>1</v>
      </c>
      <c r="L69" s="960"/>
      <c r="M69" s="53">
        <f t="shared" si="17"/>
        <v>1</v>
      </c>
      <c r="N69" s="960"/>
      <c r="O69" s="53">
        <f t="shared" si="18"/>
        <v>1</v>
      </c>
      <c r="P69" s="960"/>
      <c r="Q69" s="53">
        <f t="shared" si="19"/>
        <v>1</v>
      </c>
      <c r="R69" s="489">
        <f t="shared" si="20"/>
        <v>0</v>
      </c>
      <c r="S69" s="798">
        <f t="shared" si="21"/>
        <v>0</v>
      </c>
    </row>
    <row r="70" spans="1:19">
      <c r="A70" s="962"/>
      <c r="B70" s="137"/>
      <c r="C70" s="53">
        <f t="shared" si="12"/>
        <v>1</v>
      </c>
      <c r="D70" s="960"/>
      <c r="E70" s="53">
        <f t="shared" si="13"/>
        <v>0.1</v>
      </c>
      <c r="F70" s="960"/>
      <c r="G70" s="53">
        <f t="shared" si="14"/>
        <v>1</v>
      </c>
      <c r="H70" s="960"/>
      <c r="I70" s="53">
        <f t="shared" si="15"/>
        <v>1</v>
      </c>
      <c r="J70" s="960"/>
      <c r="K70" s="53">
        <f t="shared" si="16"/>
        <v>1</v>
      </c>
      <c r="L70" s="960"/>
      <c r="M70" s="53">
        <f t="shared" si="17"/>
        <v>1</v>
      </c>
      <c r="N70" s="960"/>
      <c r="O70" s="53">
        <f t="shared" si="18"/>
        <v>1</v>
      </c>
      <c r="P70" s="960"/>
      <c r="Q70" s="53">
        <f t="shared" si="19"/>
        <v>1</v>
      </c>
      <c r="R70" s="489">
        <f t="shared" si="20"/>
        <v>0</v>
      </c>
      <c r="S70" s="798">
        <f t="shared" si="21"/>
        <v>0</v>
      </c>
    </row>
    <row r="71" spans="1:19">
      <c r="A71" s="962"/>
      <c r="B71" s="137"/>
      <c r="C71" s="53">
        <f t="shared" si="12"/>
        <v>1</v>
      </c>
      <c r="D71" s="960"/>
      <c r="E71" s="53">
        <f t="shared" si="13"/>
        <v>0.1</v>
      </c>
      <c r="F71" s="960"/>
      <c r="G71" s="53">
        <f t="shared" si="14"/>
        <v>1</v>
      </c>
      <c r="H71" s="960"/>
      <c r="I71" s="53">
        <f t="shared" si="15"/>
        <v>1</v>
      </c>
      <c r="J71" s="960"/>
      <c r="K71" s="53">
        <f t="shared" si="16"/>
        <v>1</v>
      </c>
      <c r="L71" s="960"/>
      <c r="M71" s="53">
        <f t="shared" si="17"/>
        <v>1</v>
      </c>
      <c r="N71" s="960"/>
      <c r="O71" s="53">
        <f t="shared" si="18"/>
        <v>1</v>
      </c>
      <c r="P71" s="960"/>
      <c r="Q71" s="53">
        <f t="shared" si="19"/>
        <v>1</v>
      </c>
      <c r="R71" s="489">
        <f t="shared" si="20"/>
        <v>0</v>
      </c>
      <c r="S71" s="798">
        <f t="shared" si="21"/>
        <v>0</v>
      </c>
    </row>
    <row r="72" spans="1:19">
      <c r="A72" s="962"/>
      <c r="B72" s="137"/>
      <c r="C72" s="53">
        <f t="shared" si="12"/>
        <v>1</v>
      </c>
      <c r="D72" s="960"/>
      <c r="E72" s="53">
        <f t="shared" si="13"/>
        <v>0.1</v>
      </c>
      <c r="F72" s="960"/>
      <c r="G72" s="53">
        <f t="shared" si="14"/>
        <v>1</v>
      </c>
      <c r="H72" s="960"/>
      <c r="I72" s="53">
        <f t="shared" si="15"/>
        <v>1</v>
      </c>
      <c r="J72" s="960"/>
      <c r="K72" s="53">
        <f t="shared" si="16"/>
        <v>1</v>
      </c>
      <c r="L72" s="960"/>
      <c r="M72" s="53">
        <f t="shared" si="17"/>
        <v>1</v>
      </c>
      <c r="N72" s="960"/>
      <c r="O72" s="53">
        <f t="shared" si="18"/>
        <v>1</v>
      </c>
      <c r="P72" s="960"/>
      <c r="Q72" s="53">
        <f t="shared" si="19"/>
        <v>1</v>
      </c>
      <c r="R72" s="489">
        <f t="shared" si="20"/>
        <v>0</v>
      </c>
      <c r="S72" s="798">
        <f t="shared" si="21"/>
        <v>0</v>
      </c>
    </row>
    <row r="73" spans="1:19">
      <c r="A73" s="962"/>
      <c r="B73" s="137"/>
      <c r="C73" s="53">
        <f t="shared" si="12"/>
        <v>1</v>
      </c>
      <c r="D73" s="960"/>
      <c r="E73" s="53">
        <f t="shared" si="13"/>
        <v>0.1</v>
      </c>
      <c r="F73" s="960"/>
      <c r="G73" s="53">
        <f t="shared" si="14"/>
        <v>1</v>
      </c>
      <c r="H73" s="960"/>
      <c r="I73" s="53">
        <f t="shared" si="15"/>
        <v>1</v>
      </c>
      <c r="J73" s="960"/>
      <c r="K73" s="53">
        <f t="shared" si="16"/>
        <v>1</v>
      </c>
      <c r="L73" s="960"/>
      <c r="M73" s="53">
        <f t="shared" si="17"/>
        <v>1</v>
      </c>
      <c r="N73" s="960"/>
      <c r="O73" s="53">
        <f t="shared" si="18"/>
        <v>1</v>
      </c>
      <c r="P73" s="960"/>
      <c r="Q73" s="53">
        <f t="shared" si="19"/>
        <v>1</v>
      </c>
      <c r="R73" s="489">
        <f t="shared" si="20"/>
        <v>0</v>
      </c>
      <c r="S73" s="798">
        <f t="shared" si="21"/>
        <v>0</v>
      </c>
    </row>
    <row r="74" spans="1:19">
      <c r="A74" s="962"/>
      <c r="B74" s="137"/>
      <c r="C74" s="53">
        <f t="shared" si="12"/>
        <v>1</v>
      </c>
      <c r="D74" s="960"/>
      <c r="E74" s="53">
        <f t="shared" si="13"/>
        <v>0.1</v>
      </c>
      <c r="F74" s="960"/>
      <c r="G74" s="53">
        <f t="shared" si="14"/>
        <v>1</v>
      </c>
      <c r="H74" s="960"/>
      <c r="I74" s="53">
        <f t="shared" si="15"/>
        <v>1</v>
      </c>
      <c r="J74" s="960"/>
      <c r="K74" s="53">
        <f t="shared" si="16"/>
        <v>1</v>
      </c>
      <c r="L74" s="960"/>
      <c r="M74" s="53">
        <f t="shared" si="17"/>
        <v>1</v>
      </c>
      <c r="N74" s="960"/>
      <c r="O74" s="53">
        <f t="shared" si="18"/>
        <v>1</v>
      </c>
      <c r="P74" s="960"/>
      <c r="Q74" s="53">
        <f t="shared" si="19"/>
        <v>1</v>
      </c>
      <c r="R74" s="489">
        <f t="shared" si="20"/>
        <v>0</v>
      </c>
      <c r="S74" s="798">
        <f t="shared" si="21"/>
        <v>0</v>
      </c>
    </row>
    <row r="75" spans="1:19">
      <c r="A75" s="962"/>
      <c r="B75" s="137"/>
      <c r="C75" s="53">
        <f t="shared" si="12"/>
        <v>1</v>
      </c>
      <c r="D75" s="960"/>
      <c r="E75" s="53">
        <f t="shared" si="13"/>
        <v>0.1</v>
      </c>
      <c r="F75" s="960"/>
      <c r="G75" s="53">
        <f t="shared" si="14"/>
        <v>1</v>
      </c>
      <c r="H75" s="960"/>
      <c r="I75" s="53">
        <f t="shared" si="15"/>
        <v>1</v>
      </c>
      <c r="J75" s="960"/>
      <c r="K75" s="53">
        <f t="shared" si="16"/>
        <v>1</v>
      </c>
      <c r="L75" s="960"/>
      <c r="M75" s="53">
        <f t="shared" si="17"/>
        <v>1</v>
      </c>
      <c r="N75" s="960"/>
      <c r="O75" s="53">
        <f t="shared" si="18"/>
        <v>1</v>
      </c>
      <c r="P75" s="960"/>
      <c r="Q75" s="53">
        <f t="shared" si="19"/>
        <v>1</v>
      </c>
      <c r="R75" s="489">
        <f t="shared" si="20"/>
        <v>0</v>
      </c>
      <c r="S75" s="798">
        <f t="shared" si="21"/>
        <v>0</v>
      </c>
    </row>
    <row r="76" spans="1:19">
      <c r="A76" s="962"/>
      <c r="B76" s="137"/>
      <c r="C76" s="53">
        <f t="shared" si="12"/>
        <v>1</v>
      </c>
      <c r="D76" s="960"/>
      <c r="E76" s="53">
        <f t="shared" si="13"/>
        <v>0.1</v>
      </c>
      <c r="F76" s="960"/>
      <c r="G76" s="53">
        <f t="shared" si="14"/>
        <v>1</v>
      </c>
      <c r="H76" s="960"/>
      <c r="I76" s="53">
        <f t="shared" si="15"/>
        <v>1</v>
      </c>
      <c r="J76" s="960"/>
      <c r="K76" s="53">
        <f t="shared" si="16"/>
        <v>1</v>
      </c>
      <c r="L76" s="960"/>
      <c r="M76" s="53">
        <f t="shared" si="17"/>
        <v>1</v>
      </c>
      <c r="N76" s="960"/>
      <c r="O76" s="53">
        <f t="shared" si="18"/>
        <v>1</v>
      </c>
      <c r="P76" s="960"/>
      <c r="Q76" s="53">
        <f t="shared" si="19"/>
        <v>1</v>
      </c>
      <c r="R76" s="489">
        <f t="shared" si="20"/>
        <v>0</v>
      </c>
      <c r="S76" s="798">
        <f t="shared" si="21"/>
        <v>0</v>
      </c>
    </row>
    <row r="77" spans="1:19">
      <c r="A77" s="962"/>
      <c r="B77" s="137"/>
      <c r="C77" s="53">
        <f t="shared" si="12"/>
        <v>1</v>
      </c>
      <c r="D77" s="960"/>
      <c r="E77" s="53">
        <f t="shared" si="13"/>
        <v>0.1</v>
      </c>
      <c r="F77" s="960"/>
      <c r="G77" s="53">
        <f t="shared" si="14"/>
        <v>1</v>
      </c>
      <c r="H77" s="960"/>
      <c r="I77" s="53">
        <f t="shared" si="15"/>
        <v>1</v>
      </c>
      <c r="J77" s="960"/>
      <c r="K77" s="53">
        <f t="shared" si="16"/>
        <v>1</v>
      </c>
      <c r="L77" s="960"/>
      <c r="M77" s="53">
        <f t="shared" si="17"/>
        <v>1</v>
      </c>
      <c r="N77" s="960"/>
      <c r="O77" s="53">
        <f t="shared" si="18"/>
        <v>1</v>
      </c>
      <c r="P77" s="960"/>
      <c r="Q77" s="53">
        <f t="shared" si="19"/>
        <v>1</v>
      </c>
      <c r="R77" s="489">
        <f t="shared" si="20"/>
        <v>0</v>
      </c>
      <c r="S77" s="798">
        <f t="shared" si="21"/>
        <v>0</v>
      </c>
    </row>
    <row r="78" spans="1:19">
      <c r="A78" s="962"/>
      <c r="B78" s="137"/>
      <c r="C78" s="53">
        <f t="shared" si="12"/>
        <v>1</v>
      </c>
      <c r="D78" s="960"/>
      <c r="E78" s="53">
        <f t="shared" si="13"/>
        <v>0.1</v>
      </c>
      <c r="F78" s="960"/>
      <c r="G78" s="53">
        <f t="shared" si="14"/>
        <v>1</v>
      </c>
      <c r="H78" s="960"/>
      <c r="I78" s="53">
        <f t="shared" si="15"/>
        <v>1</v>
      </c>
      <c r="J78" s="960"/>
      <c r="K78" s="53">
        <f t="shared" si="16"/>
        <v>1</v>
      </c>
      <c r="L78" s="960"/>
      <c r="M78" s="53">
        <f t="shared" si="17"/>
        <v>1</v>
      </c>
      <c r="N78" s="960"/>
      <c r="O78" s="53">
        <f t="shared" si="18"/>
        <v>1</v>
      </c>
      <c r="P78" s="960"/>
      <c r="Q78" s="53">
        <f t="shared" si="19"/>
        <v>1</v>
      </c>
      <c r="R78" s="489">
        <f t="shared" si="20"/>
        <v>0</v>
      </c>
      <c r="S78" s="798">
        <f t="shared" ref="S78:S122" si="22">ROUND(R78*B78/10000,0)</f>
        <v>0</v>
      </c>
    </row>
    <row r="79" spans="1:19">
      <c r="A79" s="962"/>
      <c r="B79" s="137"/>
      <c r="C79" s="53">
        <f t="shared" si="12"/>
        <v>1</v>
      </c>
      <c r="D79" s="960"/>
      <c r="E79" s="53">
        <f t="shared" si="13"/>
        <v>0.1</v>
      </c>
      <c r="F79" s="960"/>
      <c r="G79" s="53">
        <f t="shared" si="14"/>
        <v>1</v>
      </c>
      <c r="H79" s="960"/>
      <c r="I79" s="53">
        <f t="shared" si="15"/>
        <v>1</v>
      </c>
      <c r="J79" s="960"/>
      <c r="K79" s="53">
        <f t="shared" si="16"/>
        <v>1</v>
      </c>
      <c r="L79" s="960"/>
      <c r="M79" s="53">
        <f t="shared" si="17"/>
        <v>1</v>
      </c>
      <c r="N79" s="960"/>
      <c r="O79" s="53">
        <f t="shared" si="18"/>
        <v>1</v>
      </c>
      <c r="P79" s="960"/>
      <c r="Q79" s="53">
        <f t="shared" si="19"/>
        <v>1</v>
      </c>
      <c r="R79" s="489">
        <f t="shared" si="20"/>
        <v>0</v>
      </c>
      <c r="S79" s="798">
        <f t="shared" si="22"/>
        <v>0</v>
      </c>
    </row>
    <row r="80" spans="1:19">
      <c r="A80" s="962"/>
      <c r="B80" s="137"/>
      <c r="C80" s="53">
        <f t="shared" si="12"/>
        <v>1</v>
      </c>
      <c r="D80" s="960"/>
      <c r="E80" s="53">
        <f t="shared" si="13"/>
        <v>0.1</v>
      </c>
      <c r="F80" s="960"/>
      <c r="G80" s="53">
        <f t="shared" si="14"/>
        <v>1</v>
      </c>
      <c r="H80" s="960"/>
      <c r="I80" s="53">
        <f t="shared" si="15"/>
        <v>1</v>
      </c>
      <c r="J80" s="960"/>
      <c r="K80" s="53">
        <f t="shared" si="16"/>
        <v>1</v>
      </c>
      <c r="L80" s="960"/>
      <c r="M80" s="53">
        <f t="shared" si="17"/>
        <v>1</v>
      </c>
      <c r="N80" s="960"/>
      <c r="O80" s="53">
        <f t="shared" si="18"/>
        <v>1</v>
      </c>
      <c r="P80" s="960"/>
      <c r="Q80" s="53">
        <f t="shared" si="19"/>
        <v>1</v>
      </c>
      <c r="R80" s="489">
        <f t="shared" si="20"/>
        <v>0</v>
      </c>
      <c r="S80" s="798">
        <f t="shared" si="22"/>
        <v>0</v>
      </c>
    </row>
    <row r="81" spans="1:19">
      <c r="A81" s="962"/>
      <c r="B81" s="137"/>
      <c r="C81" s="53">
        <f t="shared" si="12"/>
        <v>1</v>
      </c>
      <c r="D81" s="960"/>
      <c r="E81" s="53">
        <f t="shared" si="13"/>
        <v>0.1</v>
      </c>
      <c r="F81" s="960"/>
      <c r="G81" s="53">
        <f t="shared" si="14"/>
        <v>1</v>
      </c>
      <c r="H81" s="960"/>
      <c r="I81" s="53">
        <f t="shared" si="15"/>
        <v>1</v>
      </c>
      <c r="J81" s="960"/>
      <c r="K81" s="53">
        <f t="shared" si="16"/>
        <v>1</v>
      </c>
      <c r="L81" s="960"/>
      <c r="M81" s="53">
        <f t="shared" si="17"/>
        <v>1</v>
      </c>
      <c r="N81" s="960"/>
      <c r="O81" s="53">
        <f t="shared" si="18"/>
        <v>1</v>
      </c>
      <c r="P81" s="960"/>
      <c r="Q81" s="53">
        <f t="shared" si="19"/>
        <v>1</v>
      </c>
      <c r="R81" s="489">
        <f t="shared" si="20"/>
        <v>0</v>
      </c>
      <c r="S81" s="798">
        <f t="shared" si="22"/>
        <v>0</v>
      </c>
    </row>
    <row r="82" spans="1:19">
      <c r="A82" s="962"/>
      <c r="B82" s="137"/>
      <c r="C82" s="53">
        <f t="shared" si="12"/>
        <v>1</v>
      </c>
      <c r="D82" s="960"/>
      <c r="E82" s="53">
        <f t="shared" si="13"/>
        <v>0.1</v>
      </c>
      <c r="F82" s="960"/>
      <c r="G82" s="53">
        <f t="shared" si="14"/>
        <v>1</v>
      </c>
      <c r="H82" s="960"/>
      <c r="I82" s="53">
        <f t="shared" si="15"/>
        <v>1</v>
      </c>
      <c r="J82" s="960"/>
      <c r="K82" s="53">
        <f t="shared" si="16"/>
        <v>1</v>
      </c>
      <c r="L82" s="960"/>
      <c r="M82" s="53">
        <f t="shared" si="17"/>
        <v>1</v>
      </c>
      <c r="N82" s="960"/>
      <c r="O82" s="53">
        <f t="shared" si="18"/>
        <v>1</v>
      </c>
      <c r="P82" s="960"/>
      <c r="Q82" s="53">
        <f t="shared" si="19"/>
        <v>1</v>
      </c>
      <c r="R82" s="489">
        <f t="shared" si="20"/>
        <v>0</v>
      </c>
      <c r="S82" s="798">
        <f t="shared" si="22"/>
        <v>0</v>
      </c>
    </row>
    <row r="83" spans="1:19">
      <c r="A83" s="962"/>
      <c r="B83" s="137"/>
      <c r="C83" s="53">
        <f t="shared" si="12"/>
        <v>1</v>
      </c>
      <c r="D83" s="960"/>
      <c r="E83" s="53">
        <f t="shared" si="13"/>
        <v>0.1</v>
      </c>
      <c r="F83" s="960"/>
      <c r="G83" s="53">
        <f t="shared" si="14"/>
        <v>1</v>
      </c>
      <c r="H83" s="960"/>
      <c r="I83" s="53">
        <f t="shared" si="15"/>
        <v>1</v>
      </c>
      <c r="J83" s="960"/>
      <c r="K83" s="53">
        <f t="shared" si="16"/>
        <v>1</v>
      </c>
      <c r="L83" s="960"/>
      <c r="M83" s="53">
        <f t="shared" si="17"/>
        <v>1</v>
      </c>
      <c r="N83" s="960"/>
      <c r="O83" s="53">
        <f t="shared" si="18"/>
        <v>1</v>
      </c>
      <c r="P83" s="960"/>
      <c r="Q83" s="53">
        <f t="shared" si="19"/>
        <v>1</v>
      </c>
      <c r="R83" s="489">
        <f t="shared" si="20"/>
        <v>0</v>
      </c>
      <c r="S83" s="798">
        <f t="shared" si="22"/>
        <v>0</v>
      </c>
    </row>
    <row r="84" spans="1:19">
      <c r="A84" s="962"/>
      <c r="B84" s="137"/>
      <c r="C84" s="53">
        <f t="shared" si="12"/>
        <v>1</v>
      </c>
      <c r="D84" s="960"/>
      <c r="E84" s="53">
        <f t="shared" si="13"/>
        <v>0.1</v>
      </c>
      <c r="F84" s="960"/>
      <c r="G84" s="53">
        <f t="shared" si="14"/>
        <v>1</v>
      </c>
      <c r="H84" s="960"/>
      <c r="I84" s="53">
        <f t="shared" si="15"/>
        <v>1</v>
      </c>
      <c r="J84" s="960"/>
      <c r="K84" s="53">
        <f t="shared" si="16"/>
        <v>1</v>
      </c>
      <c r="L84" s="960"/>
      <c r="M84" s="53">
        <f t="shared" si="17"/>
        <v>1</v>
      </c>
      <c r="N84" s="960"/>
      <c r="O84" s="53">
        <f t="shared" si="18"/>
        <v>1</v>
      </c>
      <c r="P84" s="960"/>
      <c r="Q84" s="53">
        <f t="shared" si="19"/>
        <v>1</v>
      </c>
      <c r="R84" s="489">
        <f t="shared" si="20"/>
        <v>0</v>
      </c>
      <c r="S84" s="798">
        <f t="shared" si="22"/>
        <v>0</v>
      </c>
    </row>
    <row r="85" spans="1:19">
      <c r="A85" s="962"/>
      <c r="B85" s="137"/>
      <c r="C85" s="53">
        <f t="shared" si="12"/>
        <v>1</v>
      </c>
      <c r="D85" s="960"/>
      <c r="E85" s="53">
        <f t="shared" si="13"/>
        <v>0.1</v>
      </c>
      <c r="F85" s="960"/>
      <c r="G85" s="53">
        <f t="shared" si="14"/>
        <v>1</v>
      </c>
      <c r="H85" s="960"/>
      <c r="I85" s="53">
        <f t="shared" si="15"/>
        <v>1</v>
      </c>
      <c r="J85" s="960"/>
      <c r="K85" s="53">
        <f t="shared" si="16"/>
        <v>1</v>
      </c>
      <c r="L85" s="960"/>
      <c r="M85" s="53">
        <f t="shared" si="17"/>
        <v>1</v>
      </c>
      <c r="N85" s="960"/>
      <c r="O85" s="53">
        <f t="shared" si="18"/>
        <v>1</v>
      </c>
      <c r="P85" s="960"/>
      <c r="Q85" s="53">
        <f t="shared" si="19"/>
        <v>1</v>
      </c>
      <c r="R85" s="489">
        <f t="shared" si="20"/>
        <v>0</v>
      </c>
      <c r="S85" s="798">
        <f t="shared" si="22"/>
        <v>0</v>
      </c>
    </row>
    <row r="86" spans="1:19">
      <c r="A86" s="962"/>
      <c r="B86" s="137"/>
      <c r="C86" s="53">
        <f t="shared" si="12"/>
        <v>1</v>
      </c>
      <c r="D86" s="960"/>
      <c r="E86" s="53">
        <f t="shared" si="13"/>
        <v>0.1</v>
      </c>
      <c r="F86" s="960"/>
      <c r="G86" s="53">
        <f t="shared" si="14"/>
        <v>1</v>
      </c>
      <c r="H86" s="960"/>
      <c r="I86" s="53">
        <f t="shared" si="15"/>
        <v>1</v>
      </c>
      <c r="J86" s="960"/>
      <c r="K86" s="53">
        <f t="shared" si="16"/>
        <v>1</v>
      </c>
      <c r="L86" s="960"/>
      <c r="M86" s="53">
        <f t="shared" si="17"/>
        <v>1</v>
      </c>
      <c r="N86" s="960"/>
      <c r="O86" s="53">
        <f t="shared" si="18"/>
        <v>1</v>
      </c>
      <c r="P86" s="960"/>
      <c r="Q86" s="53">
        <f t="shared" si="19"/>
        <v>1</v>
      </c>
      <c r="R86" s="489">
        <f t="shared" si="20"/>
        <v>0</v>
      </c>
      <c r="S86" s="798">
        <f t="shared" si="22"/>
        <v>0</v>
      </c>
    </row>
    <row r="87" spans="1:19">
      <c r="A87" s="962"/>
      <c r="B87" s="137"/>
      <c r="C87" s="53">
        <f t="shared" si="12"/>
        <v>1</v>
      </c>
      <c r="D87" s="960"/>
      <c r="E87" s="53">
        <f t="shared" si="13"/>
        <v>0.1</v>
      </c>
      <c r="F87" s="960"/>
      <c r="G87" s="53">
        <f t="shared" si="14"/>
        <v>1</v>
      </c>
      <c r="H87" s="960"/>
      <c r="I87" s="53">
        <f t="shared" si="15"/>
        <v>1</v>
      </c>
      <c r="J87" s="960"/>
      <c r="K87" s="53">
        <f t="shared" si="16"/>
        <v>1</v>
      </c>
      <c r="L87" s="960"/>
      <c r="M87" s="53">
        <f t="shared" si="17"/>
        <v>1</v>
      </c>
      <c r="N87" s="960"/>
      <c r="O87" s="53">
        <f t="shared" si="18"/>
        <v>1</v>
      </c>
      <c r="P87" s="960"/>
      <c r="Q87" s="53">
        <f t="shared" si="19"/>
        <v>1</v>
      </c>
      <c r="R87" s="489">
        <f t="shared" si="20"/>
        <v>0</v>
      </c>
      <c r="S87" s="798">
        <f t="shared" si="22"/>
        <v>0</v>
      </c>
    </row>
    <row r="88" spans="1:19">
      <c r="A88" s="962"/>
      <c r="B88" s="137"/>
      <c r="C88" s="53">
        <f t="shared" si="12"/>
        <v>1</v>
      </c>
      <c r="D88" s="960"/>
      <c r="E88" s="53">
        <f t="shared" si="13"/>
        <v>0.1</v>
      </c>
      <c r="F88" s="960"/>
      <c r="G88" s="53">
        <f t="shared" si="14"/>
        <v>1</v>
      </c>
      <c r="H88" s="960"/>
      <c r="I88" s="53">
        <f t="shared" si="15"/>
        <v>1</v>
      </c>
      <c r="J88" s="960"/>
      <c r="K88" s="53">
        <f t="shared" si="16"/>
        <v>1</v>
      </c>
      <c r="L88" s="960"/>
      <c r="M88" s="53">
        <f t="shared" si="17"/>
        <v>1</v>
      </c>
      <c r="N88" s="960"/>
      <c r="O88" s="53">
        <f t="shared" si="18"/>
        <v>1</v>
      </c>
      <c r="P88" s="960"/>
      <c r="Q88" s="53">
        <f t="shared" si="19"/>
        <v>1</v>
      </c>
      <c r="R88" s="489">
        <f t="shared" si="20"/>
        <v>0</v>
      </c>
      <c r="S88" s="798">
        <f t="shared" si="22"/>
        <v>0</v>
      </c>
    </row>
    <row r="89" spans="1:19">
      <c r="A89" s="962"/>
      <c r="B89" s="137"/>
      <c r="C89" s="53">
        <f t="shared" si="12"/>
        <v>1</v>
      </c>
      <c r="D89" s="960"/>
      <c r="E89" s="53">
        <f t="shared" si="13"/>
        <v>0.1</v>
      </c>
      <c r="F89" s="960"/>
      <c r="G89" s="53">
        <f t="shared" si="14"/>
        <v>1</v>
      </c>
      <c r="H89" s="960"/>
      <c r="I89" s="53">
        <f t="shared" si="15"/>
        <v>1</v>
      </c>
      <c r="J89" s="960"/>
      <c r="K89" s="53">
        <f t="shared" si="16"/>
        <v>1</v>
      </c>
      <c r="L89" s="960"/>
      <c r="M89" s="53">
        <f t="shared" si="17"/>
        <v>1</v>
      </c>
      <c r="N89" s="960"/>
      <c r="O89" s="53">
        <f t="shared" si="18"/>
        <v>1</v>
      </c>
      <c r="P89" s="960"/>
      <c r="Q89" s="53">
        <f t="shared" si="19"/>
        <v>1</v>
      </c>
      <c r="R89" s="489">
        <f t="shared" si="20"/>
        <v>0</v>
      </c>
      <c r="S89" s="798">
        <f t="shared" si="22"/>
        <v>0</v>
      </c>
    </row>
    <row r="90" spans="1:19">
      <c r="A90" s="962"/>
      <c r="B90" s="137"/>
      <c r="C90" s="53">
        <f t="shared" ref="C90:C153" si="23">IF(B90="",1,(LOOKUP(B90,$3:$3,$4:$4)-LOOKUP($B$24,$3:$3,$4:$4)+100)/100)</f>
        <v>1</v>
      </c>
      <c r="D90" s="960"/>
      <c r="E90" s="53">
        <f t="shared" ref="E90:E153" si="24">(SUMIF($5:$5,D90,$6:$6)-SUMIF($5:$5,$D$24,$6:$6)+100)/100</f>
        <v>0.1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9">
        <f t="shared" ref="R90:R153" si="31">IF(B90="",0,ROUND($R$24*C90*E90*G90*I90*K90*M90*O90*Q90,0))</f>
        <v>0</v>
      </c>
      <c r="S90" s="798">
        <f t="shared" si="22"/>
        <v>0</v>
      </c>
    </row>
    <row r="91" spans="1:19">
      <c r="A91" s="962"/>
      <c r="B91" s="137"/>
      <c r="C91" s="53">
        <f t="shared" si="23"/>
        <v>1</v>
      </c>
      <c r="D91" s="960"/>
      <c r="E91" s="53">
        <f t="shared" si="24"/>
        <v>0.1</v>
      </c>
      <c r="F91" s="960"/>
      <c r="G91" s="53">
        <f t="shared" si="25"/>
        <v>1</v>
      </c>
      <c r="H91" s="960"/>
      <c r="I91" s="53">
        <f t="shared" si="26"/>
        <v>1</v>
      </c>
      <c r="J91" s="960"/>
      <c r="K91" s="53">
        <f t="shared" si="27"/>
        <v>1</v>
      </c>
      <c r="L91" s="960"/>
      <c r="M91" s="53">
        <f t="shared" si="28"/>
        <v>1</v>
      </c>
      <c r="N91" s="960"/>
      <c r="O91" s="53">
        <f t="shared" si="29"/>
        <v>1</v>
      </c>
      <c r="P91" s="960"/>
      <c r="Q91" s="53">
        <f t="shared" si="30"/>
        <v>1</v>
      </c>
      <c r="R91" s="489">
        <f t="shared" si="31"/>
        <v>0</v>
      </c>
      <c r="S91" s="798">
        <f t="shared" si="22"/>
        <v>0</v>
      </c>
    </row>
    <row r="92" spans="1:19">
      <c r="A92" s="962"/>
      <c r="B92" s="137"/>
      <c r="C92" s="53">
        <f t="shared" si="23"/>
        <v>1</v>
      </c>
      <c r="D92" s="960"/>
      <c r="E92" s="53">
        <f t="shared" si="24"/>
        <v>0.1</v>
      </c>
      <c r="F92" s="960"/>
      <c r="G92" s="53">
        <f t="shared" si="25"/>
        <v>1</v>
      </c>
      <c r="H92" s="960"/>
      <c r="I92" s="53">
        <f t="shared" si="26"/>
        <v>1</v>
      </c>
      <c r="J92" s="960"/>
      <c r="K92" s="53">
        <f t="shared" si="27"/>
        <v>1</v>
      </c>
      <c r="L92" s="960"/>
      <c r="M92" s="53">
        <f t="shared" si="28"/>
        <v>1</v>
      </c>
      <c r="N92" s="960"/>
      <c r="O92" s="53">
        <f t="shared" si="29"/>
        <v>1</v>
      </c>
      <c r="P92" s="960"/>
      <c r="Q92" s="53">
        <f t="shared" si="30"/>
        <v>1</v>
      </c>
      <c r="R92" s="489">
        <f t="shared" si="31"/>
        <v>0</v>
      </c>
      <c r="S92" s="798">
        <f t="shared" si="22"/>
        <v>0</v>
      </c>
    </row>
    <row r="93" spans="1:19">
      <c r="A93" s="962"/>
      <c r="B93" s="137"/>
      <c r="C93" s="53">
        <f t="shared" si="23"/>
        <v>1</v>
      </c>
      <c r="D93" s="960"/>
      <c r="E93" s="53">
        <f t="shared" si="24"/>
        <v>0.1</v>
      </c>
      <c r="F93" s="960"/>
      <c r="G93" s="53">
        <f t="shared" si="25"/>
        <v>1</v>
      </c>
      <c r="H93" s="960"/>
      <c r="I93" s="53">
        <f t="shared" si="26"/>
        <v>1</v>
      </c>
      <c r="J93" s="960"/>
      <c r="K93" s="53">
        <f t="shared" si="27"/>
        <v>1</v>
      </c>
      <c r="L93" s="960"/>
      <c r="M93" s="53">
        <f t="shared" si="28"/>
        <v>1</v>
      </c>
      <c r="N93" s="960"/>
      <c r="O93" s="53">
        <f t="shared" si="29"/>
        <v>1</v>
      </c>
      <c r="P93" s="960"/>
      <c r="Q93" s="53">
        <f t="shared" si="30"/>
        <v>1</v>
      </c>
      <c r="R93" s="489">
        <f t="shared" si="31"/>
        <v>0</v>
      </c>
      <c r="S93" s="798">
        <f t="shared" si="22"/>
        <v>0</v>
      </c>
    </row>
    <row r="94" spans="1:19">
      <c r="A94" s="962"/>
      <c r="B94" s="137"/>
      <c r="C94" s="53">
        <f t="shared" si="23"/>
        <v>1</v>
      </c>
      <c r="D94" s="960"/>
      <c r="E94" s="53">
        <f t="shared" si="24"/>
        <v>0.1</v>
      </c>
      <c r="F94" s="960"/>
      <c r="G94" s="53">
        <f t="shared" si="25"/>
        <v>1</v>
      </c>
      <c r="H94" s="960"/>
      <c r="I94" s="53">
        <f t="shared" si="26"/>
        <v>1</v>
      </c>
      <c r="J94" s="960"/>
      <c r="K94" s="53">
        <f t="shared" si="27"/>
        <v>1</v>
      </c>
      <c r="L94" s="960"/>
      <c r="M94" s="53">
        <f t="shared" si="28"/>
        <v>1</v>
      </c>
      <c r="N94" s="960"/>
      <c r="O94" s="53">
        <f t="shared" si="29"/>
        <v>1</v>
      </c>
      <c r="P94" s="960"/>
      <c r="Q94" s="53">
        <f t="shared" si="30"/>
        <v>1</v>
      </c>
      <c r="R94" s="489">
        <f t="shared" si="31"/>
        <v>0</v>
      </c>
      <c r="S94" s="798">
        <f t="shared" si="22"/>
        <v>0</v>
      </c>
    </row>
    <row r="95" spans="1:19">
      <c r="A95" s="962"/>
      <c r="B95" s="137"/>
      <c r="C95" s="53">
        <f t="shared" si="23"/>
        <v>1</v>
      </c>
      <c r="D95" s="960"/>
      <c r="E95" s="53">
        <f t="shared" si="24"/>
        <v>0.1</v>
      </c>
      <c r="F95" s="960"/>
      <c r="G95" s="53">
        <f t="shared" si="25"/>
        <v>1</v>
      </c>
      <c r="H95" s="960"/>
      <c r="I95" s="53">
        <f t="shared" si="26"/>
        <v>1</v>
      </c>
      <c r="J95" s="960"/>
      <c r="K95" s="53">
        <f t="shared" si="27"/>
        <v>1</v>
      </c>
      <c r="L95" s="960"/>
      <c r="M95" s="53">
        <f t="shared" si="28"/>
        <v>1</v>
      </c>
      <c r="N95" s="960"/>
      <c r="O95" s="53">
        <f t="shared" si="29"/>
        <v>1</v>
      </c>
      <c r="P95" s="960"/>
      <c r="Q95" s="53">
        <f t="shared" si="30"/>
        <v>1</v>
      </c>
      <c r="R95" s="489">
        <f t="shared" si="31"/>
        <v>0</v>
      </c>
      <c r="S95" s="798">
        <f t="shared" si="22"/>
        <v>0</v>
      </c>
    </row>
    <row r="96" spans="1:19">
      <c r="A96" s="962"/>
      <c r="B96" s="137"/>
      <c r="C96" s="53">
        <f t="shared" si="23"/>
        <v>1</v>
      </c>
      <c r="D96" s="960"/>
      <c r="E96" s="53">
        <f t="shared" si="24"/>
        <v>0.1</v>
      </c>
      <c r="F96" s="960"/>
      <c r="G96" s="53">
        <f t="shared" si="25"/>
        <v>1</v>
      </c>
      <c r="H96" s="960"/>
      <c r="I96" s="53">
        <f t="shared" si="26"/>
        <v>1</v>
      </c>
      <c r="J96" s="960"/>
      <c r="K96" s="53">
        <f t="shared" si="27"/>
        <v>1</v>
      </c>
      <c r="L96" s="960"/>
      <c r="M96" s="53">
        <f t="shared" si="28"/>
        <v>1</v>
      </c>
      <c r="N96" s="960"/>
      <c r="O96" s="53">
        <f t="shared" si="29"/>
        <v>1</v>
      </c>
      <c r="P96" s="960"/>
      <c r="Q96" s="53">
        <f t="shared" si="30"/>
        <v>1</v>
      </c>
      <c r="R96" s="489">
        <f t="shared" si="31"/>
        <v>0</v>
      </c>
      <c r="S96" s="798">
        <f t="shared" si="22"/>
        <v>0</v>
      </c>
    </row>
    <row r="97" spans="1:19">
      <c r="A97" s="962"/>
      <c r="B97" s="137"/>
      <c r="C97" s="53">
        <f t="shared" si="23"/>
        <v>1</v>
      </c>
      <c r="D97" s="960"/>
      <c r="E97" s="53">
        <f t="shared" si="24"/>
        <v>0.1</v>
      </c>
      <c r="F97" s="960"/>
      <c r="G97" s="53">
        <f t="shared" si="25"/>
        <v>1</v>
      </c>
      <c r="H97" s="960"/>
      <c r="I97" s="53">
        <f t="shared" si="26"/>
        <v>1</v>
      </c>
      <c r="J97" s="960"/>
      <c r="K97" s="53">
        <f t="shared" si="27"/>
        <v>1</v>
      </c>
      <c r="L97" s="960"/>
      <c r="M97" s="53">
        <f t="shared" si="28"/>
        <v>1</v>
      </c>
      <c r="N97" s="960"/>
      <c r="O97" s="53">
        <f t="shared" si="29"/>
        <v>1</v>
      </c>
      <c r="P97" s="960"/>
      <c r="Q97" s="53">
        <f t="shared" si="30"/>
        <v>1</v>
      </c>
      <c r="R97" s="489">
        <f t="shared" si="31"/>
        <v>0</v>
      </c>
      <c r="S97" s="798">
        <f t="shared" si="22"/>
        <v>0</v>
      </c>
    </row>
    <row r="98" spans="1:19">
      <c r="A98" s="962"/>
      <c r="B98" s="137"/>
      <c r="C98" s="53">
        <f t="shared" si="23"/>
        <v>1</v>
      </c>
      <c r="D98" s="960"/>
      <c r="E98" s="53">
        <f t="shared" si="24"/>
        <v>0.1</v>
      </c>
      <c r="F98" s="960"/>
      <c r="G98" s="53">
        <f t="shared" si="25"/>
        <v>1</v>
      </c>
      <c r="H98" s="960"/>
      <c r="I98" s="53">
        <f t="shared" si="26"/>
        <v>1</v>
      </c>
      <c r="J98" s="960"/>
      <c r="K98" s="53">
        <f t="shared" si="27"/>
        <v>1</v>
      </c>
      <c r="L98" s="960"/>
      <c r="M98" s="53">
        <f t="shared" si="28"/>
        <v>1</v>
      </c>
      <c r="N98" s="960"/>
      <c r="O98" s="53">
        <f t="shared" si="29"/>
        <v>1</v>
      </c>
      <c r="P98" s="960"/>
      <c r="Q98" s="53">
        <f t="shared" si="30"/>
        <v>1</v>
      </c>
      <c r="R98" s="489">
        <f t="shared" si="31"/>
        <v>0</v>
      </c>
      <c r="S98" s="798">
        <f t="shared" si="22"/>
        <v>0</v>
      </c>
    </row>
    <row r="99" spans="1:19">
      <c r="A99" s="962"/>
      <c r="B99" s="137"/>
      <c r="C99" s="53">
        <f t="shared" si="23"/>
        <v>1</v>
      </c>
      <c r="D99" s="960"/>
      <c r="E99" s="53">
        <f t="shared" si="24"/>
        <v>0.1</v>
      </c>
      <c r="F99" s="960"/>
      <c r="G99" s="53">
        <f t="shared" si="25"/>
        <v>1</v>
      </c>
      <c r="H99" s="960"/>
      <c r="I99" s="53">
        <f t="shared" si="26"/>
        <v>1</v>
      </c>
      <c r="J99" s="960"/>
      <c r="K99" s="53">
        <f t="shared" si="27"/>
        <v>1</v>
      </c>
      <c r="L99" s="960"/>
      <c r="M99" s="53">
        <f t="shared" si="28"/>
        <v>1</v>
      </c>
      <c r="N99" s="960"/>
      <c r="O99" s="53">
        <f t="shared" si="29"/>
        <v>1</v>
      </c>
      <c r="P99" s="960"/>
      <c r="Q99" s="53">
        <f t="shared" si="30"/>
        <v>1</v>
      </c>
      <c r="R99" s="489">
        <f t="shared" si="31"/>
        <v>0</v>
      </c>
      <c r="S99" s="798">
        <f t="shared" si="22"/>
        <v>0</v>
      </c>
    </row>
    <row r="100" spans="1:19">
      <c r="A100" s="962"/>
      <c r="B100" s="137"/>
      <c r="C100" s="53">
        <f t="shared" si="23"/>
        <v>1</v>
      </c>
      <c r="D100" s="960"/>
      <c r="E100" s="53">
        <f t="shared" si="24"/>
        <v>0.1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9">
        <f t="shared" si="31"/>
        <v>0</v>
      </c>
      <c r="S100" s="798">
        <f t="shared" si="22"/>
        <v>0</v>
      </c>
    </row>
    <row r="101" spans="1:19">
      <c r="A101" s="962"/>
      <c r="B101" s="137"/>
      <c r="C101" s="53">
        <f t="shared" si="23"/>
        <v>1</v>
      </c>
      <c r="D101" s="960"/>
      <c r="E101" s="53">
        <f t="shared" si="24"/>
        <v>0.1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9">
        <f t="shared" si="31"/>
        <v>0</v>
      </c>
      <c r="S101" s="798">
        <f t="shared" si="22"/>
        <v>0</v>
      </c>
    </row>
    <row r="102" spans="1:19">
      <c r="A102" s="962"/>
      <c r="B102" s="137"/>
      <c r="C102" s="53">
        <f t="shared" si="23"/>
        <v>1</v>
      </c>
      <c r="D102" s="960"/>
      <c r="E102" s="53">
        <f t="shared" si="24"/>
        <v>0.1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9">
        <f t="shared" si="31"/>
        <v>0</v>
      </c>
      <c r="S102" s="798">
        <f t="shared" si="22"/>
        <v>0</v>
      </c>
    </row>
    <row r="103" spans="1:19">
      <c r="A103" s="962"/>
      <c r="B103" s="137"/>
      <c r="C103" s="53">
        <f t="shared" si="23"/>
        <v>1</v>
      </c>
      <c r="D103" s="960"/>
      <c r="E103" s="53">
        <f t="shared" si="24"/>
        <v>0.1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9">
        <f t="shared" si="31"/>
        <v>0</v>
      </c>
      <c r="S103" s="798">
        <f t="shared" si="22"/>
        <v>0</v>
      </c>
    </row>
    <row r="104" spans="1:19">
      <c r="A104" s="962"/>
      <c r="B104" s="137"/>
      <c r="C104" s="53">
        <f t="shared" si="23"/>
        <v>1</v>
      </c>
      <c r="D104" s="960"/>
      <c r="E104" s="53">
        <f t="shared" si="24"/>
        <v>0.1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9">
        <f t="shared" si="31"/>
        <v>0</v>
      </c>
      <c r="S104" s="798">
        <f t="shared" si="22"/>
        <v>0</v>
      </c>
    </row>
    <row r="105" spans="1:19">
      <c r="A105" s="962"/>
      <c r="B105" s="137"/>
      <c r="C105" s="53">
        <f t="shared" si="23"/>
        <v>1</v>
      </c>
      <c r="D105" s="960"/>
      <c r="E105" s="53">
        <f t="shared" si="24"/>
        <v>0.1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9">
        <f t="shared" si="31"/>
        <v>0</v>
      </c>
      <c r="S105" s="798">
        <f t="shared" si="22"/>
        <v>0</v>
      </c>
    </row>
    <row r="106" spans="1:19">
      <c r="A106" s="962"/>
      <c r="B106" s="137"/>
      <c r="C106" s="53">
        <f t="shared" si="23"/>
        <v>1</v>
      </c>
      <c r="D106" s="960"/>
      <c r="E106" s="53">
        <f t="shared" si="24"/>
        <v>0.1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9">
        <f t="shared" si="31"/>
        <v>0</v>
      </c>
      <c r="S106" s="798">
        <f t="shared" si="22"/>
        <v>0</v>
      </c>
    </row>
    <row r="107" spans="1:19">
      <c r="A107" s="962"/>
      <c r="B107" s="137"/>
      <c r="C107" s="53">
        <f t="shared" si="23"/>
        <v>1</v>
      </c>
      <c r="D107" s="960"/>
      <c r="E107" s="53">
        <f t="shared" si="24"/>
        <v>0.1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9">
        <f t="shared" si="31"/>
        <v>0</v>
      </c>
      <c r="S107" s="798">
        <f t="shared" si="22"/>
        <v>0</v>
      </c>
    </row>
    <row r="108" spans="1:19">
      <c r="A108" s="962"/>
      <c r="B108" s="137"/>
      <c r="C108" s="53">
        <f t="shared" si="23"/>
        <v>1</v>
      </c>
      <c r="D108" s="960"/>
      <c r="E108" s="53">
        <f t="shared" si="24"/>
        <v>0.1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9">
        <f t="shared" si="31"/>
        <v>0</v>
      </c>
      <c r="S108" s="798">
        <f t="shared" si="22"/>
        <v>0</v>
      </c>
    </row>
    <row r="109" spans="1:19">
      <c r="A109" s="962"/>
      <c r="B109" s="137"/>
      <c r="C109" s="53">
        <f t="shared" si="23"/>
        <v>1</v>
      </c>
      <c r="D109" s="960"/>
      <c r="E109" s="53">
        <f t="shared" si="24"/>
        <v>0.1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9">
        <f t="shared" si="31"/>
        <v>0</v>
      </c>
      <c r="S109" s="798">
        <f t="shared" si="22"/>
        <v>0</v>
      </c>
    </row>
    <row r="110" spans="1:19">
      <c r="A110" s="962"/>
      <c r="B110" s="137"/>
      <c r="C110" s="53">
        <f t="shared" si="23"/>
        <v>1</v>
      </c>
      <c r="D110" s="960"/>
      <c r="E110" s="53">
        <f t="shared" si="24"/>
        <v>0.1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9">
        <f t="shared" si="31"/>
        <v>0</v>
      </c>
      <c r="S110" s="798">
        <f t="shared" si="22"/>
        <v>0</v>
      </c>
    </row>
    <row r="111" spans="1:19">
      <c r="A111" s="962"/>
      <c r="B111" s="137"/>
      <c r="C111" s="53">
        <f t="shared" si="23"/>
        <v>1</v>
      </c>
      <c r="D111" s="960"/>
      <c r="E111" s="53">
        <f t="shared" si="24"/>
        <v>0.1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9">
        <f t="shared" si="31"/>
        <v>0</v>
      </c>
      <c r="S111" s="798">
        <f t="shared" si="22"/>
        <v>0</v>
      </c>
    </row>
    <row r="112" spans="1:19">
      <c r="A112" s="962"/>
      <c r="B112" s="137"/>
      <c r="C112" s="53">
        <f t="shared" si="23"/>
        <v>1</v>
      </c>
      <c r="D112" s="960"/>
      <c r="E112" s="53">
        <f t="shared" si="24"/>
        <v>0.1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9">
        <f t="shared" si="31"/>
        <v>0</v>
      </c>
      <c r="S112" s="798">
        <f t="shared" si="22"/>
        <v>0</v>
      </c>
    </row>
    <row r="113" spans="1:19">
      <c r="A113" s="962"/>
      <c r="B113" s="137"/>
      <c r="C113" s="53">
        <f t="shared" si="23"/>
        <v>1</v>
      </c>
      <c r="D113" s="960"/>
      <c r="E113" s="53">
        <f t="shared" si="24"/>
        <v>0.1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9">
        <f t="shared" si="31"/>
        <v>0</v>
      </c>
      <c r="S113" s="798">
        <f t="shared" si="22"/>
        <v>0</v>
      </c>
    </row>
    <row r="114" spans="1:19">
      <c r="A114" s="962"/>
      <c r="B114" s="137"/>
      <c r="C114" s="53">
        <f t="shared" si="23"/>
        <v>1</v>
      </c>
      <c r="D114" s="960"/>
      <c r="E114" s="53">
        <f t="shared" si="24"/>
        <v>0.1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9">
        <f t="shared" si="31"/>
        <v>0</v>
      </c>
      <c r="S114" s="798">
        <f t="shared" si="22"/>
        <v>0</v>
      </c>
    </row>
    <row r="115" spans="1:19">
      <c r="A115" s="962"/>
      <c r="B115" s="137"/>
      <c r="C115" s="53">
        <f t="shared" si="23"/>
        <v>1</v>
      </c>
      <c r="D115" s="960"/>
      <c r="E115" s="53">
        <f t="shared" si="24"/>
        <v>0.1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9">
        <f t="shared" si="31"/>
        <v>0</v>
      </c>
      <c r="S115" s="798">
        <f t="shared" si="22"/>
        <v>0</v>
      </c>
    </row>
    <row r="116" spans="1:19">
      <c r="A116" s="962"/>
      <c r="B116" s="137"/>
      <c r="C116" s="53">
        <f t="shared" si="23"/>
        <v>1</v>
      </c>
      <c r="D116" s="960"/>
      <c r="E116" s="53">
        <f t="shared" si="24"/>
        <v>0.1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9">
        <f t="shared" si="31"/>
        <v>0</v>
      </c>
      <c r="S116" s="798">
        <f t="shared" si="22"/>
        <v>0</v>
      </c>
    </row>
    <row r="117" spans="1:19">
      <c r="A117" s="962"/>
      <c r="B117" s="137"/>
      <c r="C117" s="53">
        <f t="shared" si="23"/>
        <v>1</v>
      </c>
      <c r="D117" s="960"/>
      <c r="E117" s="53">
        <f t="shared" si="24"/>
        <v>0.1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9">
        <f t="shared" si="31"/>
        <v>0</v>
      </c>
      <c r="S117" s="798">
        <f t="shared" si="22"/>
        <v>0</v>
      </c>
    </row>
    <row r="118" spans="1:19">
      <c r="A118" s="962"/>
      <c r="B118" s="137"/>
      <c r="C118" s="53">
        <f t="shared" si="23"/>
        <v>1</v>
      </c>
      <c r="D118" s="960"/>
      <c r="E118" s="53">
        <f t="shared" si="24"/>
        <v>0.1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9">
        <f t="shared" si="31"/>
        <v>0</v>
      </c>
      <c r="S118" s="798">
        <f t="shared" si="22"/>
        <v>0</v>
      </c>
    </row>
    <row r="119" spans="1:19">
      <c r="A119" s="962"/>
      <c r="B119" s="137"/>
      <c r="C119" s="53">
        <f t="shared" si="23"/>
        <v>1</v>
      </c>
      <c r="D119" s="960"/>
      <c r="E119" s="53">
        <f t="shared" si="24"/>
        <v>0.1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9">
        <f t="shared" si="31"/>
        <v>0</v>
      </c>
      <c r="S119" s="798">
        <f t="shared" si="22"/>
        <v>0</v>
      </c>
    </row>
    <row r="120" spans="1:19">
      <c r="A120" s="962"/>
      <c r="B120" s="137"/>
      <c r="C120" s="53">
        <f t="shared" si="23"/>
        <v>1</v>
      </c>
      <c r="D120" s="960"/>
      <c r="E120" s="53">
        <f t="shared" si="24"/>
        <v>0.1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9">
        <f t="shared" si="31"/>
        <v>0</v>
      </c>
      <c r="S120" s="798">
        <f t="shared" si="22"/>
        <v>0</v>
      </c>
    </row>
    <row r="121" spans="1:19">
      <c r="A121" s="962"/>
      <c r="B121" s="137"/>
      <c r="C121" s="53">
        <f t="shared" si="23"/>
        <v>1</v>
      </c>
      <c r="D121" s="960"/>
      <c r="E121" s="53">
        <f t="shared" si="24"/>
        <v>0.1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9">
        <f t="shared" si="31"/>
        <v>0</v>
      </c>
      <c r="S121" s="798">
        <f t="shared" si="22"/>
        <v>0</v>
      </c>
    </row>
    <row r="122" spans="1:19">
      <c r="A122" s="962"/>
      <c r="B122" s="137"/>
      <c r="C122" s="53">
        <f t="shared" si="23"/>
        <v>1</v>
      </c>
      <c r="D122" s="960"/>
      <c r="E122" s="53">
        <f t="shared" si="24"/>
        <v>0.1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9">
        <f t="shared" si="31"/>
        <v>0</v>
      </c>
      <c r="S122" s="798">
        <f t="shared" si="22"/>
        <v>0</v>
      </c>
    </row>
    <row r="123" spans="1:19">
      <c r="A123" s="962"/>
      <c r="B123" s="137"/>
      <c r="C123" s="53">
        <f t="shared" si="23"/>
        <v>1</v>
      </c>
      <c r="D123" s="960"/>
      <c r="E123" s="53">
        <f t="shared" si="24"/>
        <v>0.1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9">
        <f t="shared" si="31"/>
        <v>0</v>
      </c>
      <c r="S123" s="798">
        <f t="shared" ref="S123:S186" si="32">ROUND(R123*B123/10000,0)</f>
        <v>0</v>
      </c>
    </row>
    <row r="124" spans="1:19">
      <c r="A124" s="962"/>
      <c r="B124" s="137"/>
      <c r="C124" s="53">
        <f t="shared" si="23"/>
        <v>1</v>
      </c>
      <c r="D124" s="960"/>
      <c r="E124" s="53">
        <f t="shared" si="24"/>
        <v>0.1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9">
        <f t="shared" si="31"/>
        <v>0</v>
      </c>
      <c r="S124" s="798">
        <f t="shared" si="32"/>
        <v>0</v>
      </c>
    </row>
    <row r="125" spans="1:19">
      <c r="A125" s="962"/>
      <c r="B125" s="137"/>
      <c r="C125" s="53">
        <f t="shared" si="23"/>
        <v>1</v>
      </c>
      <c r="D125" s="960"/>
      <c r="E125" s="53">
        <f t="shared" si="24"/>
        <v>0.1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9">
        <f t="shared" si="31"/>
        <v>0</v>
      </c>
      <c r="S125" s="798">
        <f t="shared" si="32"/>
        <v>0</v>
      </c>
    </row>
    <row r="126" spans="1:19">
      <c r="A126" s="962"/>
      <c r="B126" s="137"/>
      <c r="C126" s="53">
        <f t="shared" si="23"/>
        <v>1</v>
      </c>
      <c r="D126" s="960"/>
      <c r="E126" s="53">
        <f t="shared" si="24"/>
        <v>0.1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9">
        <f t="shared" si="31"/>
        <v>0</v>
      </c>
      <c r="S126" s="798">
        <f t="shared" si="32"/>
        <v>0</v>
      </c>
    </row>
    <row r="127" spans="1:19">
      <c r="A127" s="962"/>
      <c r="B127" s="137"/>
      <c r="C127" s="53">
        <f t="shared" si="23"/>
        <v>1</v>
      </c>
      <c r="D127" s="960"/>
      <c r="E127" s="53">
        <f t="shared" si="24"/>
        <v>0.1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9">
        <f t="shared" si="31"/>
        <v>0</v>
      </c>
      <c r="S127" s="798">
        <f t="shared" si="32"/>
        <v>0</v>
      </c>
    </row>
    <row r="128" spans="1:19">
      <c r="A128" s="962"/>
      <c r="B128" s="137"/>
      <c r="C128" s="53">
        <f t="shared" si="23"/>
        <v>1</v>
      </c>
      <c r="D128" s="960"/>
      <c r="E128" s="53">
        <f t="shared" si="24"/>
        <v>0.1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9">
        <f t="shared" si="31"/>
        <v>0</v>
      </c>
      <c r="S128" s="798">
        <f t="shared" si="32"/>
        <v>0</v>
      </c>
    </row>
    <row r="129" spans="1:19">
      <c r="A129" s="962"/>
      <c r="B129" s="137"/>
      <c r="C129" s="53">
        <f t="shared" si="23"/>
        <v>1</v>
      </c>
      <c r="D129" s="960"/>
      <c r="E129" s="53">
        <f t="shared" si="24"/>
        <v>0.1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9">
        <f t="shared" si="31"/>
        <v>0</v>
      </c>
      <c r="S129" s="798">
        <f t="shared" si="32"/>
        <v>0</v>
      </c>
    </row>
    <row r="130" spans="1:19">
      <c r="A130" s="962"/>
      <c r="B130" s="137"/>
      <c r="C130" s="53">
        <f t="shared" si="23"/>
        <v>1</v>
      </c>
      <c r="D130" s="960"/>
      <c r="E130" s="53">
        <f t="shared" si="24"/>
        <v>0.1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9">
        <f t="shared" si="31"/>
        <v>0</v>
      </c>
      <c r="S130" s="798">
        <f t="shared" si="32"/>
        <v>0</v>
      </c>
    </row>
    <row r="131" spans="1:19">
      <c r="A131" s="962"/>
      <c r="B131" s="137"/>
      <c r="C131" s="53">
        <f t="shared" si="23"/>
        <v>1</v>
      </c>
      <c r="D131" s="960"/>
      <c r="E131" s="53">
        <f t="shared" si="24"/>
        <v>0.1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9">
        <f t="shared" si="31"/>
        <v>0</v>
      </c>
      <c r="S131" s="798">
        <f t="shared" si="32"/>
        <v>0</v>
      </c>
    </row>
    <row r="132" spans="1:19">
      <c r="A132" s="962"/>
      <c r="B132" s="137"/>
      <c r="C132" s="53">
        <f t="shared" si="23"/>
        <v>1</v>
      </c>
      <c r="D132" s="960"/>
      <c r="E132" s="53">
        <f t="shared" si="24"/>
        <v>0.1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9">
        <f t="shared" si="31"/>
        <v>0</v>
      </c>
      <c r="S132" s="798">
        <f t="shared" si="32"/>
        <v>0</v>
      </c>
    </row>
    <row r="133" spans="1:19">
      <c r="A133" s="962"/>
      <c r="B133" s="137"/>
      <c r="C133" s="53">
        <f t="shared" si="23"/>
        <v>1</v>
      </c>
      <c r="D133" s="960"/>
      <c r="E133" s="53">
        <f t="shared" si="24"/>
        <v>0.1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9">
        <f t="shared" si="31"/>
        <v>0</v>
      </c>
      <c r="S133" s="798">
        <f t="shared" si="32"/>
        <v>0</v>
      </c>
    </row>
    <row r="134" spans="1:19">
      <c r="A134" s="962"/>
      <c r="B134" s="137"/>
      <c r="C134" s="53">
        <f t="shared" si="23"/>
        <v>1</v>
      </c>
      <c r="D134" s="960"/>
      <c r="E134" s="53">
        <f t="shared" si="24"/>
        <v>0.1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9">
        <f t="shared" si="31"/>
        <v>0</v>
      </c>
      <c r="S134" s="798">
        <f t="shared" si="32"/>
        <v>0</v>
      </c>
    </row>
    <row r="135" spans="1:19">
      <c r="A135" s="962"/>
      <c r="B135" s="137"/>
      <c r="C135" s="53">
        <f t="shared" si="23"/>
        <v>1</v>
      </c>
      <c r="D135" s="960"/>
      <c r="E135" s="53">
        <f t="shared" si="24"/>
        <v>0.1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9">
        <f t="shared" si="31"/>
        <v>0</v>
      </c>
      <c r="S135" s="798">
        <f t="shared" si="32"/>
        <v>0</v>
      </c>
    </row>
    <row r="136" spans="1:19">
      <c r="A136" s="962"/>
      <c r="B136" s="137"/>
      <c r="C136" s="53">
        <f t="shared" si="23"/>
        <v>1</v>
      </c>
      <c r="D136" s="960"/>
      <c r="E136" s="53">
        <f t="shared" si="24"/>
        <v>0.1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9">
        <f t="shared" si="31"/>
        <v>0</v>
      </c>
      <c r="S136" s="798">
        <f t="shared" si="32"/>
        <v>0</v>
      </c>
    </row>
    <row r="137" spans="1:19">
      <c r="A137" s="962"/>
      <c r="B137" s="137"/>
      <c r="C137" s="53">
        <f t="shared" si="23"/>
        <v>1</v>
      </c>
      <c r="D137" s="960"/>
      <c r="E137" s="53">
        <f t="shared" si="24"/>
        <v>0.1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9">
        <f t="shared" si="31"/>
        <v>0</v>
      </c>
      <c r="S137" s="798">
        <f t="shared" si="32"/>
        <v>0</v>
      </c>
    </row>
    <row r="138" spans="1:19">
      <c r="A138" s="962"/>
      <c r="B138" s="137"/>
      <c r="C138" s="53">
        <f t="shared" si="23"/>
        <v>1</v>
      </c>
      <c r="D138" s="960"/>
      <c r="E138" s="53">
        <f t="shared" si="24"/>
        <v>0.1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9">
        <f t="shared" si="31"/>
        <v>0</v>
      </c>
      <c r="S138" s="798">
        <f t="shared" si="32"/>
        <v>0</v>
      </c>
    </row>
    <row r="139" spans="1:19">
      <c r="A139" s="962"/>
      <c r="B139" s="137"/>
      <c r="C139" s="53">
        <f t="shared" si="23"/>
        <v>1</v>
      </c>
      <c r="D139" s="960"/>
      <c r="E139" s="53">
        <f t="shared" si="24"/>
        <v>0.1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9">
        <f t="shared" si="31"/>
        <v>0</v>
      </c>
      <c r="S139" s="798">
        <f t="shared" si="32"/>
        <v>0</v>
      </c>
    </row>
    <row r="140" spans="1:19">
      <c r="A140" s="962"/>
      <c r="B140" s="137"/>
      <c r="C140" s="53">
        <f t="shared" si="23"/>
        <v>1</v>
      </c>
      <c r="D140" s="960"/>
      <c r="E140" s="53">
        <f t="shared" si="24"/>
        <v>0.1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9">
        <f t="shared" si="31"/>
        <v>0</v>
      </c>
      <c r="S140" s="798">
        <f t="shared" si="32"/>
        <v>0</v>
      </c>
    </row>
    <row r="141" spans="1:19">
      <c r="A141" s="962"/>
      <c r="B141" s="137"/>
      <c r="C141" s="53">
        <f t="shared" si="23"/>
        <v>1</v>
      </c>
      <c r="D141" s="960"/>
      <c r="E141" s="53">
        <f t="shared" si="24"/>
        <v>0.1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9">
        <f t="shared" si="31"/>
        <v>0</v>
      </c>
      <c r="S141" s="798">
        <f t="shared" si="32"/>
        <v>0</v>
      </c>
    </row>
    <row r="142" spans="1:19">
      <c r="A142" s="962"/>
      <c r="B142" s="137"/>
      <c r="C142" s="53">
        <f t="shared" si="23"/>
        <v>1</v>
      </c>
      <c r="D142" s="960"/>
      <c r="E142" s="53">
        <f t="shared" si="24"/>
        <v>0.1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9">
        <f t="shared" si="31"/>
        <v>0</v>
      </c>
      <c r="S142" s="798">
        <f t="shared" si="32"/>
        <v>0</v>
      </c>
    </row>
    <row r="143" spans="1:19">
      <c r="A143" s="962"/>
      <c r="B143" s="137"/>
      <c r="C143" s="53">
        <f t="shared" si="23"/>
        <v>1</v>
      </c>
      <c r="D143" s="960"/>
      <c r="E143" s="53">
        <f t="shared" si="24"/>
        <v>0.1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9">
        <f t="shared" si="31"/>
        <v>0</v>
      </c>
      <c r="S143" s="798">
        <f t="shared" si="32"/>
        <v>0</v>
      </c>
    </row>
    <row r="144" spans="1:19">
      <c r="A144" s="962"/>
      <c r="B144" s="137"/>
      <c r="C144" s="53">
        <f t="shared" si="23"/>
        <v>1</v>
      </c>
      <c r="D144" s="960"/>
      <c r="E144" s="53">
        <f t="shared" si="24"/>
        <v>0.1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9">
        <f t="shared" si="31"/>
        <v>0</v>
      </c>
      <c r="S144" s="798">
        <f t="shared" si="32"/>
        <v>0</v>
      </c>
    </row>
    <row r="145" spans="1:19">
      <c r="A145" s="962"/>
      <c r="B145" s="137"/>
      <c r="C145" s="53">
        <f t="shared" si="23"/>
        <v>1</v>
      </c>
      <c r="D145" s="960"/>
      <c r="E145" s="53">
        <f t="shared" si="24"/>
        <v>0.1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9">
        <f t="shared" si="31"/>
        <v>0</v>
      </c>
      <c r="S145" s="798">
        <f t="shared" si="32"/>
        <v>0</v>
      </c>
    </row>
    <row r="146" spans="1:19">
      <c r="A146" s="962"/>
      <c r="B146" s="137"/>
      <c r="C146" s="53">
        <f t="shared" si="23"/>
        <v>1</v>
      </c>
      <c r="D146" s="960"/>
      <c r="E146" s="53">
        <f t="shared" si="24"/>
        <v>0.1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9">
        <f t="shared" si="31"/>
        <v>0</v>
      </c>
      <c r="S146" s="798">
        <f t="shared" si="32"/>
        <v>0</v>
      </c>
    </row>
    <row r="147" spans="1:19">
      <c r="A147" s="962"/>
      <c r="B147" s="137"/>
      <c r="C147" s="53">
        <f t="shared" si="23"/>
        <v>1</v>
      </c>
      <c r="D147" s="960"/>
      <c r="E147" s="53">
        <f t="shared" si="24"/>
        <v>0.1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9">
        <f t="shared" si="31"/>
        <v>0</v>
      </c>
      <c r="S147" s="798">
        <f t="shared" si="32"/>
        <v>0</v>
      </c>
    </row>
    <row r="148" spans="1:19">
      <c r="A148" s="962"/>
      <c r="B148" s="137"/>
      <c r="C148" s="53">
        <f t="shared" si="23"/>
        <v>1</v>
      </c>
      <c r="D148" s="960"/>
      <c r="E148" s="53">
        <f t="shared" si="24"/>
        <v>0.1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9">
        <f t="shared" si="31"/>
        <v>0</v>
      </c>
      <c r="S148" s="798">
        <f t="shared" si="32"/>
        <v>0</v>
      </c>
    </row>
    <row r="149" spans="1:19">
      <c r="A149" s="962"/>
      <c r="B149" s="137"/>
      <c r="C149" s="53">
        <f t="shared" si="23"/>
        <v>1</v>
      </c>
      <c r="D149" s="960"/>
      <c r="E149" s="53">
        <f t="shared" si="24"/>
        <v>0.1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9">
        <f t="shared" si="31"/>
        <v>0</v>
      </c>
      <c r="S149" s="798">
        <f t="shared" si="32"/>
        <v>0</v>
      </c>
    </row>
    <row r="150" spans="1:19">
      <c r="A150" s="962"/>
      <c r="B150" s="137"/>
      <c r="C150" s="53">
        <f t="shared" si="23"/>
        <v>1</v>
      </c>
      <c r="D150" s="960"/>
      <c r="E150" s="53">
        <f t="shared" si="24"/>
        <v>0.1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9">
        <f t="shared" si="31"/>
        <v>0</v>
      </c>
      <c r="S150" s="798">
        <f t="shared" si="32"/>
        <v>0</v>
      </c>
    </row>
    <row r="151" spans="1:19">
      <c r="A151" s="962"/>
      <c r="B151" s="137"/>
      <c r="C151" s="53">
        <f t="shared" si="23"/>
        <v>1</v>
      </c>
      <c r="D151" s="960"/>
      <c r="E151" s="53">
        <f t="shared" si="24"/>
        <v>0.1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9">
        <f t="shared" si="31"/>
        <v>0</v>
      </c>
      <c r="S151" s="798">
        <f t="shared" si="32"/>
        <v>0</v>
      </c>
    </row>
    <row r="152" spans="1:19">
      <c r="A152" s="962"/>
      <c r="B152" s="137"/>
      <c r="C152" s="53">
        <f t="shared" si="23"/>
        <v>1</v>
      </c>
      <c r="D152" s="960"/>
      <c r="E152" s="53">
        <f t="shared" si="24"/>
        <v>0.1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9">
        <f t="shared" si="31"/>
        <v>0</v>
      </c>
      <c r="S152" s="798">
        <f t="shared" si="32"/>
        <v>0</v>
      </c>
    </row>
    <row r="153" spans="1:19">
      <c r="A153" s="962"/>
      <c r="B153" s="137"/>
      <c r="C153" s="53">
        <f t="shared" si="23"/>
        <v>1</v>
      </c>
      <c r="D153" s="960"/>
      <c r="E153" s="53">
        <f t="shared" si="24"/>
        <v>0.1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9">
        <f t="shared" si="31"/>
        <v>0</v>
      </c>
      <c r="S153" s="798">
        <f t="shared" si="32"/>
        <v>0</v>
      </c>
    </row>
    <row r="154" spans="1:19">
      <c r="A154" s="962"/>
      <c r="B154" s="137"/>
      <c r="C154" s="53">
        <f t="shared" ref="C154:C217" si="33">IF(B154="",1,(LOOKUP(B154,$3:$3,$4:$4)-LOOKUP($B$24,$3:$3,$4:$4)+100)/100)</f>
        <v>1</v>
      </c>
      <c r="D154" s="960"/>
      <c r="E154" s="53">
        <f t="shared" ref="E154:E217" si="34">(SUMIF($5:$5,D154,$6:$6)-SUMIF($5:$5,$D$24,$6:$6)+100)/100</f>
        <v>0.1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9">
        <f t="shared" ref="R154:R217" si="41">IF(B154="",0,ROUND($R$24*C154*E154*G154*I154*K154*M154*O154*Q154,0))</f>
        <v>0</v>
      </c>
      <c r="S154" s="798">
        <f t="shared" si="32"/>
        <v>0</v>
      </c>
    </row>
    <row r="155" spans="1:19">
      <c r="A155" s="962"/>
      <c r="B155" s="137"/>
      <c r="C155" s="53">
        <f t="shared" si="33"/>
        <v>1</v>
      </c>
      <c r="D155" s="960"/>
      <c r="E155" s="53">
        <f t="shared" si="34"/>
        <v>0.1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9">
        <f t="shared" si="41"/>
        <v>0</v>
      </c>
      <c r="S155" s="798">
        <f t="shared" si="32"/>
        <v>0</v>
      </c>
    </row>
    <row r="156" spans="1:19">
      <c r="A156" s="962"/>
      <c r="B156" s="137"/>
      <c r="C156" s="53">
        <f t="shared" si="33"/>
        <v>1</v>
      </c>
      <c r="D156" s="960"/>
      <c r="E156" s="53">
        <f t="shared" si="34"/>
        <v>0.1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9">
        <f t="shared" si="41"/>
        <v>0</v>
      </c>
      <c r="S156" s="798">
        <f t="shared" si="32"/>
        <v>0</v>
      </c>
    </row>
    <row r="157" spans="1:19">
      <c r="A157" s="962"/>
      <c r="B157" s="137"/>
      <c r="C157" s="53">
        <f t="shared" si="33"/>
        <v>1</v>
      </c>
      <c r="D157" s="960"/>
      <c r="E157" s="53">
        <f t="shared" si="34"/>
        <v>0.1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9">
        <f t="shared" si="41"/>
        <v>0</v>
      </c>
      <c r="S157" s="798">
        <f t="shared" si="32"/>
        <v>0</v>
      </c>
    </row>
    <row r="158" spans="1:19">
      <c r="A158" s="962"/>
      <c r="B158" s="137"/>
      <c r="C158" s="53">
        <f t="shared" si="33"/>
        <v>1</v>
      </c>
      <c r="D158" s="960"/>
      <c r="E158" s="53">
        <f t="shared" si="34"/>
        <v>0.1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9">
        <f t="shared" si="41"/>
        <v>0</v>
      </c>
      <c r="S158" s="798">
        <f t="shared" si="32"/>
        <v>0</v>
      </c>
    </row>
    <row r="159" spans="1:19">
      <c r="A159" s="962"/>
      <c r="B159" s="137"/>
      <c r="C159" s="53">
        <f t="shared" si="33"/>
        <v>1</v>
      </c>
      <c r="D159" s="960"/>
      <c r="E159" s="53">
        <f t="shared" si="34"/>
        <v>0.1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9">
        <f t="shared" si="41"/>
        <v>0</v>
      </c>
      <c r="S159" s="798">
        <f t="shared" si="32"/>
        <v>0</v>
      </c>
    </row>
    <row r="160" spans="1:19">
      <c r="A160" s="962"/>
      <c r="B160" s="137"/>
      <c r="C160" s="53">
        <f t="shared" si="33"/>
        <v>1</v>
      </c>
      <c r="D160" s="960"/>
      <c r="E160" s="53">
        <f t="shared" si="34"/>
        <v>0.1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9">
        <f t="shared" si="41"/>
        <v>0</v>
      </c>
      <c r="S160" s="798">
        <f t="shared" si="32"/>
        <v>0</v>
      </c>
    </row>
    <row r="161" spans="1:19">
      <c r="A161" s="962"/>
      <c r="B161" s="137"/>
      <c r="C161" s="53">
        <f t="shared" si="33"/>
        <v>1</v>
      </c>
      <c r="D161" s="960"/>
      <c r="E161" s="53">
        <f t="shared" si="34"/>
        <v>0.1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9">
        <f t="shared" si="41"/>
        <v>0</v>
      </c>
      <c r="S161" s="798">
        <f t="shared" si="32"/>
        <v>0</v>
      </c>
    </row>
    <row r="162" spans="1:19">
      <c r="A162" s="962"/>
      <c r="B162" s="137"/>
      <c r="C162" s="53">
        <f t="shared" si="33"/>
        <v>1</v>
      </c>
      <c r="D162" s="960"/>
      <c r="E162" s="53">
        <f t="shared" si="34"/>
        <v>0.1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9">
        <f t="shared" si="41"/>
        <v>0</v>
      </c>
      <c r="S162" s="798">
        <f t="shared" si="32"/>
        <v>0</v>
      </c>
    </row>
    <row r="163" spans="1:19">
      <c r="A163" s="962"/>
      <c r="B163" s="137"/>
      <c r="C163" s="53">
        <f t="shared" si="33"/>
        <v>1</v>
      </c>
      <c r="D163" s="960"/>
      <c r="E163" s="53">
        <f t="shared" si="34"/>
        <v>0.1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9">
        <f t="shared" si="41"/>
        <v>0</v>
      </c>
      <c r="S163" s="798">
        <f t="shared" si="32"/>
        <v>0</v>
      </c>
    </row>
    <row r="164" spans="1:19">
      <c r="A164" s="962"/>
      <c r="B164" s="137"/>
      <c r="C164" s="53">
        <f t="shared" si="33"/>
        <v>1</v>
      </c>
      <c r="D164" s="960"/>
      <c r="E164" s="53">
        <f t="shared" si="34"/>
        <v>0.1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9">
        <f t="shared" si="41"/>
        <v>0</v>
      </c>
      <c r="S164" s="798">
        <f t="shared" si="32"/>
        <v>0</v>
      </c>
    </row>
    <row r="165" spans="1:19">
      <c r="A165" s="962"/>
      <c r="B165" s="137"/>
      <c r="C165" s="53">
        <f t="shared" si="33"/>
        <v>1</v>
      </c>
      <c r="D165" s="960"/>
      <c r="E165" s="53">
        <f t="shared" si="34"/>
        <v>0.1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9">
        <f t="shared" si="41"/>
        <v>0</v>
      </c>
      <c r="S165" s="798">
        <f t="shared" si="32"/>
        <v>0</v>
      </c>
    </row>
    <row r="166" spans="1:19">
      <c r="A166" s="962"/>
      <c r="B166" s="137"/>
      <c r="C166" s="53">
        <f t="shared" si="33"/>
        <v>1</v>
      </c>
      <c r="D166" s="960"/>
      <c r="E166" s="53">
        <f t="shared" si="34"/>
        <v>0.1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9">
        <f t="shared" si="41"/>
        <v>0</v>
      </c>
      <c r="S166" s="798">
        <f t="shared" si="32"/>
        <v>0</v>
      </c>
    </row>
    <row r="167" spans="1:19">
      <c r="A167" s="962"/>
      <c r="B167" s="137"/>
      <c r="C167" s="53">
        <f t="shared" si="33"/>
        <v>1</v>
      </c>
      <c r="D167" s="960"/>
      <c r="E167" s="53">
        <f t="shared" si="34"/>
        <v>0.1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9">
        <f t="shared" si="41"/>
        <v>0</v>
      </c>
      <c r="S167" s="798">
        <f t="shared" si="32"/>
        <v>0</v>
      </c>
    </row>
    <row r="168" spans="1:19">
      <c r="A168" s="962"/>
      <c r="B168" s="137"/>
      <c r="C168" s="53">
        <f t="shared" si="33"/>
        <v>1</v>
      </c>
      <c r="D168" s="960"/>
      <c r="E168" s="53">
        <f t="shared" si="34"/>
        <v>0.1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9">
        <f t="shared" si="41"/>
        <v>0</v>
      </c>
      <c r="S168" s="798">
        <f t="shared" si="32"/>
        <v>0</v>
      </c>
    </row>
    <row r="169" spans="1:19">
      <c r="A169" s="962"/>
      <c r="B169" s="137"/>
      <c r="C169" s="53">
        <f t="shared" si="33"/>
        <v>1</v>
      </c>
      <c r="D169" s="960"/>
      <c r="E169" s="53">
        <f t="shared" si="34"/>
        <v>0.1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9">
        <f t="shared" si="41"/>
        <v>0</v>
      </c>
      <c r="S169" s="798">
        <f t="shared" si="32"/>
        <v>0</v>
      </c>
    </row>
    <row r="170" spans="1:19">
      <c r="A170" s="962"/>
      <c r="B170" s="137"/>
      <c r="C170" s="53">
        <f t="shared" si="33"/>
        <v>1</v>
      </c>
      <c r="D170" s="960"/>
      <c r="E170" s="53">
        <f t="shared" si="34"/>
        <v>0.1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9">
        <f t="shared" si="41"/>
        <v>0</v>
      </c>
      <c r="S170" s="798">
        <f t="shared" si="32"/>
        <v>0</v>
      </c>
    </row>
    <row r="171" spans="1:19">
      <c r="A171" s="962"/>
      <c r="B171" s="137"/>
      <c r="C171" s="53">
        <f t="shared" si="33"/>
        <v>1</v>
      </c>
      <c r="D171" s="960"/>
      <c r="E171" s="53">
        <f t="shared" si="34"/>
        <v>0.1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9">
        <f t="shared" si="41"/>
        <v>0</v>
      </c>
      <c r="S171" s="798">
        <f t="shared" si="32"/>
        <v>0</v>
      </c>
    </row>
    <row r="172" spans="1:19">
      <c r="A172" s="962"/>
      <c r="B172" s="137"/>
      <c r="C172" s="53">
        <f t="shared" si="33"/>
        <v>1</v>
      </c>
      <c r="D172" s="960"/>
      <c r="E172" s="53">
        <f t="shared" si="34"/>
        <v>0.1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9">
        <f t="shared" si="41"/>
        <v>0</v>
      </c>
      <c r="S172" s="798">
        <f t="shared" si="32"/>
        <v>0</v>
      </c>
    </row>
    <row r="173" spans="1:19">
      <c r="A173" s="962"/>
      <c r="B173" s="137"/>
      <c r="C173" s="53">
        <f t="shared" si="33"/>
        <v>1</v>
      </c>
      <c r="D173" s="960"/>
      <c r="E173" s="53">
        <f t="shared" si="34"/>
        <v>0.1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9">
        <f t="shared" si="41"/>
        <v>0</v>
      </c>
      <c r="S173" s="798">
        <f t="shared" si="32"/>
        <v>0</v>
      </c>
    </row>
    <row r="174" spans="1:19">
      <c r="A174" s="962"/>
      <c r="B174" s="137"/>
      <c r="C174" s="53">
        <f t="shared" si="33"/>
        <v>1</v>
      </c>
      <c r="D174" s="960"/>
      <c r="E174" s="53">
        <f t="shared" si="34"/>
        <v>0.1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9">
        <f t="shared" si="41"/>
        <v>0</v>
      </c>
      <c r="S174" s="798">
        <f t="shared" si="32"/>
        <v>0</v>
      </c>
    </row>
    <row r="175" spans="1:19">
      <c r="A175" s="962"/>
      <c r="B175" s="137"/>
      <c r="C175" s="53">
        <f t="shared" si="33"/>
        <v>1</v>
      </c>
      <c r="D175" s="960"/>
      <c r="E175" s="53">
        <f t="shared" si="34"/>
        <v>0.1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9">
        <f t="shared" si="41"/>
        <v>0</v>
      </c>
      <c r="S175" s="798">
        <f t="shared" si="32"/>
        <v>0</v>
      </c>
    </row>
    <row r="176" spans="1:19">
      <c r="A176" s="962"/>
      <c r="B176" s="137"/>
      <c r="C176" s="53">
        <f t="shared" si="33"/>
        <v>1</v>
      </c>
      <c r="D176" s="960"/>
      <c r="E176" s="53">
        <f t="shared" si="34"/>
        <v>0.1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9">
        <f t="shared" si="41"/>
        <v>0</v>
      </c>
      <c r="S176" s="798">
        <f t="shared" si="32"/>
        <v>0</v>
      </c>
    </row>
    <row r="177" spans="1:19">
      <c r="A177" s="962"/>
      <c r="B177" s="137"/>
      <c r="C177" s="53">
        <f t="shared" si="33"/>
        <v>1</v>
      </c>
      <c r="D177" s="960"/>
      <c r="E177" s="53">
        <f t="shared" si="34"/>
        <v>0.1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9">
        <f t="shared" si="41"/>
        <v>0</v>
      </c>
      <c r="S177" s="798">
        <f t="shared" si="32"/>
        <v>0</v>
      </c>
    </row>
    <row r="178" spans="1:19">
      <c r="A178" s="962"/>
      <c r="B178" s="137"/>
      <c r="C178" s="53">
        <f t="shared" si="33"/>
        <v>1</v>
      </c>
      <c r="D178" s="960"/>
      <c r="E178" s="53">
        <f t="shared" si="34"/>
        <v>0.1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9">
        <f t="shared" si="41"/>
        <v>0</v>
      </c>
      <c r="S178" s="798">
        <f t="shared" si="32"/>
        <v>0</v>
      </c>
    </row>
    <row r="179" spans="1:19">
      <c r="A179" s="962"/>
      <c r="B179" s="137"/>
      <c r="C179" s="53">
        <f t="shared" si="33"/>
        <v>1</v>
      </c>
      <c r="D179" s="960"/>
      <c r="E179" s="53">
        <f t="shared" si="34"/>
        <v>0.1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9">
        <f t="shared" si="41"/>
        <v>0</v>
      </c>
      <c r="S179" s="798">
        <f t="shared" si="32"/>
        <v>0</v>
      </c>
    </row>
    <row r="180" spans="1:19">
      <c r="A180" s="962"/>
      <c r="B180" s="137"/>
      <c r="C180" s="53">
        <f t="shared" si="33"/>
        <v>1</v>
      </c>
      <c r="D180" s="960"/>
      <c r="E180" s="53">
        <f t="shared" si="34"/>
        <v>0.1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9">
        <f t="shared" si="41"/>
        <v>0</v>
      </c>
      <c r="S180" s="798">
        <f t="shared" si="32"/>
        <v>0</v>
      </c>
    </row>
    <row r="181" spans="1:19">
      <c r="A181" s="962"/>
      <c r="B181" s="137"/>
      <c r="C181" s="53">
        <f t="shared" si="33"/>
        <v>1</v>
      </c>
      <c r="D181" s="960"/>
      <c r="E181" s="53">
        <f t="shared" si="34"/>
        <v>0.1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9">
        <f t="shared" si="41"/>
        <v>0</v>
      </c>
      <c r="S181" s="798">
        <f t="shared" si="32"/>
        <v>0</v>
      </c>
    </row>
    <row r="182" spans="1:19">
      <c r="A182" s="962"/>
      <c r="B182" s="137"/>
      <c r="C182" s="53">
        <f t="shared" si="33"/>
        <v>1</v>
      </c>
      <c r="D182" s="960"/>
      <c r="E182" s="53">
        <f t="shared" si="34"/>
        <v>0.1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9">
        <f t="shared" si="41"/>
        <v>0</v>
      </c>
      <c r="S182" s="798">
        <f t="shared" si="32"/>
        <v>0</v>
      </c>
    </row>
    <row r="183" spans="1:19">
      <c r="A183" s="962"/>
      <c r="B183" s="137"/>
      <c r="C183" s="53">
        <f t="shared" si="33"/>
        <v>1</v>
      </c>
      <c r="D183" s="960"/>
      <c r="E183" s="53">
        <f t="shared" si="34"/>
        <v>0.1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9">
        <f t="shared" si="41"/>
        <v>0</v>
      </c>
      <c r="S183" s="798">
        <f t="shared" si="32"/>
        <v>0</v>
      </c>
    </row>
    <row r="184" spans="1:19">
      <c r="A184" s="962"/>
      <c r="B184" s="137"/>
      <c r="C184" s="53">
        <f t="shared" si="33"/>
        <v>1</v>
      </c>
      <c r="D184" s="960"/>
      <c r="E184" s="53">
        <f t="shared" si="34"/>
        <v>0.1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9">
        <f t="shared" si="41"/>
        <v>0</v>
      </c>
      <c r="S184" s="798">
        <f t="shared" si="32"/>
        <v>0</v>
      </c>
    </row>
    <row r="185" spans="1:19">
      <c r="A185" s="962"/>
      <c r="B185" s="137"/>
      <c r="C185" s="53">
        <f t="shared" si="33"/>
        <v>1</v>
      </c>
      <c r="D185" s="960"/>
      <c r="E185" s="53">
        <f t="shared" si="34"/>
        <v>0.1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9">
        <f t="shared" si="41"/>
        <v>0</v>
      </c>
      <c r="S185" s="798">
        <f t="shared" si="32"/>
        <v>0</v>
      </c>
    </row>
    <row r="186" spans="1:19">
      <c r="A186" s="962"/>
      <c r="B186" s="137"/>
      <c r="C186" s="53">
        <f t="shared" si="33"/>
        <v>1</v>
      </c>
      <c r="D186" s="960"/>
      <c r="E186" s="53">
        <f t="shared" si="34"/>
        <v>0.1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9">
        <f t="shared" si="41"/>
        <v>0</v>
      </c>
      <c r="S186" s="798">
        <f t="shared" si="32"/>
        <v>0</v>
      </c>
    </row>
    <row r="187" spans="1:19">
      <c r="A187" s="962"/>
      <c r="B187" s="137"/>
      <c r="C187" s="53">
        <f t="shared" si="33"/>
        <v>1</v>
      </c>
      <c r="D187" s="960"/>
      <c r="E187" s="53">
        <f t="shared" si="34"/>
        <v>0.1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9">
        <f t="shared" si="41"/>
        <v>0</v>
      </c>
      <c r="S187" s="798">
        <f t="shared" ref="S187:S222" si="42">ROUND(R187*B187/10000,0)</f>
        <v>0</v>
      </c>
    </row>
    <row r="188" spans="1:19">
      <c r="A188" s="962"/>
      <c r="B188" s="137"/>
      <c r="C188" s="53">
        <f t="shared" si="33"/>
        <v>1</v>
      </c>
      <c r="D188" s="960"/>
      <c r="E188" s="53">
        <f t="shared" si="34"/>
        <v>0.1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9">
        <f t="shared" si="41"/>
        <v>0</v>
      </c>
      <c r="S188" s="798">
        <f t="shared" si="42"/>
        <v>0</v>
      </c>
    </row>
    <row r="189" spans="1:19">
      <c r="A189" s="962"/>
      <c r="B189" s="137"/>
      <c r="C189" s="53">
        <f t="shared" si="33"/>
        <v>1</v>
      </c>
      <c r="D189" s="960"/>
      <c r="E189" s="53">
        <f t="shared" si="34"/>
        <v>0.1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9">
        <f t="shared" si="41"/>
        <v>0</v>
      </c>
      <c r="S189" s="798">
        <f t="shared" si="42"/>
        <v>0</v>
      </c>
    </row>
    <row r="190" spans="1:19">
      <c r="A190" s="962"/>
      <c r="B190" s="137"/>
      <c r="C190" s="53">
        <f t="shared" si="33"/>
        <v>1</v>
      </c>
      <c r="D190" s="960"/>
      <c r="E190" s="53">
        <f t="shared" si="34"/>
        <v>0.1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9">
        <f t="shared" si="41"/>
        <v>0</v>
      </c>
      <c r="S190" s="798">
        <f t="shared" si="42"/>
        <v>0</v>
      </c>
    </row>
    <row r="191" spans="1:19">
      <c r="A191" s="962"/>
      <c r="B191" s="137"/>
      <c r="C191" s="53">
        <f t="shared" si="33"/>
        <v>1</v>
      </c>
      <c r="D191" s="960"/>
      <c r="E191" s="53">
        <f t="shared" si="34"/>
        <v>0.1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9">
        <f t="shared" si="41"/>
        <v>0</v>
      </c>
      <c r="S191" s="798">
        <f t="shared" si="42"/>
        <v>0</v>
      </c>
    </row>
    <row r="192" spans="1:19">
      <c r="A192" s="962"/>
      <c r="B192" s="137"/>
      <c r="C192" s="53">
        <f t="shared" si="33"/>
        <v>1</v>
      </c>
      <c r="D192" s="960"/>
      <c r="E192" s="53">
        <f t="shared" si="34"/>
        <v>0.1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9">
        <f t="shared" si="41"/>
        <v>0</v>
      </c>
      <c r="S192" s="798">
        <f t="shared" si="42"/>
        <v>0</v>
      </c>
    </row>
    <row r="193" spans="1:19">
      <c r="A193" s="962"/>
      <c r="B193" s="137"/>
      <c r="C193" s="53">
        <f t="shared" si="33"/>
        <v>1</v>
      </c>
      <c r="D193" s="960"/>
      <c r="E193" s="53">
        <f t="shared" si="34"/>
        <v>0.1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9">
        <f t="shared" si="41"/>
        <v>0</v>
      </c>
      <c r="S193" s="798">
        <f t="shared" si="42"/>
        <v>0</v>
      </c>
    </row>
    <row r="194" spans="1:19">
      <c r="A194" s="962"/>
      <c r="B194" s="137"/>
      <c r="C194" s="53">
        <f t="shared" si="33"/>
        <v>1</v>
      </c>
      <c r="D194" s="960"/>
      <c r="E194" s="53">
        <f t="shared" si="34"/>
        <v>0.1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9">
        <f t="shared" si="41"/>
        <v>0</v>
      </c>
      <c r="S194" s="798">
        <f t="shared" si="42"/>
        <v>0</v>
      </c>
    </row>
    <row r="195" spans="1:19">
      <c r="A195" s="962"/>
      <c r="B195" s="137"/>
      <c r="C195" s="53">
        <f t="shared" si="33"/>
        <v>1</v>
      </c>
      <c r="D195" s="960"/>
      <c r="E195" s="53">
        <f t="shared" si="34"/>
        <v>0.1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9">
        <f t="shared" si="41"/>
        <v>0</v>
      </c>
      <c r="S195" s="798">
        <f t="shared" si="42"/>
        <v>0</v>
      </c>
    </row>
    <row r="196" spans="1:19">
      <c r="A196" s="962"/>
      <c r="B196" s="137"/>
      <c r="C196" s="53">
        <f t="shared" si="33"/>
        <v>1</v>
      </c>
      <c r="D196" s="960"/>
      <c r="E196" s="53">
        <f t="shared" si="34"/>
        <v>0.1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9">
        <f t="shared" si="41"/>
        <v>0</v>
      </c>
      <c r="S196" s="798">
        <f t="shared" si="42"/>
        <v>0</v>
      </c>
    </row>
    <row r="197" spans="1:19">
      <c r="A197" s="962"/>
      <c r="B197" s="137"/>
      <c r="C197" s="53">
        <f t="shared" si="33"/>
        <v>1</v>
      </c>
      <c r="D197" s="960"/>
      <c r="E197" s="53">
        <f t="shared" si="34"/>
        <v>0.1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9">
        <f t="shared" si="41"/>
        <v>0</v>
      </c>
      <c r="S197" s="798">
        <f t="shared" si="42"/>
        <v>0</v>
      </c>
    </row>
    <row r="198" spans="1:19">
      <c r="A198" s="962"/>
      <c r="B198" s="137"/>
      <c r="C198" s="53">
        <f t="shared" si="33"/>
        <v>1</v>
      </c>
      <c r="D198" s="960"/>
      <c r="E198" s="53">
        <f t="shared" si="34"/>
        <v>0.1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9">
        <f t="shared" si="41"/>
        <v>0</v>
      </c>
      <c r="S198" s="798">
        <f t="shared" si="42"/>
        <v>0</v>
      </c>
    </row>
    <row r="199" spans="1:19">
      <c r="A199" s="962"/>
      <c r="B199" s="137"/>
      <c r="C199" s="53">
        <f t="shared" si="33"/>
        <v>1</v>
      </c>
      <c r="D199" s="960"/>
      <c r="E199" s="53">
        <f t="shared" si="34"/>
        <v>0.1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9">
        <f t="shared" si="41"/>
        <v>0</v>
      </c>
      <c r="S199" s="798">
        <f t="shared" si="42"/>
        <v>0</v>
      </c>
    </row>
    <row r="200" spans="1:19">
      <c r="A200" s="962"/>
      <c r="B200" s="137"/>
      <c r="C200" s="53">
        <f t="shared" si="33"/>
        <v>1</v>
      </c>
      <c r="D200" s="960"/>
      <c r="E200" s="53">
        <f t="shared" si="34"/>
        <v>0.1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9">
        <f t="shared" si="41"/>
        <v>0</v>
      </c>
      <c r="S200" s="798">
        <f t="shared" si="42"/>
        <v>0</v>
      </c>
    </row>
    <row r="201" spans="1:19">
      <c r="A201" s="962"/>
      <c r="B201" s="137"/>
      <c r="C201" s="53">
        <f t="shared" si="33"/>
        <v>1</v>
      </c>
      <c r="D201" s="960"/>
      <c r="E201" s="53">
        <f t="shared" si="34"/>
        <v>0.1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9">
        <f t="shared" si="41"/>
        <v>0</v>
      </c>
      <c r="S201" s="798">
        <f t="shared" si="42"/>
        <v>0</v>
      </c>
    </row>
    <row r="202" spans="1:19">
      <c r="A202" s="962"/>
      <c r="B202" s="137"/>
      <c r="C202" s="53">
        <f t="shared" si="33"/>
        <v>1</v>
      </c>
      <c r="D202" s="960"/>
      <c r="E202" s="53">
        <f t="shared" si="34"/>
        <v>0.1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9">
        <f t="shared" si="41"/>
        <v>0</v>
      </c>
      <c r="S202" s="798">
        <f t="shared" si="42"/>
        <v>0</v>
      </c>
    </row>
    <row r="203" spans="1:19">
      <c r="A203" s="962"/>
      <c r="B203" s="137"/>
      <c r="C203" s="53">
        <f t="shared" si="33"/>
        <v>1</v>
      </c>
      <c r="D203" s="960"/>
      <c r="E203" s="53">
        <f t="shared" si="34"/>
        <v>0.1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9">
        <f t="shared" si="41"/>
        <v>0</v>
      </c>
      <c r="S203" s="798">
        <f t="shared" si="42"/>
        <v>0</v>
      </c>
    </row>
    <row r="204" spans="1:19">
      <c r="A204" s="962"/>
      <c r="B204" s="137"/>
      <c r="C204" s="53">
        <f t="shared" si="33"/>
        <v>1</v>
      </c>
      <c r="D204" s="960"/>
      <c r="E204" s="53">
        <f t="shared" si="34"/>
        <v>0.1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9">
        <f t="shared" si="41"/>
        <v>0</v>
      </c>
      <c r="S204" s="798">
        <f t="shared" si="42"/>
        <v>0</v>
      </c>
    </row>
    <row r="205" spans="1:19">
      <c r="A205" s="962"/>
      <c r="B205" s="137"/>
      <c r="C205" s="53">
        <f t="shared" si="33"/>
        <v>1</v>
      </c>
      <c r="D205" s="960"/>
      <c r="E205" s="53">
        <f t="shared" si="34"/>
        <v>0.1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9">
        <f t="shared" si="41"/>
        <v>0</v>
      </c>
      <c r="S205" s="798">
        <f t="shared" si="42"/>
        <v>0</v>
      </c>
    </row>
    <row r="206" spans="1:19">
      <c r="A206" s="962"/>
      <c r="B206" s="137"/>
      <c r="C206" s="53">
        <f t="shared" si="33"/>
        <v>1</v>
      </c>
      <c r="D206" s="960"/>
      <c r="E206" s="53">
        <f t="shared" si="34"/>
        <v>0.1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9">
        <f t="shared" si="41"/>
        <v>0</v>
      </c>
      <c r="S206" s="798">
        <f t="shared" si="42"/>
        <v>0</v>
      </c>
    </row>
    <row r="207" spans="1:19">
      <c r="A207" s="962"/>
      <c r="B207" s="137"/>
      <c r="C207" s="53">
        <f t="shared" si="33"/>
        <v>1</v>
      </c>
      <c r="D207" s="960"/>
      <c r="E207" s="53">
        <f t="shared" si="34"/>
        <v>0.1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9">
        <f t="shared" si="41"/>
        <v>0</v>
      </c>
      <c r="S207" s="798">
        <f t="shared" si="42"/>
        <v>0</v>
      </c>
    </row>
    <row r="208" spans="1:19">
      <c r="A208" s="962"/>
      <c r="B208" s="137"/>
      <c r="C208" s="53">
        <f t="shared" si="33"/>
        <v>1</v>
      </c>
      <c r="D208" s="960"/>
      <c r="E208" s="53">
        <f t="shared" si="34"/>
        <v>0.1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9">
        <f t="shared" si="41"/>
        <v>0</v>
      </c>
      <c r="S208" s="798">
        <f t="shared" si="42"/>
        <v>0</v>
      </c>
    </row>
    <row r="209" spans="1:19">
      <c r="A209" s="962"/>
      <c r="B209" s="137"/>
      <c r="C209" s="53">
        <f t="shared" si="33"/>
        <v>1</v>
      </c>
      <c r="D209" s="960"/>
      <c r="E209" s="53">
        <f t="shared" si="34"/>
        <v>0.1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9">
        <f t="shared" si="41"/>
        <v>0</v>
      </c>
      <c r="S209" s="798">
        <f t="shared" si="42"/>
        <v>0</v>
      </c>
    </row>
    <row r="210" spans="1:19">
      <c r="A210" s="962"/>
      <c r="B210" s="137"/>
      <c r="C210" s="53">
        <f t="shared" si="33"/>
        <v>1</v>
      </c>
      <c r="D210" s="960"/>
      <c r="E210" s="53">
        <f t="shared" si="34"/>
        <v>0.1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9">
        <f t="shared" si="41"/>
        <v>0</v>
      </c>
      <c r="S210" s="798">
        <f t="shared" si="42"/>
        <v>0</v>
      </c>
    </row>
    <row r="211" spans="1:19">
      <c r="A211" s="962"/>
      <c r="B211" s="137"/>
      <c r="C211" s="53">
        <f t="shared" si="33"/>
        <v>1</v>
      </c>
      <c r="D211" s="960"/>
      <c r="E211" s="53">
        <f t="shared" si="34"/>
        <v>0.1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9">
        <f t="shared" si="41"/>
        <v>0</v>
      </c>
      <c r="S211" s="798">
        <f t="shared" si="42"/>
        <v>0</v>
      </c>
    </row>
    <row r="212" spans="1:19">
      <c r="A212" s="962"/>
      <c r="B212" s="137"/>
      <c r="C212" s="53">
        <f t="shared" si="33"/>
        <v>1</v>
      </c>
      <c r="D212" s="960"/>
      <c r="E212" s="53">
        <f t="shared" si="34"/>
        <v>0.1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9">
        <f t="shared" si="41"/>
        <v>0</v>
      </c>
      <c r="S212" s="798">
        <f t="shared" si="42"/>
        <v>0</v>
      </c>
    </row>
    <row r="213" spans="1:19">
      <c r="A213" s="962"/>
      <c r="B213" s="137"/>
      <c r="C213" s="53">
        <f t="shared" si="33"/>
        <v>1</v>
      </c>
      <c r="D213" s="960"/>
      <c r="E213" s="53">
        <f t="shared" si="34"/>
        <v>0.1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9">
        <f t="shared" si="41"/>
        <v>0</v>
      </c>
      <c r="S213" s="798">
        <f t="shared" si="42"/>
        <v>0</v>
      </c>
    </row>
    <row r="214" spans="1:19">
      <c r="A214" s="962"/>
      <c r="B214" s="137"/>
      <c r="C214" s="53">
        <f t="shared" si="33"/>
        <v>1</v>
      </c>
      <c r="D214" s="960"/>
      <c r="E214" s="53">
        <f t="shared" si="34"/>
        <v>0.1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9">
        <f t="shared" si="41"/>
        <v>0</v>
      </c>
      <c r="S214" s="798">
        <f t="shared" si="42"/>
        <v>0</v>
      </c>
    </row>
    <row r="215" spans="1:19">
      <c r="A215" s="962"/>
      <c r="B215" s="137"/>
      <c r="C215" s="53">
        <f t="shared" si="33"/>
        <v>1</v>
      </c>
      <c r="D215" s="960"/>
      <c r="E215" s="53">
        <f t="shared" si="34"/>
        <v>0.1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9">
        <f t="shared" si="41"/>
        <v>0</v>
      </c>
      <c r="S215" s="798">
        <f t="shared" si="42"/>
        <v>0</v>
      </c>
    </row>
    <row r="216" spans="1:19">
      <c r="A216" s="962"/>
      <c r="B216" s="137"/>
      <c r="C216" s="53">
        <f t="shared" si="33"/>
        <v>1</v>
      </c>
      <c r="D216" s="960"/>
      <c r="E216" s="53">
        <f t="shared" si="34"/>
        <v>0.1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9">
        <f t="shared" si="41"/>
        <v>0</v>
      </c>
      <c r="S216" s="798">
        <f t="shared" si="42"/>
        <v>0</v>
      </c>
    </row>
    <row r="217" spans="1:19">
      <c r="A217" s="962"/>
      <c r="B217" s="137"/>
      <c r="C217" s="53">
        <f t="shared" si="33"/>
        <v>1</v>
      </c>
      <c r="D217" s="960"/>
      <c r="E217" s="53">
        <f t="shared" si="34"/>
        <v>0.1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9">
        <f t="shared" si="41"/>
        <v>0</v>
      </c>
      <c r="S217" s="798">
        <f t="shared" si="42"/>
        <v>0</v>
      </c>
    </row>
    <row r="218" spans="1:19">
      <c r="A218" s="962"/>
      <c r="B218" s="137"/>
      <c r="C218" s="53">
        <f t="shared" ref="C218:C281" si="43">IF(B218="",1,(LOOKUP(B218,$3:$3,$4:$4)-LOOKUP($B$24,$3:$3,$4:$4)+100)/100)</f>
        <v>1</v>
      </c>
      <c r="D218" s="960"/>
      <c r="E218" s="53">
        <f t="shared" ref="E218:E281" si="44">(SUMIF($5:$5,D218,$6:$6)-SUMIF($5:$5,$D$24,$6:$6)+100)/100</f>
        <v>0.1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9">
        <f t="shared" ref="R218:R281" si="51">IF(B218="",0,ROUND($R$24*C218*E218*G218*I218*K218*M218*O218*Q218,0))</f>
        <v>0</v>
      </c>
      <c r="S218" s="798">
        <f t="shared" si="42"/>
        <v>0</v>
      </c>
    </row>
    <row r="219" spans="1:19">
      <c r="A219" s="962"/>
      <c r="B219" s="137"/>
      <c r="C219" s="53">
        <f t="shared" si="43"/>
        <v>1</v>
      </c>
      <c r="D219" s="960"/>
      <c r="E219" s="53">
        <f t="shared" si="44"/>
        <v>0.1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9">
        <f t="shared" si="51"/>
        <v>0</v>
      </c>
      <c r="S219" s="798">
        <f t="shared" si="42"/>
        <v>0</v>
      </c>
    </row>
    <row r="220" spans="1:19">
      <c r="A220" s="962"/>
      <c r="B220" s="137"/>
      <c r="C220" s="53">
        <f t="shared" si="43"/>
        <v>1</v>
      </c>
      <c r="D220" s="960"/>
      <c r="E220" s="53">
        <f t="shared" si="44"/>
        <v>0.1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9">
        <f t="shared" si="51"/>
        <v>0</v>
      </c>
      <c r="S220" s="798">
        <f t="shared" si="42"/>
        <v>0</v>
      </c>
    </row>
    <row r="221" spans="1:19">
      <c r="A221" s="962"/>
      <c r="B221" s="137"/>
      <c r="C221" s="53">
        <f t="shared" si="43"/>
        <v>1</v>
      </c>
      <c r="D221" s="960"/>
      <c r="E221" s="53">
        <f t="shared" si="44"/>
        <v>0.1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9">
        <f t="shared" si="51"/>
        <v>0</v>
      </c>
      <c r="S221" s="798">
        <f t="shared" si="42"/>
        <v>0</v>
      </c>
    </row>
    <row r="222" spans="1:19">
      <c r="A222" s="962"/>
      <c r="B222" s="137"/>
      <c r="C222" s="53">
        <f t="shared" si="43"/>
        <v>1</v>
      </c>
      <c r="D222" s="960"/>
      <c r="E222" s="53">
        <f t="shared" si="44"/>
        <v>0.1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9">
        <f t="shared" si="51"/>
        <v>0</v>
      </c>
      <c r="S222" s="798">
        <f t="shared" si="42"/>
        <v>0</v>
      </c>
    </row>
    <row r="223" spans="1:19">
      <c r="A223" s="962"/>
      <c r="B223" s="137"/>
      <c r="C223" s="53">
        <f t="shared" si="43"/>
        <v>1</v>
      </c>
      <c r="D223" s="960"/>
      <c r="E223" s="53">
        <f t="shared" si="44"/>
        <v>0.1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9">
        <f t="shared" si="51"/>
        <v>0</v>
      </c>
      <c r="S223" s="798">
        <f t="shared" ref="S223:S286" si="52">ROUND(R223*B223/10000,0)</f>
        <v>0</v>
      </c>
    </row>
    <row r="224" spans="1:19">
      <c r="A224" s="962"/>
      <c r="B224" s="137"/>
      <c r="C224" s="53">
        <f t="shared" si="43"/>
        <v>1</v>
      </c>
      <c r="D224" s="960"/>
      <c r="E224" s="53">
        <f t="shared" si="44"/>
        <v>0.1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9">
        <f t="shared" si="51"/>
        <v>0</v>
      </c>
      <c r="S224" s="798">
        <f t="shared" si="52"/>
        <v>0</v>
      </c>
    </row>
    <row r="225" spans="1:19">
      <c r="A225" s="962"/>
      <c r="B225" s="137"/>
      <c r="C225" s="53">
        <f t="shared" si="43"/>
        <v>1</v>
      </c>
      <c r="D225" s="960"/>
      <c r="E225" s="53">
        <f t="shared" si="44"/>
        <v>0.1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9">
        <f t="shared" si="51"/>
        <v>0</v>
      </c>
      <c r="S225" s="798">
        <f t="shared" si="52"/>
        <v>0</v>
      </c>
    </row>
    <row r="226" spans="1:19">
      <c r="A226" s="962"/>
      <c r="B226" s="137"/>
      <c r="C226" s="53">
        <f t="shared" si="43"/>
        <v>1</v>
      </c>
      <c r="D226" s="960"/>
      <c r="E226" s="53">
        <f t="shared" si="44"/>
        <v>0.1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9">
        <f t="shared" si="51"/>
        <v>0</v>
      </c>
      <c r="S226" s="798">
        <f t="shared" si="52"/>
        <v>0</v>
      </c>
    </row>
    <row r="227" spans="1:19">
      <c r="A227" s="962"/>
      <c r="B227" s="137"/>
      <c r="C227" s="53">
        <f t="shared" si="43"/>
        <v>1</v>
      </c>
      <c r="D227" s="960"/>
      <c r="E227" s="53">
        <f t="shared" si="44"/>
        <v>0.1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9">
        <f t="shared" si="51"/>
        <v>0</v>
      </c>
      <c r="S227" s="798">
        <f t="shared" si="52"/>
        <v>0</v>
      </c>
    </row>
    <row r="228" spans="1:19">
      <c r="A228" s="962"/>
      <c r="B228" s="137"/>
      <c r="C228" s="53">
        <f t="shared" si="43"/>
        <v>1</v>
      </c>
      <c r="D228" s="960"/>
      <c r="E228" s="53">
        <f t="shared" si="44"/>
        <v>0.1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9">
        <f t="shared" si="51"/>
        <v>0</v>
      </c>
      <c r="S228" s="798">
        <f t="shared" si="52"/>
        <v>0</v>
      </c>
    </row>
    <row r="229" spans="1:19">
      <c r="A229" s="962"/>
      <c r="B229" s="137"/>
      <c r="C229" s="53">
        <f t="shared" si="43"/>
        <v>1</v>
      </c>
      <c r="D229" s="960"/>
      <c r="E229" s="53">
        <f t="shared" si="44"/>
        <v>0.1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9">
        <f t="shared" si="51"/>
        <v>0</v>
      </c>
      <c r="S229" s="798">
        <f t="shared" si="52"/>
        <v>0</v>
      </c>
    </row>
    <row r="230" spans="1:19">
      <c r="A230" s="962"/>
      <c r="B230" s="137"/>
      <c r="C230" s="53">
        <f t="shared" si="43"/>
        <v>1</v>
      </c>
      <c r="D230" s="960"/>
      <c r="E230" s="53">
        <f t="shared" si="44"/>
        <v>0.1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9">
        <f t="shared" si="51"/>
        <v>0</v>
      </c>
      <c r="S230" s="798">
        <f t="shared" si="52"/>
        <v>0</v>
      </c>
    </row>
    <row r="231" spans="1:19">
      <c r="A231" s="962"/>
      <c r="B231" s="137"/>
      <c r="C231" s="53">
        <f t="shared" si="43"/>
        <v>1</v>
      </c>
      <c r="D231" s="960"/>
      <c r="E231" s="53">
        <f t="shared" si="44"/>
        <v>0.1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9">
        <f t="shared" si="51"/>
        <v>0</v>
      </c>
      <c r="S231" s="798">
        <f t="shared" si="52"/>
        <v>0</v>
      </c>
    </row>
    <row r="232" spans="1:19">
      <c r="A232" s="962"/>
      <c r="B232" s="137"/>
      <c r="C232" s="53">
        <f t="shared" si="43"/>
        <v>1</v>
      </c>
      <c r="D232" s="960"/>
      <c r="E232" s="53">
        <f t="shared" si="44"/>
        <v>0.1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9">
        <f t="shared" si="51"/>
        <v>0</v>
      </c>
      <c r="S232" s="798">
        <f t="shared" si="52"/>
        <v>0</v>
      </c>
    </row>
    <row r="233" spans="1:19">
      <c r="A233" s="962"/>
      <c r="B233" s="137"/>
      <c r="C233" s="53">
        <f t="shared" si="43"/>
        <v>1</v>
      </c>
      <c r="D233" s="960"/>
      <c r="E233" s="53">
        <f t="shared" si="44"/>
        <v>0.1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9">
        <f t="shared" si="51"/>
        <v>0</v>
      </c>
      <c r="S233" s="798">
        <f t="shared" si="52"/>
        <v>0</v>
      </c>
    </row>
    <row r="234" spans="1:19">
      <c r="A234" s="962"/>
      <c r="B234" s="137"/>
      <c r="C234" s="53">
        <f t="shared" si="43"/>
        <v>1</v>
      </c>
      <c r="D234" s="960"/>
      <c r="E234" s="53">
        <f t="shared" si="44"/>
        <v>0.1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9">
        <f t="shared" si="51"/>
        <v>0</v>
      </c>
      <c r="S234" s="798">
        <f t="shared" si="52"/>
        <v>0</v>
      </c>
    </row>
    <row r="235" spans="1:19">
      <c r="A235" s="962"/>
      <c r="B235" s="137"/>
      <c r="C235" s="53">
        <f t="shared" si="43"/>
        <v>1</v>
      </c>
      <c r="D235" s="960"/>
      <c r="E235" s="53">
        <f t="shared" si="44"/>
        <v>0.1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9">
        <f t="shared" si="51"/>
        <v>0</v>
      </c>
      <c r="S235" s="798">
        <f t="shared" si="52"/>
        <v>0</v>
      </c>
    </row>
    <row r="236" spans="1:19">
      <c r="A236" s="962"/>
      <c r="B236" s="137"/>
      <c r="C236" s="53">
        <f t="shared" si="43"/>
        <v>1</v>
      </c>
      <c r="D236" s="960"/>
      <c r="E236" s="53">
        <f t="shared" si="44"/>
        <v>0.1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9">
        <f t="shared" si="51"/>
        <v>0</v>
      </c>
      <c r="S236" s="798">
        <f t="shared" si="52"/>
        <v>0</v>
      </c>
    </row>
    <row r="237" spans="1:19">
      <c r="A237" s="962"/>
      <c r="B237" s="137"/>
      <c r="C237" s="53">
        <f t="shared" si="43"/>
        <v>1</v>
      </c>
      <c r="D237" s="960"/>
      <c r="E237" s="53">
        <f t="shared" si="44"/>
        <v>0.1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9">
        <f t="shared" si="51"/>
        <v>0</v>
      </c>
      <c r="S237" s="798">
        <f t="shared" si="52"/>
        <v>0</v>
      </c>
    </row>
    <row r="238" spans="1:19">
      <c r="A238" s="962"/>
      <c r="B238" s="137"/>
      <c r="C238" s="53">
        <f t="shared" si="43"/>
        <v>1</v>
      </c>
      <c r="D238" s="960"/>
      <c r="E238" s="53">
        <f t="shared" si="44"/>
        <v>0.1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9">
        <f t="shared" si="51"/>
        <v>0</v>
      </c>
      <c r="S238" s="798">
        <f t="shared" si="52"/>
        <v>0</v>
      </c>
    </row>
    <row r="239" spans="1:19">
      <c r="A239" s="962"/>
      <c r="B239" s="137"/>
      <c r="C239" s="53">
        <f t="shared" si="43"/>
        <v>1</v>
      </c>
      <c r="D239" s="960"/>
      <c r="E239" s="53">
        <f t="shared" si="44"/>
        <v>0.1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9">
        <f t="shared" si="51"/>
        <v>0</v>
      </c>
      <c r="S239" s="798">
        <f t="shared" si="52"/>
        <v>0</v>
      </c>
    </row>
    <row r="240" spans="1:19">
      <c r="A240" s="962"/>
      <c r="B240" s="137"/>
      <c r="C240" s="53">
        <f t="shared" si="43"/>
        <v>1</v>
      </c>
      <c r="D240" s="960"/>
      <c r="E240" s="53">
        <f t="shared" si="44"/>
        <v>0.1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9">
        <f t="shared" si="51"/>
        <v>0</v>
      </c>
      <c r="S240" s="798">
        <f t="shared" si="52"/>
        <v>0</v>
      </c>
    </row>
    <row r="241" spans="1:19">
      <c r="A241" s="962"/>
      <c r="B241" s="137"/>
      <c r="C241" s="53">
        <f t="shared" si="43"/>
        <v>1</v>
      </c>
      <c r="D241" s="960"/>
      <c r="E241" s="53">
        <f t="shared" si="44"/>
        <v>0.1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9">
        <f t="shared" si="51"/>
        <v>0</v>
      </c>
      <c r="S241" s="798">
        <f t="shared" si="52"/>
        <v>0</v>
      </c>
    </row>
    <row r="242" spans="1:19">
      <c r="A242" s="962"/>
      <c r="B242" s="137"/>
      <c r="C242" s="53">
        <f t="shared" si="43"/>
        <v>1</v>
      </c>
      <c r="D242" s="960"/>
      <c r="E242" s="53">
        <f t="shared" si="44"/>
        <v>0.1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9">
        <f t="shared" si="51"/>
        <v>0</v>
      </c>
      <c r="S242" s="798">
        <f t="shared" si="52"/>
        <v>0</v>
      </c>
    </row>
    <row r="243" spans="1:19">
      <c r="A243" s="962"/>
      <c r="B243" s="137"/>
      <c r="C243" s="53">
        <f t="shared" si="43"/>
        <v>1</v>
      </c>
      <c r="D243" s="960"/>
      <c r="E243" s="53">
        <f t="shared" si="44"/>
        <v>0.1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9">
        <f t="shared" si="51"/>
        <v>0</v>
      </c>
      <c r="S243" s="798">
        <f t="shared" si="52"/>
        <v>0</v>
      </c>
    </row>
    <row r="244" spans="1:19">
      <c r="A244" s="962"/>
      <c r="B244" s="137"/>
      <c r="C244" s="53">
        <f t="shared" si="43"/>
        <v>1</v>
      </c>
      <c r="D244" s="960"/>
      <c r="E244" s="53">
        <f t="shared" si="44"/>
        <v>0.1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9">
        <f t="shared" si="51"/>
        <v>0</v>
      </c>
      <c r="S244" s="798">
        <f t="shared" si="52"/>
        <v>0</v>
      </c>
    </row>
    <row r="245" spans="1:19">
      <c r="A245" s="962"/>
      <c r="B245" s="137"/>
      <c r="C245" s="53">
        <f t="shared" si="43"/>
        <v>1</v>
      </c>
      <c r="D245" s="960"/>
      <c r="E245" s="53">
        <f t="shared" si="44"/>
        <v>0.1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9">
        <f t="shared" si="51"/>
        <v>0</v>
      </c>
      <c r="S245" s="798">
        <f t="shared" si="52"/>
        <v>0</v>
      </c>
    </row>
    <row r="246" spans="1:19">
      <c r="A246" s="962"/>
      <c r="B246" s="137"/>
      <c r="C246" s="53">
        <f t="shared" si="43"/>
        <v>1</v>
      </c>
      <c r="D246" s="960"/>
      <c r="E246" s="53">
        <f t="shared" si="44"/>
        <v>0.1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9">
        <f t="shared" si="51"/>
        <v>0</v>
      </c>
      <c r="S246" s="798">
        <f t="shared" si="52"/>
        <v>0</v>
      </c>
    </row>
    <row r="247" spans="1:19">
      <c r="A247" s="962"/>
      <c r="B247" s="137"/>
      <c r="C247" s="53">
        <f t="shared" si="43"/>
        <v>1</v>
      </c>
      <c r="D247" s="960"/>
      <c r="E247" s="53">
        <f t="shared" si="44"/>
        <v>0.1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9">
        <f t="shared" si="51"/>
        <v>0</v>
      </c>
      <c r="S247" s="798">
        <f t="shared" si="52"/>
        <v>0</v>
      </c>
    </row>
    <row r="248" spans="1:19">
      <c r="A248" s="962"/>
      <c r="B248" s="137"/>
      <c r="C248" s="53">
        <f t="shared" si="43"/>
        <v>1</v>
      </c>
      <c r="D248" s="960"/>
      <c r="E248" s="53">
        <f t="shared" si="44"/>
        <v>0.1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9">
        <f t="shared" si="51"/>
        <v>0</v>
      </c>
      <c r="S248" s="798">
        <f t="shared" si="52"/>
        <v>0</v>
      </c>
    </row>
    <row r="249" spans="1:19">
      <c r="A249" s="962"/>
      <c r="B249" s="137"/>
      <c r="C249" s="53">
        <f t="shared" si="43"/>
        <v>1</v>
      </c>
      <c r="D249" s="960"/>
      <c r="E249" s="53">
        <f t="shared" si="44"/>
        <v>0.1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9">
        <f t="shared" si="51"/>
        <v>0</v>
      </c>
      <c r="S249" s="798">
        <f t="shared" si="52"/>
        <v>0</v>
      </c>
    </row>
    <row r="250" spans="1:19">
      <c r="A250" s="962"/>
      <c r="B250" s="137"/>
      <c r="C250" s="53">
        <f t="shared" si="43"/>
        <v>1</v>
      </c>
      <c r="D250" s="960"/>
      <c r="E250" s="53">
        <f t="shared" si="44"/>
        <v>0.1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9">
        <f t="shared" si="51"/>
        <v>0</v>
      </c>
      <c r="S250" s="798">
        <f t="shared" si="52"/>
        <v>0</v>
      </c>
    </row>
    <row r="251" spans="1:19">
      <c r="A251" s="962"/>
      <c r="B251" s="137"/>
      <c r="C251" s="53">
        <f t="shared" si="43"/>
        <v>1</v>
      </c>
      <c r="D251" s="960"/>
      <c r="E251" s="53">
        <f t="shared" si="44"/>
        <v>0.1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9">
        <f t="shared" si="51"/>
        <v>0</v>
      </c>
      <c r="S251" s="798">
        <f t="shared" si="52"/>
        <v>0</v>
      </c>
    </row>
    <row r="252" spans="1:19">
      <c r="A252" s="962"/>
      <c r="B252" s="137"/>
      <c r="C252" s="53">
        <f t="shared" si="43"/>
        <v>1</v>
      </c>
      <c r="D252" s="960"/>
      <c r="E252" s="53">
        <f t="shared" si="44"/>
        <v>0.1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9">
        <f t="shared" si="51"/>
        <v>0</v>
      </c>
      <c r="S252" s="798">
        <f t="shared" si="52"/>
        <v>0</v>
      </c>
    </row>
    <row r="253" spans="1:19">
      <c r="A253" s="962"/>
      <c r="B253" s="137"/>
      <c r="C253" s="53">
        <f t="shared" si="43"/>
        <v>1</v>
      </c>
      <c r="D253" s="960"/>
      <c r="E253" s="53">
        <f t="shared" si="44"/>
        <v>0.1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9">
        <f t="shared" si="51"/>
        <v>0</v>
      </c>
      <c r="S253" s="798">
        <f t="shared" si="52"/>
        <v>0</v>
      </c>
    </row>
    <row r="254" spans="1:19">
      <c r="A254" s="962"/>
      <c r="B254" s="137"/>
      <c r="C254" s="53">
        <f t="shared" si="43"/>
        <v>1</v>
      </c>
      <c r="D254" s="960"/>
      <c r="E254" s="53">
        <f t="shared" si="44"/>
        <v>0.1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9">
        <f t="shared" si="51"/>
        <v>0</v>
      </c>
      <c r="S254" s="798">
        <f t="shared" si="52"/>
        <v>0</v>
      </c>
    </row>
    <row r="255" spans="1:19">
      <c r="A255" s="962"/>
      <c r="B255" s="137"/>
      <c r="C255" s="53">
        <f t="shared" si="43"/>
        <v>1</v>
      </c>
      <c r="D255" s="960"/>
      <c r="E255" s="53">
        <f t="shared" si="44"/>
        <v>0.1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9">
        <f t="shared" si="51"/>
        <v>0</v>
      </c>
      <c r="S255" s="798">
        <f t="shared" si="52"/>
        <v>0</v>
      </c>
    </row>
    <row r="256" spans="1:19">
      <c r="A256" s="962"/>
      <c r="B256" s="137"/>
      <c r="C256" s="53">
        <f t="shared" si="43"/>
        <v>1</v>
      </c>
      <c r="D256" s="960"/>
      <c r="E256" s="53">
        <f t="shared" si="44"/>
        <v>0.1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9">
        <f t="shared" si="51"/>
        <v>0</v>
      </c>
      <c r="S256" s="798">
        <f t="shared" si="52"/>
        <v>0</v>
      </c>
    </row>
    <row r="257" spans="1:19">
      <c r="A257" s="962"/>
      <c r="B257" s="137"/>
      <c r="C257" s="53">
        <f t="shared" si="43"/>
        <v>1</v>
      </c>
      <c r="D257" s="960"/>
      <c r="E257" s="53">
        <f t="shared" si="44"/>
        <v>0.1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9">
        <f t="shared" si="51"/>
        <v>0</v>
      </c>
      <c r="S257" s="798">
        <f t="shared" si="52"/>
        <v>0</v>
      </c>
    </row>
    <row r="258" spans="1:19">
      <c r="A258" s="962"/>
      <c r="B258" s="137"/>
      <c r="C258" s="53">
        <f t="shared" si="43"/>
        <v>1</v>
      </c>
      <c r="D258" s="960"/>
      <c r="E258" s="53">
        <f t="shared" si="44"/>
        <v>0.1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9">
        <f t="shared" si="51"/>
        <v>0</v>
      </c>
      <c r="S258" s="798">
        <f t="shared" si="52"/>
        <v>0</v>
      </c>
    </row>
    <row r="259" spans="1:19">
      <c r="A259" s="962"/>
      <c r="B259" s="137"/>
      <c r="C259" s="53">
        <f t="shared" si="43"/>
        <v>1</v>
      </c>
      <c r="D259" s="960"/>
      <c r="E259" s="53">
        <f t="shared" si="44"/>
        <v>0.1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9">
        <f t="shared" si="51"/>
        <v>0</v>
      </c>
      <c r="S259" s="798">
        <f t="shared" si="52"/>
        <v>0</v>
      </c>
    </row>
    <row r="260" spans="1:19">
      <c r="A260" s="962"/>
      <c r="B260" s="137"/>
      <c r="C260" s="53">
        <f t="shared" si="43"/>
        <v>1</v>
      </c>
      <c r="D260" s="960"/>
      <c r="E260" s="53">
        <f t="shared" si="44"/>
        <v>0.1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9">
        <f t="shared" si="51"/>
        <v>0</v>
      </c>
      <c r="S260" s="798">
        <f t="shared" si="52"/>
        <v>0</v>
      </c>
    </row>
    <row r="261" spans="1:19">
      <c r="A261" s="962"/>
      <c r="B261" s="137"/>
      <c r="C261" s="53">
        <f t="shared" si="43"/>
        <v>1</v>
      </c>
      <c r="D261" s="960"/>
      <c r="E261" s="53">
        <f t="shared" si="44"/>
        <v>0.1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9">
        <f t="shared" si="51"/>
        <v>0</v>
      </c>
      <c r="S261" s="798">
        <f t="shared" si="52"/>
        <v>0</v>
      </c>
    </row>
    <row r="262" spans="1:19">
      <c r="A262" s="962"/>
      <c r="B262" s="137"/>
      <c r="C262" s="53">
        <f t="shared" si="43"/>
        <v>1</v>
      </c>
      <c r="D262" s="960"/>
      <c r="E262" s="53">
        <f t="shared" si="44"/>
        <v>0.1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9">
        <f t="shared" si="51"/>
        <v>0</v>
      </c>
      <c r="S262" s="798">
        <f t="shared" si="52"/>
        <v>0</v>
      </c>
    </row>
    <row r="263" spans="1:19">
      <c r="A263" s="962"/>
      <c r="B263" s="137"/>
      <c r="C263" s="53">
        <f t="shared" si="43"/>
        <v>1</v>
      </c>
      <c r="D263" s="960"/>
      <c r="E263" s="53">
        <f t="shared" si="44"/>
        <v>0.1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9">
        <f t="shared" si="51"/>
        <v>0</v>
      </c>
      <c r="S263" s="798">
        <f t="shared" si="52"/>
        <v>0</v>
      </c>
    </row>
    <row r="264" spans="1:19">
      <c r="A264" s="962"/>
      <c r="B264" s="137"/>
      <c r="C264" s="53">
        <f t="shared" si="43"/>
        <v>1</v>
      </c>
      <c r="D264" s="960"/>
      <c r="E264" s="53">
        <f t="shared" si="44"/>
        <v>0.1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9">
        <f t="shared" si="51"/>
        <v>0</v>
      </c>
      <c r="S264" s="798">
        <f t="shared" si="52"/>
        <v>0</v>
      </c>
    </row>
    <row r="265" spans="1:19">
      <c r="A265" s="962"/>
      <c r="B265" s="137"/>
      <c r="C265" s="53">
        <f t="shared" si="43"/>
        <v>1</v>
      </c>
      <c r="D265" s="960"/>
      <c r="E265" s="53">
        <f t="shared" si="44"/>
        <v>0.1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9">
        <f t="shared" si="51"/>
        <v>0</v>
      </c>
      <c r="S265" s="798">
        <f t="shared" si="52"/>
        <v>0</v>
      </c>
    </row>
    <row r="266" spans="1:19">
      <c r="A266" s="962"/>
      <c r="B266" s="137"/>
      <c r="C266" s="53">
        <f t="shared" si="43"/>
        <v>1</v>
      </c>
      <c r="D266" s="960"/>
      <c r="E266" s="53">
        <f t="shared" si="44"/>
        <v>0.1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9">
        <f t="shared" si="51"/>
        <v>0</v>
      </c>
      <c r="S266" s="798">
        <f t="shared" si="52"/>
        <v>0</v>
      </c>
    </row>
    <row r="267" spans="1:19">
      <c r="A267" s="962"/>
      <c r="B267" s="137"/>
      <c r="C267" s="53">
        <f t="shared" si="43"/>
        <v>1</v>
      </c>
      <c r="D267" s="960"/>
      <c r="E267" s="53">
        <f t="shared" si="44"/>
        <v>0.1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9">
        <f t="shared" si="51"/>
        <v>0</v>
      </c>
      <c r="S267" s="798">
        <f t="shared" si="52"/>
        <v>0</v>
      </c>
    </row>
    <row r="268" spans="1:19">
      <c r="A268" s="962"/>
      <c r="B268" s="137"/>
      <c r="C268" s="53">
        <f t="shared" si="43"/>
        <v>1</v>
      </c>
      <c r="D268" s="960"/>
      <c r="E268" s="53">
        <f t="shared" si="44"/>
        <v>0.1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9">
        <f t="shared" si="51"/>
        <v>0</v>
      </c>
      <c r="S268" s="798">
        <f t="shared" si="52"/>
        <v>0</v>
      </c>
    </row>
    <row r="269" spans="1:19">
      <c r="A269" s="962"/>
      <c r="B269" s="137"/>
      <c r="C269" s="53">
        <f t="shared" si="43"/>
        <v>1</v>
      </c>
      <c r="D269" s="960"/>
      <c r="E269" s="53">
        <f t="shared" si="44"/>
        <v>0.1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9">
        <f t="shared" si="51"/>
        <v>0</v>
      </c>
      <c r="S269" s="798">
        <f t="shared" si="52"/>
        <v>0</v>
      </c>
    </row>
    <row r="270" spans="1:19">
      <c r="A270" s="962"/>
      <c r="B270" s="137"/>
      <c r="C270" s="53">
        <f t="shared" si="43"/>
        <v>1</v>
      </c>
      <c r="D270" s="960"/>
      <c r="E270" s="53">
        <f t="shared" si="44"/>
        <v>0.1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9">
        <f t="shared" si="51"/>
        <v>0</v>
      </c>
      <c r="S270" s="798">
        <f t="shared" si="52"/>
        <v>0</v>
      </c>
    </row>
    <row r="271" spans="1:19">
      <c r="A271" s="962"/>
      <c r="B271" s="137"/>
      <c r="C271" s="53">
        <f t="shared" si="43"/>
        <v>1</v>
      </c>
      <c r="D271" s="960"/>
      <c r="E271" s="53">
        <f t="shared" si="44"/>
        <v>0.1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9">
        <f t="shared" si="51"/>
        <v>0</v>
      </c>
      <c r="S271" s="798">
        <f t="shared" si="52"/>
        <v>0</v>
      </c>
    </row>
    <row r="272" spans="1:19">
      <c r="A272" s="962"/>
      <c r="B272" s="137"/>
      <c r="C272" s="53">
        <f t="shared" si="43"/>
        <v>1</v>
      </c>
      <c r="D272" s="960"/>
      <c r="E272" s="53">
        <f t="shared" si="44"/>
        <v>0.1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9">
        <f t="shared" si="51"/>
        <v>0</v>
      </c>
      <c r="S272" s="798">
        <f t="shared" si="52"/>
        <v>0</v>
      </c>
    </row>
    <row r="273" spans="1:19">
      <c r="A273" s="962"/>
      <c r="B273" s="137"/>
      <c r="C273" s="53">
        <f t="shared" si="43"/>
        <v>1</v>
      </c>
      <c r="D273" s="960"/>
      <c r="E273" s="53">
        <f t="shared" si="44"/>
        <v>0.1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9">
        <f t="shared" si="51"/>
        <v>0</v>
      </c>
      <c r="S273" s="798">
        <f t="shared" si="52"/>
        <v>0</v>
      </c>
    </row>
    <row r="274" spans="1:19">
      <c r="A274" s="962"/>
      <c r="B274" s="137"/>
      <c r="C274" s="53">
        <f t="shared" si="43"/>
        <v>1</v>
      </c>
      <c r="D274" s="960"/>
      <c r="E274" s="53">
        <f t="shared" si="44"/>
        <v>0.1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9">
        <f t="shared" si="51"/>
        <v>0</v>
      </c>
      <c r="S274" s="798">
        <f t="shared" si="52"/>
        <v>0</v>
      </c>
    </row>
    <row r="275" spans="1:19">
      <c r="A275" s="962"/>
      <c r="B275" s="137"/>
      <c r="C275" s="53">
        <f t="shared" si="43"/>
        <v>1</v>
      </c>
      <c r="D275" s="960"/>
      <c r="E275" s="53">
        <f t="shared" si="44"/>
        <v>0.1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9">
        <f t="shared" si="51"/>
        <v>0</v>
      </c>
      <c r="S275" s="798">
        <f t="shared" si="52"/>
        <v>0</v>
      </c>
    </row>
    <row r="276" spans="1:19">
      <c r="A276" s="962"/>
      <c r="B276" s="137"/>
      <c r="C276" s="53">
        <f t="shared" si="43"/>
        <v>1</v>
      </c>
      <c r="D276" s="960"/>
      <c r="E276" s="53">
        <f t="shared" si="44"/>
        <v>0.1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9">
        <f t="shared" si="51"/>
        <v>0</v>
      </c>
      <c r="S276" s="798">
        <f t="shared" si="52"/>
        <v>0</v>
      </c>
    </row>
    <row r="277" spans="1:19">
      <c r="A277" s="962"/>
      <c r="B277" s="137"/>
      <c r="C277" s="53">
        <f t="shared" si="43"/>
        <v>1</v>
      </c>
      <c r="D277" s="960"/>
      <c r="E277" s="53">
        <f t="shared" si="44"/>
        <v>0.1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9">
        <f t="shared" si="51"/>
        <v>0</v>
      </c>
      <c r="S277" s="798">
        <f t="shared" si="52"/>
        <v>0</v>
      </c>
    </row>
    <row r="278" spans="1:19">
      <c r="A278" s="962"/>
      <c r="B278" s="137"/>
      <c r="C278" s="53">
        <f t="shared" si="43"/>
        <v>1</v>
      </c>
      <c r="D278" s="960"/>
      <c r="E278" s="53">
        <f t="shared" si="44"/>
        <v>0.1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9">
        <f t="shared" si="51"/>
        <v>0</v>
      </c>
      <c r="S278" s="798">
        <f t="shared" si="52"/>
        <v>0</v>
      </c>
    </row>
    <row r="279" spans="1:19">
      <c r="A279" s="962"/>
      <c r="B279" s="137"/>
      <c r="C279" s="53">
        <f t="shared" si="43"/>
        <v>1</v>
      </c>
      <c r="D279" s="960"/>
      <c r="E279" s="53">
        <f t="shared" si="44"/>
        <v>0.1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9">
        <f t="shared" si="51"/>
        <v>0</v>
      </c>
      <c r="S279" s="798">
        <f t="shared" si="52"/>
        <v>0</v>
      </c>
    </row>
    <row r="280" spans="1:19">
      <c r="A280" s="962"/>
      <c r="B280" s="137"/>
      <c r="C280" s="53">
        <f t="shared" si="43"/>
        <v>1</v>
      </c>
      <c r="D280" s="960"/>
      <c r="E280" s="53">
        <f t="shared" si="44"/>
        <v>0.1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9">
        <f t="shared" si="51"/>
        <v>0</v>
      </c>
      <c r="S280" s="798">
        <f t="shared" si="52"/>
        <v>0</v>
      </c>
    </row>
    <row r="281" spans="1:19">
      <c r="A281" s="962"/>
      <c r="B281" s="137"/>
      <c r="C281" s="53">
        <f t="shared" si="43"/>
        <v>1</v>
      </c>
      <c r="D281" s="960"/>
      <c r="E281" s="53">
        <f t="shared" si="44"/>
        <v>0.1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9">
        <f t="shared" si="51"/>
        <v>0</v>
      </c>
      <c r="S281" s="798">
        <f t="shared" si="52"/>
        <v>0</v>
      </c>
    </row>
    <row r="282" spans="1:19">
      <c r="A282" s="962"/>
      <c r="B282" s="137"/>
      <c r="C282" s="53">
        <f t="shared" ref="C282:C345" si="53">IF(B282="",1,(LOOKUP(B282,$3:$3,$4:$4)-LOOKUP($B$24,$3:$3,$4:$4)+100)/100)</f>
        <v>1</v>
      </c>
      <c r="D282" s="960"/>
      <c r="E282" s="53">
        <f t="shared" ref="E282:E345" si="54">(SUMIF($5:$5,D282,$6:$6)-SUMIF($5:$5,$D$24,$6:$6)+100)/100</f>
        <v>0.1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9">
        <f t="shared" ref="R282:R345" si="61">IF(B282="",0,ROUND($R$24*C282*E282*G282*I282*K282*M282*O282*Q282,0))</f>
        <v>0</v>
      </c>
      <c r="S282" s="798">
        <f t="shared" si="52"/>
        <v>0</v>
      </c>
    </row>
    <row r="283" spans="1:19">
      <c r="A283" s="962"/>
      <c r="B283" s="137"/>
      <c r="C283" s="53">
        <f t="shared" si="53"/>
        <v>1</v>
      </c>
      <c r="D283" s="960"/>
      <c r="E283" s="53">
        <f t="shared" si="54"/>
        <v>0.1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9">
        <f t="shared" si="61"/>
        <v>0</v>
      </c>
      <c r="S283" s="798">
        <f t="shared" si="52"/>
        <v>0</v>
      </c>
    </row>
    <row r="284" spans="1:19">
      <c r="A284" s="962"/>
      <c r="B284" s="137"/>
      <c r="C284" s="53">
        <f t="shared" si="53"/>
        <v>1</v>
      </c>
      <c r="D284" s="960"/>
      <c r="E284" s="53">
        <f t="shared" si="54"/>
        <v>0.1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9">
        <f t="shared" si="61"/>
        <v>0</v>
      </c>
      <c r="S284" s="798">
        <f t="shared" si="52"/>
        <v>0</v>
      </c>
    </row>
    <row r="285" spans="1:19">
      <c r="A285" s="962"/>
      <c r="B285" s="137"/>
      <c r="C285" s="53">
        <f t="shared" si="53"/>
        <v>1</v>
      </c>
      <c r="D285" s="960"/>
      <c r="E285" s="53">
        <f t="shared" si="54"/>
        <v>0.1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9">
        <f t="shared" si="61"/>
        <v>0</v>
      </c>
      <c r="S285" s="798">
        <f t="shared" si="52"/>
        <v>0</v>
      </c>
    </row>
    <row r="286" spans="1:19">
      <c r="A286" s="962"/>
      <c r="B286" s="137"/>
      <c r="C286" s="53">
        <f t="shared" si="53"/>
        <v>1</v>
      </c>
      <c r="D286" s="960"/>
      <c r="E286" s="53">
        <f t="shared" si="54"/>
        <v>0.1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9">
        <f t="shared" si="61"/>
        <v>0</v>
      </c>
      <c r="S286" s="798">
        <f t="shared" si="52"/>
        <v>0</v>
      </c>
    </row>
    <row r="287" spans="1:19">
      <c r="A287" s="962"/>
      <c r="B287" s="137"/>
      <c r="C287" s="53">
        <f t="shared" si="53"/>
        <v>1</v>
      </c>
      <c r="D287" s="960"/>
      <c r="E287" s="53">
        <f t="shared" si="54"/>
        <v>0.1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9">
        <f t="shared" si="61"/>
        <v>0</v>
      </c>
      <c r="S287" s="798">
        <f t="shared" ref="S287:S320" si="62">ROUND(R287*B287/10000,0)</f>
        <v>0</v>
      </c>
    </row>
    <row r="288" spans="1:19">
      <c r="A288" s="962"/>
      <c r="B288" s="137"/>
      <c r="C288" s="53">
        <f t="shared" si="53"/>
        <v>1</v>
      </c>
      <c r="D288" s="960"/>
      <c r="E288" s="53">
        <f t="shared" si="54"/>
        <v>0.1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9">
        <f t="shared" si="61"/>
        <v>0</v>
      </c>
      <c r="S288" s="798">
        <f t="shared" si="62"/>
        <v>0</v>
      </c>
    </row>
    <row r="289" spans="1:19">
      <c r="A289" s="962"/>
      <c r="B289" s="137"/>
      <c r="C289" s="53">
        <f t="shared" si="53"/>
        <v>1</v>
      </c>
      <c r="D289" s="960"/>
      <c r="E289" s="53">
        <f t="shared" si="54"/>
        <v>0.1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9">
        <f t="shared" si="61"/>
        <v>0</v>
      </c>
      <c r="S289" s="798">
        <f t="shared" si="62"/>
        <v>0</v>
      </c>
    </row>
    <row r="290" spans="1:19">
      <c r="A290" s="962"/>
      <c r="B290" s="137"/>
      <c r="C290" s="53">
        <f t="shared" si="53"/>
        <v>1</v>
      </c>
      <c r="D290" s="960"/>
      <c r="E290" s="53">
        <f t="shared" si="54"/>
        <v>0.1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9">
        <f t="shared" si="61"/>
        <v>0</v>
      </c>
      <c r="S290" s="798">
        <f t="shared" si="62"/>
        <v>0</v>
      </c>
    </row>
    <row r="291" spans="1:19">
      <c r="A291" s="962"/>
      <c r="B291" s="137"/>
      <c r="C291" s="53">
        <f t="shared" si="53"/>
        <v>1</v>
      </c>
      <c r="D291" s="960"/>
      <c r="E291" s="53">
        <f t="shared" si="54"/>
        <v>0.1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9">
        <f t="shared" si="61"/>
        <v>0</v>
      </c>
      <c r="S291" s="798">
        <f t="shared" si="62"/>
        <v>0</v>
      </c>
    </row>
    <row r="292" spans="1:19">
      <c r="A292" s="962"/>
      <c r="B292" s="137"/>
      <c r="C292" s="53">
        <f t="shared" si="53"/>
        <v>1</v>
      </c>
      <c r="D292" s="960"/>
      <c r="E292" s="53">
        <f t="shared" si="54"/>
        <v>0.1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9">
        <f t="shared" si="61"/>
        <v>0</v>
      </c>
      <c r="S292" s="798">
        <f t="shared" si="62"/>
        <v>0</v>
      </c>
    </row>
    <row r="293" spans="1:19">
      <c r="A293" s="962"/>
      <c r="B293" s="137"/>
      <c r="C293" s="53">
        <f t="shared" si="53"/>
        <v>1</v>
      </c>
      <c r="D293" s="960"/>
      <c r="E293" s="53">
        <f t="shared" si="54"/>
        <v>0.1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9">
        <f t="shared" si="61"/>
        <v>0</v>
      </c>
      <c r="S293" s="798">
        <f t="shared" si="62"/>
        <v>0</v>
      </c>
    </row>
    <row r="294" spans="1:19">
      <c r="A294" s="962"/>
      <c r="B294" s="137"/>
      <c r="C294" s="53">
        <f t="shared" si="53"/>
        <v>1</v>
      </c>
      <c r="D294" s="960"/>
      <c r="E294" s="53">
        <f t="shared" si="54"/>
        <v>0.1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9">
        <f t="shared" si="61"/>
        <v>0</v>
      </c>
      <c r="S294" s="798">
        <f t="shared" si="62"/>
        <v>0</v>
      </c>
    </row>
    <row r="295" spans="1:19">
      <c r="A295" s="962"/>
      <c r="B295" s="137"/>
      <c r="C295" s="53">
        <f t="shared" si="53"/>
        <v>1</v>
      </c>
      <c r="D295" s="960"/>
      <c r="E295" s="53">
        <f t="shared" si="54"/>
        <v>0.1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9">
        <f t="shared" si="61"/>
        <v>0</v>
      </c>
      <c r="S295" s="798">
        <f t="shared" si="62"/>
        <v>0</v>
      </c>
    </row>
    <row r="296" spans="1:19">
      <c r="A296" s="962"/>
      <c r="B296" s="137"/>
      <c r="C296" s="53">
        <f t="shared" si="53"/>
        <v>1</v>
      </c>
      <c r="D296" s="960"/>
      <c r="E296" s="53">
        <f t="shared" si="54"/>
        <v>0.1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9">
        <f t="shared" si="61"/>
        <v>0</v>
      </c>
      <c r="S296" s="798">
        <f t="shared" si="62"/>
        <v>0</v>
      </c>
    </row>
    <row r="297" spans="1:19">
      <c r="A297" s="962"/>
      <c r="B297" s="137"/>
      <c r="C297" s="53">
        <f t="shared" si="53"/>
        <v>1</v>
      </c>
      <c r="D297" s="960"/>
      <c r="E297" s="53">
        <f t="shared" si="54"/>
        <v>0.1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9">
        <f t="shared" si="61"/>
        <v>0</v>
      </c>
      <c r="S297" s="798">
        <f t="shared" si="62"/>
        <v>0</v>
      </c>
    </row>
    <row r="298" spans="1:19">
      <c r="A298" s="962"/>
      <c r="B298" s="137"/>
      <c r="C298" s="53">
        <f t="shared" si="53"/>
        <v>1</v>
      </c>
      <c r="D298" s="960"/>
      <c r="E298" s="53">
        <f t="shared" si="54"/>
        <v>0.1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9">
        <f t="shared" si="61"/>
        <v>0</v>
      </c>
      <c r="S298" s="798">
        <f t="shared" si="62"/>
        <v>0</v>
      </c>
    </row>
    <row r="299" spans="1:19">
      <c r="A299" s="962"/>
      <c r="B299" s="137"/>
      <c r="C299" s="53">
        <f t="shared" si="53"/>
        <v>1</v>
      </c>
      <c r="D299" s="960"/>
      <c r="E299" s="53">
        <f t="shared" si="54"/>
        <v>0.1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9">
        <f t="shared" si="61"/>
        <v>0</v>
      </c>
      <c r="S299" s="798">
        <f t="shared" si="62"/>
        <v>0</v>
      </c>
    </row>
    <row r="300" spans="1:19">
      <c r="A300" s="962"/>
      <c r="B300" s="137"/>
      <c r="C300" s="53">
        <f t="shared" si="53"/>
        <v>1</v>
      </c>
      <c r="D300" s="960"/>
      <c r="E300" s="53">
        <f t="shared" si="54"/>
        <v>0.1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9">
        <f t="shared" si="61"/>
        <v>0</v>
      </c>
      <c r="S300" s="798">
        <f t="shared" si="62"/>
        <v>0</v>
      </c>
    </row>
    <row r="301" spans="1:19">
      <c r="A301" s="962"/>
      <c r="B301" s="137"/>
      <c r="C301" s="53">
        <f t="shared" si="53"/>
        <v>1</v>
      </c>
      <c r="D301" s="960"/>
      <c r="E301" s="53">
        <f t="shared" si="54"/>
        <v>0.1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9">
        <f t="shared" si="61"/>
        <v>0</v>
      </c>
      <c r="S301" s="798">
        <f t="shared" si="62"/>
        <v>0</v>
      </c>
    </row>
    <row r="302" spans="1:19">
      <c r="A302" s="962"/>
      <c r="B302" s="137"/>
      <c r="C302" s="53">
        <f t="shared" si="53"/>
        <v>1</v>
      </c>
      <c r="D302" s="960"/>
      <c r="E302" s="53">
        <f t="shared" si="54"/>
        <v>0.1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9">
        <f t="shared" si="61"/>
        <v>0</v>
      </c>
      <c r="S302" s="798">
        <f t="shared" si="62"/>
        <v>0</v>
      </c>
    </row>
    <row r="303" spans="1:19">
      <c r="A303" s="962"/>
      <c r="B303" s="137"/>
      <c r="C303" s="53">
        <f t="shared" si="53"/>
        <v>1</v>
      </c>
      <c r="D303" s="960"/>
      <c r="E303" s="53">
        <f t="shared" si="54"/>
        <v>0.1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9">
        <f t="shared" si="61"/>
        <v>0</v>
      </c>
      <c r="S303" s="798">
        <f t="shared" si="62"/>
        <v>0</v>
      </c>
    </row>
    <row r="304" spans="1:19">
      <c r="A304" s="962"/>
      <c r="B304" s="137"/>
      <c r="C304" s="53">
        <f t="shared" si="53"/>
        <v>1</v>
      </c>
      <c r="D304" s="960"/>
      <c r="E304" s="53">
        <f t="shared" si="54"/>
        <v>0.1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9">
        <f t="shared" si="61"/>
        <v>0</v>
      </c>
      <c r="S304" s="798">
        <f t="shared" si="62"/>
        <v>0</v>
      </c>
    </row>
    <row r="305" spans="1:19">
      <c r="A305" s="962"/>
      <c r="B305" s="137"/>
      <c r="C305" s="53">
        <f t="shared" si="53"/>
        <v>1</v>
      </c>
      <c r="D305" s="960"/>
      <c r="E305" s="53">
        <f t="shared" si="54"/>
        <v>0.1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9">
        <f t="shared" si="61"/>
        <v>0</v>
      </c>
      <c r="S305" s="798">
        <f t="shared" si="62"/>
        <v>0</v>
      </c>
    </row>
    <row r="306" spans="1:19">
      <c r="A306" s="962"/>
      <c r="B306" s="137"/>
      <c r="C306" s="53">
        <f t="shared" si="53"/>
        <v>1</v>
      </c>
      <c r="D306" s="960"/>
      <c r="E306" s="53">
        <f t="shared" si="54"/>
        <v>0.1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9">
        <f t="shared" si="61"/>
        <v>0</v>
      </c>
      <c r="S306" s="798">
        <f t="shared" si="62"/>
        <v>0</v>
      </c>
    </row>
    <row r="307" spans="1:19">
      <c r="A307" s="962"/>
      <c r="B307" s="137"/>
      <c r="C307" s="53">
        <f t="shared" si="53"/>
        <v>1</v>
      </c>
      <c r="D307" s="960"/>
      <c r="E307" s="53">
        <f t="shared" si="54"/>
        <v>0.1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9">
        <f t="shared" si="61"/>
        <v>0</v>
      </c>
      <c r="S307" s="798">
        <f t="shared" si="62"/>
        <v>0</v>
      </c>
    </row>
    <row r="308" spans="1:19">
      <c r="A308" s="962"/>
      <c r="B308" s="137"/>
      <c r="C308" s="53">
        <f t="shared" si="53"/>
        <v>1</v>
      </c>
      <c r="D308" s="960"/>
      <c r="E308" s="53">
        <f t="shared" si="54"/>
        <v>0.1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9">
        <f t="shared" si="61"/>
        <v>0</v>
      </c>
      <c r="S308" s="798">
        <f t="shared" si="62"/>
        <v>0</v>
      </c>
    </row>
    <row r="309" spans="1:19">
      <c r="A309" s="962"/>
      <c r="B309" s="137"/>
      <c r="C309" s="53">
        <f t="shared" si="53"/>
        <v>1</v>
      </c>
      <c r="D309" s="960"/>
      <c r="E309" s="53">
        <f t="shared" si="54"/>
        <v>0.1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9">
        <f t="shared" si="61"/>
        <v>0</v>
      </c>
      <c r="S309" s="798">
        <f t="shared" si="62"/>
        <v>0</v>
      </c>
    </row>
    <row r="310" spans="1:19">
      <c r="A310" s="962"/>
      <c r="B310" s="137"/>
      <c r="C310" s="53">
        <f t="shared" si="53"/>
        <v>1</v>
      </c>
      <c r="D310" s="960"/>
      <c r="E310" s="53">
        <f t="shared" si="54"/>
        <v>0.1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9">
        <f t="shared" si="61"/>
        <v>0</v>
      </c>
      <c r="S310" s="798">
        <f t="shared" si="62"/>
        <v>0</v>
      </c>
    </row>
    <row r="311" spans="1:19">
      <c r="A311" s="962"/>
      <c r="B311" s="137"/>
      <c r="C311" s="53">
        <f t="shared" si="53"/>
        <v>1</v>
      </c>
      <c r="D311" s="960"/>
      <c r="E311" s="53">
        <f t="shared" si="54"/>
        <v>0.1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9">
        <f t="shared" si="61"/>
        <v>0</v>
      </c>
      <c r="S311" s="798">
        <f t="shared" si="62"/>
        <v>0</v>
      </c>
    </row>
    <row r="312" spans="1:19">
      <c r="A312" s="962"/>
      <c r="B312" s="137"/>
      <c r="C312" s="53">
        <f t="shared" si="53"/>
        <v>1</v>
      </c>
      <c r="D312" s="960"/>
      <c r="E312" s="53">
        <f t="shared" si="54"/>
        <v>0.1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9">
        <f t="shared" si="61"/>
        <v>0</v>
      </c>
      <c r="S312" s="798">
        <f t="shared" si="62"/>
        <v>0</v>
      </c>
    </row>
    <row r="313" spans="1:19">
      <c r="A313" s="962"/>
      <c r="B313" s="137"/>
      <c r="C313" s="53">
        <f t="shared" si="53"/>
        <v>1</v>
      </c>
      <c r="D313" s="960"/>
      <c r="E313" s="53">
        <f t="shared" si="54"/>
        <v>0.1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9">
        <f t="shared" si="61"/>
        <v>0</v>
      </c>
      <c r="S313" s="798">
        <f t="shared" si="62"/>
        <v>0</v>
      </c>
    </row>
    <row r="314" spans="1:19">
      <c r="A314" s="962"/>
      <c r="B314" s="137"/>
      <c r="C314" s="53">
        <f t="shared" si="53"/>
        <v>1</v>
      </c>
      <c r="D314" s="960"/>
      <c r="E314" s="53">
        <f t="shared" si="54"/>
        <v>0.1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9">
        <f t="shared" si="61"/>
        <v>0</v>
      </c>
      <c r="S314" s="798">
        <f t="shared" si="62"/>
        <v>0</v>
      </c>
    </row>
    <row r="315" spans="1:19">
      <c r="A315" s="962"/>
      <c r="B315" s="137"/>
      <c r="C315" s="53">
        <f t="shared" si="53"/>
        <v>1</v>
      </c>
      <c r="D315" s="960"/>
      <c r="E315" s="53">
        <f t="shared" si="54"/>
        <v>0.1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9">
        <f t="shared" si="61"/>
        <v>0</v>
      </c>
      <c r="S315" s="798">
        <f t="shared" si="62"/>
        <v>0</v>
      </c>
    </row>
    <row r="316" spans="1:19">
      <c r="A316" s="962"/>
      <c r="B316" s="137"/>
      <c r="C316" s="53">
        <f t="shared" si="53"/>
        <v>1</v>
      </c>
      <c r="D316" s="960"/>
      <c r="E316" s="53">
        <f t="shared" si="54"/>
        <v>0.1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9">
        <f t="shared" si="61"/>
        <v>0</v>
      </c>
      <c r="S316" s="798">
        <f t="shared" si="62"/>
        <v>0</v>
      </c>
    </row>
    <row r="317" spans="1:19">
      <c r="A317" s="962"/>
      <c r="B317" s="137"/>
      <c r="C317" s="53">
        <f t="shared" si="53"/>
        <v>1</v>
      </c>
      <c r="D317" s="960"/>
      <c r="E317" s="53">
        <f t="shared" si="54"/>
        <v>0.1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9">
        <f t="shared" si="61"/>
        <v>0</v>
      </c>
      <c r="S317" s="798">
        <f t="shared" si="62"/>
        <v>0</v>
      </c>
    </row>
    <row r="318" spans="1:19">
      <c r="A318" s="962"/>
      <c r="B318" s="137"/>
      <c r="C318" s="53">
        <f t="shared" si="53"/>
        <v>1</v>
      </c>
      <c r="D318" s="960"/>
      <c r="E318" s="53">
        <f t="shared" si="54"/>
        <v>0.1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9">
        <f t="shared" si="61"/>
        <v>0</v>
      </c>
      <c r="S318" s="798">
        <f t="shared" si="62"/>
        <v>0</v>
      </c>
    </row>
    <row r="319" spans="1:19">
      <c r="A319" s="962"/>
      <c r="B319" s="137"/>
      <c r="C319" s="53">
        <f t="shared" si="53"/>
        <v>1</v>
      </c>
      <c r="D319" s="960"/>
      <c r="E319" s="53">
        <f t="shared" si="54"/>
        <v>0.1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9">
        <f t="shared" si="61"/>
        <v>0</v>
      </c>
      <c r="S319" s="798">
        <f t="shared" si="62"/>
        <v>0</v>
      </c>
    </row>
    <row r="320" spans="1:19">
      <c r="A320" s="962"/>
      <c r="B320" s="137"/>
      <c r="C320" s="53">
        <f t="shared" si="53"/>
        <v>1</v>
      </c>
      <c r="D320" s="960"/>
      <c r="E320" s="53">
        <f t="shared" si="54"/>
        <v>0.1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9">
        <f t="shared" si="61"/>
        <v>0</v>
      </c>
      <c r="S320" s="798">
        <f t="shared" si="62"/>
        <v>0</v>
      </c>
    </row>
    <row r="321" spans="1:19">
      <c r="A321" s="962"/>
      <c r="B321" s="137"/>
      <c r="C321" s="53">
        <f t="shared" si="53"/>
        <v>1</v>
      </c>
      <c r="D321" s="960"/>
      <c r="E321" s="53">
        <f t="shared" si="54"/>
        <v>0.1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9">
        <f t="shared" si="61"/>
        <v>0</v>
      </c>
      <c r="S321" s="798">
        <f t="shared" ref="S321:S384" si="63">ROUND(R321*B321/10000,0)</f>
        <v>0</v>
      </c>
    </row>
    <row r="322" spans="1:19">
      <c r="A322" s="962"/>
      <c r="B322" s="137"/>
      <c r="C322" s="53">
        <f t="shared" si="53"/>
        <v>1</v>
      </c>
      <c r="D322" s="960"/>
      <c r="E322" s="53">
        <f t="shared" si="54"/>
        <v>0.1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9">
        <f t="shared" si="61"/>
        <v>0</v>
      </c>
      <c r="S322" s="798">
        <f t="shared" si="63"/>
        <v>0</v>
      </c>
    </row>
    <row r="323" spans="1:19">
      <c r="A323" s="962"/>
      <c r="B323" s="137"/>
      <c r="C323" s="53">
        <f t="shared" si="53"/>
        <v>1</v>
      </c>
      <c r="D323" s="960"/>
      <c r="E323" s="53">
        <f t="shared" si="54"/>
        <v>0.1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9">
        <f t="shared" si="61"/>
        <v>0</v>
      </c>
      <c r="S323" s="798">
        <f t="shared" si="63"/>
        <v>0</v>
      </c>
    </row>
    <row r="324" spans="1:19">
      <c r="A324" s="962"/>
      <c r="B324" s="137"/>
      <c r="C324" s="53">
        <f t="shared" si="53"/>
        <v>1</v>
      </c>
      <c r="D324" s="960"/>
      <c r="E324" s="53">
        <f t="shared" si="54"/>
        <v>0.1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9">
        <f t="shared" si="61"/>
        <v>0</v>
      </c>
      <c r="S324" s="798">
        <f t="shared" si="63"/>
        <v>0</v>
      </c>
    </row>
    <row r="325" spans="1:19">
      <c r="A325" s="962"/>
      <c r="B325" s="137"/>
      <c r="C325" s="53">
        <f t="shared" si="53"/>
        <v>1</v>
      </c>
      <c r="D325" s="960"/>
      <c r="E325" s="53">
        <f t="shared" si="54"/>
        <v>0.1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9">
        <f t="shared" si="61"/>
        <v>0</v>
      </c>
      <c r="S325" s="798">
        <f t="shared" si="63"/>
        <v>0</v>
      </c>
    </row>
    <row r="326" spans="1:19">
      <c r="A326" s="962"/>
      <c r="B326" s="137"/>
      <c r="C326" s="53">
        <f t="shared" si="53"/>
        <v>1</v>
      </c>
      <c r="D326" s="960"/>
      <c r="E326" s="53">
        <f t="shared" si="54"/>
        <v>0.1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9">
        <f t="shared" si="61"/>
        <v>0</v>
      </c>
      <c r="S326" s="798">
        <f t="shared" si="63"/>
        <v>0</v>
      </c>
    </row>
    <row r="327" spans="1:19">
      <c r="A327" s="962"/>
      <c r="B327" s="137"/>
      <c r="C327" s="53">
        <f t="shared" si="53"/>
        <v>1</v>
      </c>
      <c r="D327" s="960"/>
      <c r="E327" s="53">
        <f t="shared" si="54"/>
        <v>0.1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9">
        <f t="shared" si="61"/>
        <v>0</v>
      </c>
      <c r="S327" s="798">
        <f t="shared" si="63"/>
        <v>0</v>
      </c>
    </row>
    <row r="328" spans="1:19">
      <c r="A328" s="962"/>
      <c r="B328" s="137"/>
      <c r="C328" s="53">
        <f t="shared" si="53"/>
        <v>1</v>
      </c>
      <c r="D328" s="960"/>
      <c r="E328" s="53">
        <f t="shared" si="54"/>
        <v>0.1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9">
        <f t="shared" si="61"/>
        <v>0</v>
      </c>
      <c r="S328" s="798">
        <f t="shared" si="63"/>
        <v>0</v>
      </c>
    </row>
    <row r="329" spans="1:19">
      <c r="A329" s="962"/>
      <c r="B329" s="137"/>
      <c r="C329" s="53">
        <f t="shared" si="53"/>
        <v>1</v>
      </c>
      <c r="D329" s="960"/>
      <c r="E329" s="53">
        <f t="shared" si="54"/>
        <v>0.1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9">
        <f t="shared" si="61"/>
        <v>0</v>
      </c>
      <c r="S329" s="798">
        <f t="shared" si="63"/>
        <v>0</v>
      </c>
    </row>
    <row r="330" spans="1:19">
      <c r="A330" s="962"/>
      <c r="B330" s="137"/>
      <c r="C330" s="53">
        <f t="shared" si="53"/>
        <v>1</v>
      </c>
      <c r="D330" s="960"/>
      <c r="E330" s="53">
        <f t="shared" si="54"/>
        <v>0.1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9">
        <f t="shared" si="61"/>
        <v>0</v>
      </c>
      <c r="S330" s="798">
        <f t="shared" si="63"/>
        <v>0</v>
      </c>
    </row>
    <row r="331" spans="1:19">
      <c r="A331" s="962"/>
      <c r="B331" s="137"/>
      <c r="C331" s="53">
        <f t="shared" si="53"/>
        <v>1</v>
      </c>
      <c r="D331" s="960"/>
      <c r="E331" s="53">
        <f t="shared" si="54"/>
        <v>0.1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9">
        <f t="shared" si="61"/>
        <v>0</v>
      </c>
      <c r="S331" s="798">
        <f t="shared" si="63"/>
        <v>0</v>
      </c>
    </row>
    <row r="332" spans="1:19">
      <c r="A332" s="962"/>
      <c r="B332" s="137"/>
      <c r="C332" s="53">
        <f t="shared" si="53"/>
        <v>1</v>
      </c>
      <c r="D332" s="960"/>
      <c r="E332" s="53">
        <f t="shared" si="54"/>
        <v>0.1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9">
        <f t="shared" si="61"/>
        <v>0</v>
      </c>
      <c r="S332" s="798">
        <f t="shared" si="63"/>
        <v>0</v>
      </c>
    </row>
    <row r="333" spans="1:19">
      <c r="A333" s="962"/>
      <c r="B333" s="137"/>
      <c r="C333" s="53">
        <f t="shared" si="53"/>
        <v>1</v>
      </c>
      <c r="D333" s="960"/>
      <c r="E333" s="53">
        <f t="shared" si="54"/>
        <v>0.1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9">
        <f t="shared" si="61"/>
        <v>0</v>
      </c>
      <c r="S333" s="798">
        <f t="shared" si="63"/>
        <v>0</v>
      </c>
    </row>
    <row r="334" spans="1:19">
      <c r="A334" s="962"/>
      <c r="B334" s="137"/>
      <c r="C334" s="53">
        <f t="shared" si="53"/>
        <v>1</v>
      </c>
      <c r="D334" s="960"/>
      <c r="E334" s="53">
        <f t="shared" si="54"/>
        <v>0.1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9">
        <f t="shared" si="61"/>
        <v>0</v>
      </c>
      <c r="S334" s="798">
        <f t="shared" si="63"/>
        <v>0</v>
      </c>
    </row>
    <row r="335" spans="1:19">
      <c r="A335" s="962"/>
      <c r="B335" s="137"/>
      <c r="C335" s="53">
        <f t="shared" si="53"/>
        <v>1</v>
      </c>
      <c r="D335" s="960"/>
      <c r="E335" s="53">
        <f t="shared" si="54"/>
        <v>0.1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9">
        <f t="shared" si="61"/>
        <v>0</v>
      </c>
      <c r="S335" s="798">
        <f t="shared" si="63"/>
        <v>0</v>
      </c>
    </row>
    <row r="336" spans="1:19">
      <c r="A336" s="962"/>
      <c r="B336" s="137"/>
      <c r="C336" s="53">
        <f t="shared" si="53"/>
        <v>1</v>
      </c>
      <c r="D336" s="960"/>
      <c r="E336" s="53">
        <f t="shared" si="54"/>
        <v>0.1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9">
        <f t="shared" si="61"/>
        <v>0</v>
      </c>
      <c r="S336" s="798">
        <f t="shared" si="63"/>
        <v>0</v>
      </c>
    </row>
    <row r="337" spans="1:19">
      <c r="A337" s="962"/>
      <c r="B337" s="137"/>
      <c r="C337" s="53">
        <f t="shared" si="53"/>
        <v>1</v>
      </c>
      <c r="D337" s="960"/>
      <c r="E337" s="53">
        <f t="shared" si="54"/>
        <v>0.1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9">
        <f t="shared" si="61"/>
        <v>0</v>
      </c>
      <c r="S337" s="798">
        <f t="shared" si="63"/>
        <v>0</v>
      </c>
    </row>
    <row r="338" spans="1:19">
      <c r="A338" s="962"/>
      <c r="B338" s="137"/>
      <c r="C338" s="53">
        <f t="shared" si="53"/>
        <v>1</v>
      </c>
      <c r="D338" s="960"/>
      <c r="E338" s="53">
        <f t="shared" si="54"/>
        <v>0.1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9">
        <f t="shared" si="61"/>
        <v>0</v>
      </c>
      <c r="S338" s="798">
        <f t="shared" si="63"/>
        <v>0</v>
      </c>
    </row>
    <row r="339" spans="1:19">
      <c r="A339" s="962"/>
      <c r="B339" s="137"/>
      <c r="C339" s="53">
        <f t="shared" si="53"/>
        <v>1</v>
      </c>
      <c r="D339" s="960"/>
      <c r="E339" s="53">
        <f t="shared" si="54"/>
        <v>0.1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9">
        <f t="shared" si="61"/>
        <v>0</v>
      </c>
      <c r="S339" s="798">
        <f t="shared" si="63"/>
        <v>0</v>
      </c>
    </row>
    <row r="340" spans="1:19">
      <c r="A340" s="962"/>
      <c r="B340" s="137"/>
      <c r="C340" s="53">
        <f t="shared" si="53"/>
        <v>1</v>
      </c>
      <c r="D340" s="960"/>
      <c r="E340" s="53">
        <f t="shared" si="54"/>
        <v>0.1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9">
        <f t="shared" si="61"/>
        <v>0</v>
      </c>
      <c r="S340" s="798">
        <f t="shared" si="63"/>
        <v>0</v>
      </c>
    </row>
    <row r="341" spans="1:19">
      <c r="A341" s="962"/>
      <c r="B341" s="137"/>
      <c r="C341" s="53">
        <f t="shared" si="53"/>
        <v>1</v>
      </c>
      <c r="D341" s="960"/>
      <c r="E341" s="53">
        <f t="shared" si="54"/>
        <v>0.1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9">
        <f t="shared" si="61"/>
        <v>0</v>
      </c>
      <c r="S341" s="798">
        <f t="shared" si="63"/>
        <v>0</v>
      </c>
    </row>
    <row r="342" spans="1:19">
      <c r="A342" s="962"/>
      <c r="B342" s="137"/>
      <c r="C342" s="53">
        <f t="shared" si="53"/>
        <v>1</v>
      </c>
      <c r="D342" s="960"/>
      <c r="E342" s="53">
        <f t="shared" si="54"/>
        <v>0.1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9">
        <f t="shared" si="61"/>
        <v>0</v>
      </c>
      <c r="S342" s="798">
        <f t="shared" si="63"/>
        <v>0</v>
      </c>
    </row>
    <row r="343" spans="1:19">
      <c r="A343" s="962"/>
      <c r="B343" s="137"/>
      <c r="C343" s="53">
        <f t="shared" si="53"/>
        <v>1</v>
      </c>
      <c r="D343" s="960"/>
      <c r="E343" s="53">
        <f t="shared" si="54"/>
        <v>0.1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9">
        <f t="shared" si="61"/>
        <v>0</v>
      </c>
      <c r="S343" s="798">
        <f t="shared" si="63"/>
        <v>0</v>
      </c>
    </row>
    <row r="344" spans="1:19">
      <c r="A344" s="962"/>
      <c r="B344" s="137"/>
      <c r="C344" s="53">
        <f t="shared" si="53"/>
        <v>1</v>
      </c>
      <c r="D344" s="960"/>
      <c r="E344" s="53">
        <f t="shared" si="54"/>
        <v>0.1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9">
        <f t="shared" si="61"/>
        <v>0</v>
      </c>
      <c r="S344" s="798">
        <f t="shared" si="63"/>
        <v>0</v>
      </c>
    </row>
    <row r="345" spans="1:19">
      <c r="A345" s="962"/>
      <c r="B345" s="137"/>
      <c r="C345" s="53">
        <f t="shared" si="53"/>
        <v>1</v>
      </c>
      <c r="D345" s="960"/>
      <c r="E345" s="53">
        <f t="shared" si="54"/>
        <v>0.1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9">
        <f t="shared" si="61"/>
        <v>0</v>
      </c>
      <c r="S345" s="798">
        <f t="shared" si="63"/>
        <v>0</v>
      </c>
    </row>
    <row r="346" spans="1:19">
      <c r="A346" s="962"/>
      <c r="B346" s="137"/>
      <c r="C346" s="53">
        <f t="shared" ref="C346:C409" si="64">IF(B346="",1,(LOOKUP(B346,$3:$3,$4:$4)-LOOKUP($B$24,$3:$3,$4:$4)+100)/100)</f>
        <v>1</v>
      </c>
      <c r="D346" s="960"/>
      <c r="E346" s="53">
        <f t="shared" ref="E346:E409" si="65">(SUMIF($5:$5,D346,$6:$6)-SUMIF($5:$5,$D$24,$6:$6)+100)/100</f>
        <v>0.1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9">
        <f t="shared" ref="R346:R409" si="72">IF(B346="",0,ROUND($R$24*C346*E346*G346*I346*K346*M346*O346*Q346,0))</f>
        <v>0</v>
      </c>
      <c r="S346" s="798">
        <f t="shared" si="63"/>
        <v>0</v>
      </c>
    </row>
    <row r="347" spans="1:19">
      <c r="A347" s="962"/>
      <c r="B347" s="137"/>
      <c r="C347" s="53">
        <f t="shared" si="64"/>
        <v>1</v>
      </c>
      <c r="D347" s="960"/>
      <c r="E347" s="53">
        <f t="shared" si="65"/>
        <v>0.1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9">
        <f t="shared" si="72"/>
        <v>0</v>
      </c>
      <c r="S347" s="798">
        <f t="shared" si="63"/>
        <v>0</v>
      </c>
    </row>
    <row r="348" spans="1:19">
      <c r="A348" s="962"/>
      <c r="B348" s="137"/>
      <c r="C348" s="53">
        <f t="shared" si="64"/>
        <v>1</v>
      </c>
      <c r="D348" s="960"/>
      <c r="E348" s="53">
        <f t="shared" si="65"/>
        <v>0.1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9">
        <f t="shared" si="72"/>
        <v>0</v>
      </c>
      <c r="S348" s="798">
        <f t="shared" si="63"/>
        <v>0</v>
      </c>
    </row>
    <row r="349" spans="1:19">
      <c r="A349" s="962"/>
      <c r="B349" s="137"/>
      <c r="C349" s="53">
        <f t="shared" si="64"/>
        <v>1</v>
      </c>
      <c r="D349" s="960"/>
      <c r="E349" s="53">
        <f t="shared" si="65"/>
        <v>0.1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9">
        <f t="shared" si="72"/>
        <v>0</v>
      </c>
      <c r="S349" s="798">
        <f t="shared" si="63"/>
        <v>0</v>
      </c>
    </row>
    <row r="350" spans="1:19">
      <c r="A350" s="962"/>
      <c r="B350" s="137"/>
      <c r="C350" s="53">
        <f t="shared" si="64"/>
        <v>1</v>
      </c>
      <c r="D350" s="960"/>
      <c r="E350" s="53">
        <f t="shared" si="65"/>
        <v>0.1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9">
        <f t="shared" si="72"/>
        <v>0</v>
      </c>
      <c r="S350" s="798">
        <f t="shared" si="63"/>
        <v>0</v>
      </c>
    </row>
    <row r="351" spans="1:19">
      <c r="A351" s="962"/>
      <c r="B351" s="137"/>
      <c r="C351" s="53">
        <f t="shared" si="64"/>
        <v>1</v>
      </c>
      <c r="D351" s="960"/>
      <c r="E351" s="53">
        <f t="shared" si="65"/>
        <v>0.1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9">
        <f t="shared" si="72"/>
        <v>0</v>
      </c>
      <c r="S351" s="798">
        <f t="shared" si="63"/>
        <v>0</v>
      </c>
    </row>
    <row r="352" spans="1:19">
      <c r="A352" s="962"/>
      <c r="B352" s="137"/>
      <c r="C352" s="53">
        <f t="shared" si="64"/>
        <v>1</v>
      </c>
      <c r="D352" s="960"/>
      <c r="E352" s="53">
        <f t="shared" si="65"/>
        <v>0.1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9">
        <f t="shared" si="72"/>
        <v>0</v>
      </c>
      <c r="S352" s="798">
        <f t="shared" si="63"/>
        <v>0</v>
      </c>
    </row>
    <row r="353" spans="1:19">
      <c r="A353" s="962"/>
      <c r="B353" s="137"/>
      <c r="C353" s="53">
        <f t="shared" si="64"/>
        <v>1</v>
      </c>
      <c r="D353" s="960"/>
      <c r="E353" s="53">
        <f t="shared" si="65"/>
        <v>0.1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9">
        <f t="shared" si="72"/>
        <v>0</v>
      </c>
      <c r="S353" s="798">
        <f t="shared" si="63"/>
        <v>0</v>
      </c>
    </row>
    <row r="354" spans="1:19">
      <c r="A354" s="962"/>
      <c r="B354" s="137"/>
      <c r="C354" s="53">
        <f t="shared" si="64"/>
        <v>1</v>
      </c>
      <c r="D354" s="960"/>
      <c r="E354" s="53">
        <f t="shared" si="65"/>
        <v>0.1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9">
        <f t="shared" si="72"/>
        <v>0</v>
      </c>
      <c r="S354" s="798">
        <f t="shared" si="63"/>
        <v>0</v>
      </c>
    </row>
    <row r="355" spans="1:19">
      <c r="A355" s="962"/>
      <c r="B355" s="137"/>
      <c r="C355" s="53">
        <f t="shared" si="64"/>
        <v>1</v>
      </c>
      <c r="D355" s="960"/>
      <c r="E355" s="53">
        <f t="shared" si="65"/>
        <v>0.1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9">
        <f t="shared" si="72"/>
        <v>0</v>
      </c>
      <c r="S355" s="798">
        <f t="shared" si="63"/>
        <v>0</v>
      </c>
    </row>
    <row r="356" spans="1:19">
      <c r="A356" s="962"/>
      <c r="B356" s="137"/>
      <c r="C356" s="53">
        <f t="shared" si="64"/>
        <v>1</v>
      </c>
      <c r="D356" s="960"/>
      <c r="E356" s="53">
        <f t="shared" si="65"/>
        <v>0.1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9">
        <f t="shared" si="72"/>
        <v>0</v>
      </c>
      <c r="S356" s="798">
        <f t="shared" si="63"/>
        <v>0</v>
      </c>
    </row>
    <row r="357" spans="1:19">
      <c r="A357" s="962"/>
      <c r="B357" s="137"/>
      <c r="C357" s="53">
        <f t="shared" si="64"/>
        <v>1</v>
      </c>
      <c r="D357" s="960"/>
      <c r="E357" s="53">
        <f t="shared" si="65"/>
        <v>0.1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9">
        <f t="shared" si="72"/>
        <v>0</v>
      </c>
      <c r="S357" s="798">
        <f t="shared" si="63"/>
        <v>0</v>
      </c>
    </row>
    <row r="358" spans="1:19">
      <c r="A358" s="962"/>
      <c r="B358" s="137"/>
      <c r="C358" s="53">
        <f t="shared" si="64"/>
        <v>1</v>
      </c>
      <c r="D358" s="960"/>
      <c r="E358" s="53">
        <f t="shared" si="65"/>
        <v>0.1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9">
        <f t="shared" si="72"/>
        <v>0</v>
      </c>
      <c r="S358" s="798">
        <f t="shared" si="63"/>
        <v>0</v>
      </c>
    </row>
    <row r="359" spans="1:19">
      <c r="A359" s="962"/>
      <c r="B359" s="137"/>
      <c r="C359" s="53">
        <f t="shared" si="64"/>
        <v>1</v>
      </c>
      <c r="D359" s="960"/>
      <c r="E359" s="53">
        <f t="shared" si="65"/>
        <v>0.1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9">
        <f t="shared" si="72"/>
        <v>0</v>
      </c>
      <c r="S359" s="798">
        <f t="shared" si="63"/>
        <v>0</v>
      </c>
    </row>
    <row r="360" spans="1:19">
      <c r="A360" s="962"/>
      <c r="B360" s="137"/>
      <c r="C360" s="53">
        <f t="shared" si="64"/>
        <v>1</v>
      </c>
      <c r="D360" s="960"/>
      <c r="E360" s="53">
        <f t="shared" si="65"/>
        <v>0.1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9">
        <f t="shared" si="72"/>
        <v>0</v>
      </c>
      <c r="S360" s="798">
        <f t="shared" si="63"/>
        <v>0</v>
      </c>
    </row>
    <row r="361" spans="1:19">
      <c r="A361" s="962"/>
      <c r="B361" s="137"/>
      <c r="C361" s="53">
        <f t="shared" si="64"/>
        <v>1</v>
      </c>
      <c r="D361" s="960"/>
      <c r="E361" s="53">
        <f t="shared" si="65"/>
        <v>0.1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9">
        <f t="shared" si="72"/>
        <v>0</v>
      </c>
      <c r="S361" s="798">
        <f t="shared" si="63"/>
        <v>0</v>
      </c>
    </row>
    <row r="362" spans="1:19">
      <c r="A362" s="962"/>
      <c r="B362" s="137"/>
      <c r="C362" s="53">
        <f t="shared" si="64"/>
        <v>1</v>
      </c>
      <c r="D362" s="960"/>
      <c r="E362" s="53">
        <f t="shared" si="65"/>
        <v>0.1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9">
        <f t="shared" si="72"/>
        <v>0</v>
      </c>
      <c r="S362" s="798">
        <f t="shared" si="63"/>
        <v>0</v>
      </c>
    </row>
    <row r="363" spans="1:19">
      <c r="A363" s="962"/>
      <c r="B363" s="137"/>
      <c r="C363" s="53">
        <f t="shared" si="64"/>
        <v>1</v>
      </c>
      <c r="D363" s="960"/>
      <c r="E363" s="53">
        <f t="shared" si="65"/>
        <v>0.1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9">
        <f t="shared" si="72"/>
        <v>0</v>
      </c>
      <c r="S363" s="798">
        <f t="shared" si="63"/>
        <v>0</v>
      </c>
    </row>
    <row r="364" spans="1:19">
      <c r="A364" s="962"/>
      <c r="B364" s="137"/>
      <c r="C364" s="53">
        <f t="shared" si="64"/>
        <v>1</v>
      </c>
      <c r="D364" s="960"/>
      <c r="E364" s="53">
        <f t="shared" si="65"/>
        <v>0.1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9">
        <f t="shared" si="72"/>
        <v>0</v>
      </c>
      <c r="S364" s="798">
        <f t="shared" si="63"/>
        <v>0</v>
      </c>
    </row>
    <row r="365" spans="1:19">
      <c r="A365" s="962"/>
      <c r="B365" s="137"/>
      <c r="C365" s="53">
        <f t="shared" si="64"/>
        <v>1</v>
      </c>
      <c r="D365" s="960"/>
      <c r="E365" s="53">
        <f t="shared" si="65"/>
        <v>0.1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9">
        <f t="shared" si="72"/>
        <v>0</v>
      </c>
      <c r="S365" s="798">
        <f t="shared" si="63"/>
        <v>0</v>
      </c>
    </row>
    <row r="366" spans="1:19">
      <c r="A366" s="962"/>
      <c r="B366" s="137"/>
      <c r="C366" s="53">
        <f t="shared" si="64"/>
        <v>1</v>
      </c>
      <c r="D366" s="960"/>
      <c r="E366" s="53">
        <f t="shared" si="65"/>
        <v>0.1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9">
        <f t="shared" si="72"/>
        <v>0</v>
      </c>
      <c r="S366" s="798">
        <f t="shared" si="63"/>
        <v>0</v>
      </c>
    </row>
    <row r="367" spans="1:19">
      <c r="A367" s="962"/>
      <c r="B367" s="137"/>
      <c r="C367" s="53">
        <f t="shared" si="64"/>
        <v>1</v>
      </c>
      <c r="D367" s="960"/>
      <c r="E367" s="53">
        <f t="shared" si="65"/>
        <v>0.1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9">
        <f t="shared" si="72"/>
        <v>0</v>
      </c>
      <c r="S367" s="798">
        <f t="shared" si="63"/>
        <v>0</v>
      </c>
    </row>
    <row r="368" spans="1:19">
      <c r="A368" s="962"/>
      <c r="B368" s="137"/>
      <c r="C368" s="53">
        <f t="shared" si="64"/>
        <v>1</v>
      </c>
      <c r="D368" s="960"/>
      <c r="E368" s="53">
        <f t="shared" si="65"/>
        <v>0.1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9">
        <f t="shared" si="72"/>
        <v>0</v>
      </c>
      <c r="S368" s="798">
        <f t="shared" si="63"/>
        <v>0</v>
      </c>
    </row>
    <row r="369" spans="1:19">
      <c r="A369" s="962"/>
      <c r="B369" s="137"/>
      <c r="C369" s="53">
        <f t="shared" si="64"/>
        <v>1</v>
      </c>
      <c r="D369" s="960"/>
      <c r="E369" s="53">
        <f t="shared" si="65"/>
        <v>0.1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9">
        <f t="shared" si="72"/>
        <v>0</v>
      </c>
      <c r="S369" s="798">
        <f t="shared" si="63"/>
        <v>0</v>
      </c>
    </row>
    <row r="370" spans="1:19">
      <c r="A370" s="962"/>
      <c r="B370" s="137"/>
      <c r="C370" s="53">
        <f t="shared" si="64"/>
        <v>1</v>
      </c>
      <c r="D370" s="960"/>
      <c r="E370" s="53">
        <f t="shared" si="65"/>
        <v>0.1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9">
        <f t="shared" si="72"/>
        <v>0</v>
      </c>
      <c r="S370" s="798">
        <f t="shared" si="63"/>
        <v>0</v>
      </c>
    </row>
    <row r="371" spans="1:19">
      <c r="A371" s="962"/>
      <c r="B371" s="137"/>
      <c r="C371" s="53">
        <f t="shared" si="64"/>
        <v>1</v>
      </c>
      <c r="D371" s="960"/>
      <c r="E371" s="53">
        <f t="shared" si="65"/>
        <v>0.1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9">
        <f t="shared" si="72"/>
        <v>0</v>
      </c>
      <c r="S371" s="798">
        <f t="shared" si="63"/>
        <v>0</v>
      </c>
    </row>
    <row r="372" spans="1:19">
      <c r="A372" s="962"/>
      <c r="B372" s="137"/>
      <c r="C372" s="53">
        <f t="shared" si="64"/>
        <v>1</v>
      </c>
      <c r="D372" s="960"/>
      <c r="E372" s="53">
        <f t="shared" si="65"/>
        <v>0.1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9">
        <f t="shared" si="72"/>
        <v>0</v>
      </c>
      <c r="S372" s="798">
        <f t="shared" si="63"/>
        <v>0</v>
      </c>
    </row>
    <row r="373" spans="1:19">
      <c r="A373" s="962"/>
      <c r="B373" s="137"/>
      <c r="C373" s="53">
        <f t="shared" si="64"/>
        <v>1</v>
      </c>
      <c r="D373" s="960"/>
      <c r="E373" s="53">
        <f t="shared" si="65"/>
        <v>0.1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9">
        <f t="shared" si="72"/>
        <v>0</v>
      </c>
      <c r="S373" s="798">
        <f t="shared" si="63"/>
        <v>0</v>
      </c>
    </row>
    <row r="374" spans="1:19">
      <c r="A374" s="962"/>
      <c r="B374" s="137"/>
      <c r="C374" s="53">
        <f t="shared" si="64"/>
        <v>1</v>
      </c>
      <c r="D374" s="960"/>
      <c r="E374" s="53">
        <f t="shared" si="65"/>
        <v>0.1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9">
        <f t="shared" si="72"/>
        <v>0</v>
      </c>
      <c r="S374" s="798">
        <f t="shared" si="63"/>
        <v>0</v>
      </c>
    </row>
    <row r="375" spans="1:19">
      <c r="A375" s="962"/>
      <c r="B375" s="137"/>
      <c r="C375" s="53">
        <f t="shared" si="64"/>
        <v>1</v>
      </c>
      <c r="D375" s="960"/>
      <c r="E375" s="53">
        <f t="shared" si="65"/>
        <v>0.1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9">
        <f t="shared" si="72"/>
        <v>0</v>
      </c>
      <c r="S375" s="798">
        <f t="shared" si="63"/>
        <v>0</v>
      </c>
    </row>
    <row r="376" spans="1:19">
      <c r="A376" s="962"/>
      <c r="B376" s="137"/>
      <c r="C376" s="53">
        <f t="shared" si="64"/>
        <v>1</v>
      </c>
      <c r="D376" s="960"/>
      <c r="E376" s="53">
        <f t="shared" si="65"/>
        <v>0.1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9">
        <f t="shared" si="72"/>
        <v>0</v>
      </c>
      <c r="S376" s="798">
        <f t="shared" si="63"/>
        <v>0</v>
      </c>
    </row>
    <row r="377" spans="1:19">
      <c r="A377" s="962"/>
      <c r="B377" s="137"/>
      <c r="C377" s="53">
        <f t="shared" si="64"/>
        <v>1</v>
      </c>
      <c r="D377" s="960"/>
      <c r="E377" s="53">
        <f t="shared" si="65"/>
        <v>0.1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9">
        <f t="shared" si="72"/>
        <v>0</v>
      </c>
      <c r="S377" s="798">
        <f t="shared" si="63"/>
        <v>0</v>
      </c>
    </row>
    <row r="378" spans="1:19">
      <c r="A378" s="962"/>
      <c r="B378" s="137"/>
      <c r="C378" s="53">
        <f t="shared" si="64"/>
        <v>1</v>
      </c>
      <c r="D378" s="960"/>
      <c r="E378" s="53">
        <f t="shared" si="65"/>
        <v>0.1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9">
        <f t="shared" si="72"/>
        <v>0</v>
      </c>
      <c r="S378" s="798">
        <f t="shared" si="63"/>
        <v>0</v>
      </c>
    </row>
    <row r="379" spans="1:19">
      <c r="A379" s="962"/>
      <c r="B379" s="137"/>
      <c r="C379" s="53">
        <f t="shared" si="64"/>
        <v>1</v>
      </c>
      <c r="D379" s="960"/>
      <c r="E379" s="53">
        <f t="shared" si="65"/>
        <v>0.1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9">
        <f t="shared" si="72"/>
        <v>0</v>
      </c>
      <c r="S379" s="798">
        <f t="shared" si="63"/>
        <v>0</v>
      </c>
    </row>
    <row r="380" spans="1:19">
      <c r="A380" s="962"/>
      <c r="B380" s="137"/>
      <c r="C380" s="53">
        <f t="shared" si="64"/>
        <v>1</v>
      </c>
      <c r="D380" s="960"/>
      <c r="E380" s="53">
        <f t="shared" si="65"/>
        <v>0.1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9">
        <f t="shared" si="72"/>
        <v>0</v>
      </c>
      <c r="S380" s="798">
        <f t="shared" si="63"/>
        <v>0</v>
      </c>
    </row>
    <row r="381" spans="1:19">
      <c r="A381" s="962"/>
      <c r="B381" s="137"/>
      <c r="C381" s="53">
        <f t="shared" si="64"/>
        <v>1</v>
      </c>
      <c r="D381" s="960"/>
      <c r="E381" s="53">
        <f t="shared" si="65"/>
        <v>0.1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9">
        <f t="shared" si="72"/>
        <v>0</v>
      </c>
      <c r="S381" s="798">
        <f t="shared" si="63"/>
        <v>0</v>
      </c>
    </row>
    <row r="382" spans="1:19">
      <c r="A382" s="962"/>
      <c r="B382" s="137"/>
      <c r="C382" s="53">
        <f t="shared" si="64"/>
        <v>1</v>
      </c>
      <c r="D382" s="960"/>
      <c r="E382" s="53">
        <f t="shared" si="65"/>
        <v>0.1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9">
        <f t="shared" si="72"/>
        <v>0</v>
      </c>
      <c r="S382" s="798">
        <f t="shared" si="63"/>
        <v>0</v>
      </c>
    </row>
    <row r="383" spans="1:19">
      <c r="A383" s="962"/>
      <c r="B383" s="137"/>
      <c r="C383" s="53">
        <f t="shared" si="64"/>
        <v>1</v>
      </c>
      <c r="D383" s="960"/>
      <c r="E383" s="53">
        <f t="shared" si="65"/>
        <v>0.1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9">
        <f t="shared" si="72"/>
        <v>0</v>
      </c>
      <c r="S383" s="798">
        <f t="shared" si="63"/>
        <v>0</v>
      </c>
    </row>
    <row r="384" spans="1:19">
      <c r="A384" s="962"/>
      <c r="B384" s="137"/>
      <c r="C384" s="53">
        <f t="shared" si="64"/>
        <v>1</v>
      </c>
      <c r="D384" s="960"/>
      <c r="E384" s="53">
        <f t="shared" si="65"/>
        <v>0.1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9">
        <f t="shared" si="72"/>
        <v>0</v>
      </c>
      <c r="S384" s="798">
        <f t="shared" si="63"/>
        <v>0</v>
      </c>
    </row>
    <row r="385" spans="1:19">
      <c r="A385" s="962"/>
      <c r="B385" s="137"/>
      <c r="C385" s="53">
        <f t="shared" si="64"/>
        <v>1</v>
      </c>
      <c r="D385" s="960"/>
      <c r="E385" s="53">
        <f t="shared" si="65"/>
        <v>0.1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9">
        <f t="shared" si="72"/>
        <v>0</v>
      </c>
      <c r="S385" s="798">
        <f t="shared" ref="S385:S422" si="73">ROUND(R385*B385/10000,0)</f>
        <v>0</v>
      </c>
    </row>
    <row r="386" spans="1:19">
      <c r="A386" s="962"/>
      <c r="B386" s="137"/>
      <c r="C386" s="53">
        <f t="shared" si="64"/>
        <v>1</v>
      </c>
      <c r="D386" s="960"/>
      <c r="E386" s="53">
        <f t="shared" si="65"/>
        <v>0.1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9">
        <f t="shared" si="72"/>
        <v>0</v>
      </c>
      <c r="S386" s="798">
        <f t="shared" si="73"/>
        <v>0</v>
      </c>
    </row>
    <row r="387" spans="1:19">
      <c r="A387" s="962"/>
      <c r="B387" s="137"/>
      <c r="C387" s="53">
        <f t="shared" si="64"/>
        <v>1</v>
      </c>
      <c r="D387" s="960"/>
      <c r="E387" s="53">
        <f t="shared" si="65"/>
        <v>0.1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9">
        <f t="shared" si="72"/>
        <v>0</v>
      </c>
      <c r="S387" s="798">
        <f t="shared" si="73"/>
        <v>0</v>
      </c>
    </row>
    <row r="388" spans="1:19">
      <c r="A388" s="962"/>
      <c r="B388" s="137"/>
      <c r="C388" s="53">
        <f t="shared" si="64"/>
        <v>1</v>
      </c>
      <c r="D388" s="960"/>
      <c r="E388" s="53">
        <f t="shared" si="65"/>
        <v>0.1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9">
        <f t="shared" si="72"/>
        <v>0</v>
      </c>
      <c r="S388" s="798">
        <f t="shared" si="73"/>
        <v>0</v>
      </c>
    </row>
    <row r="389" spans="1:19">
      <c r="A389" s="962"/>
      <c r="B389" s="137"/>
      <c r="C389" s="53">
        <f t="shared" si="64"/>
        <v>1</v>
      </c>
      <c r="D389" s="960"/>
      <c r="E389" s="53">
        <f t="shared" si="65"/>
        <v>0.1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9">
        <f t="shared" si="72"/>
        <v>0</v>
      </c>
      <c r="S389" s="798">
        <f t="shared" si="73"/>
        <v>0</v>
      </c>
    </row>
    <row r="390" spans="1:19">
      <c r="A390" s="962"/>
      <c r="B390" s="137"/>
      <c r="C390" s="53">
        <f t="shared" si="64"/>
        <v>1</v>
      </c>
      <c r="D390" s="960"/>
      <c r="E390" s="53">
        <f t="shared" si="65"/>
        <v>0.1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9">
        <f t="shared" si="72"/>
        <v>0</v>
      </c>
      <c r="S390" s="798">
        <f t="shared" si="73"/>
        <v>0</v>
      </c>
    </row>
    <row r="391" spans="1:19">
      <c r="A391" s="962"/>
      <c r="B391" s="137"/>
      <c r="C391" s="53">
        <f t="shared" si="64"/>
        <v>1</v>
      </c>
      <c r="D391" s="960"/>
      <c r="E391" s="53">
        <f t="shared" si="65"/>
        <v>0.1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9">
        <f t="shared" si="72"/>
        <v>0</v>
      </c>
      <c r="S391" s="798">
        <f t="shared" si="73"/>
        <v>0</v>
      </c>
    </row>
    <row r="392" spans="1:19">
      <c r="A392" s="962"/>
      <c r="B392" s="137"/>
      <c r="C392" s="53">
        <f t="shared" si="64"/>
        <v>1</v>
      </c>
      <c r="D392" s="960"/>
      <c r="E392" s="53">
        <f t="shared" si="65"/>
        <v>0.1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9">
        <f t="shared" si="72"/>
        <v>0</v>
      </c>
      <c r="S392" s="798">
        <f t="shared" si="73"/>
        <v>0</v>
      </c>
    </row>
    <row r="393" spans="1:19">
      <c r="A393" s="962"/>
      <c r="B393" s="137"/>
      <c r="C393" s="53">
        <f t="shared" si="64"/>
        <v>1</v>
      </c>
      <c r="D393" s="960"/>
      <c r="E393" s="53">
        <f t="shared" si="65"/>
        <v>0.1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9">
        <f t="shared" si="72"/>
        <v>0</v>
      </c>
      <c r="S393" s="798">
        <f t="shared" si="73"/>
        <v>0</v>
      </c>
    </row>
    <row r="394" spans="1:19">
      <c r="A394" s="962"/>
      <c r="B394" s="137"/>
      <c r="C394" s="53">
        <f t="shared" si="64"/>
        <v>1</v>
      </c>
      <c r="D394" s="960"/>
      <c r="E394" s="53">
        <f t="shared" si="65"/>
        <v>0.1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9">
        <f t="shared" si="72"/>
        <v>0</v>
      </c>
      <c r="S394" s="798">
        <f t="shared" si="73"/>
        <v>0</v>
      </c>
    </row>
    <row r="395" spans="1:19">
      <c r="A395" s="962"/>
      <c r="B395" s="137"/>
      <c r="C395" s="53">
        <f t="shared" si="64"/>
        <v>1</v>
      </c>
      <c r="D395" s="960"/>
      <c r="E395" s="53">
        <f t="shared" si="65"/>
        <v>0.1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9">
        <f t="shared" si="72"/>
        <v>0</v>
      </c>
      <c r="S395" s="798">
        <f t="shared" si="73"/>
        <v>0</v>
      </c>
    </row>
    <row r="396" spans="1:19">
      <c r="A396" s="962"/>
      <c r="B396" s="137"/>
      <c r="C396" s="53">
        <f t="shared" si="64"/>
        <v>1</v>
      </c>
      <c r="D396" s="960"/>
      <c r="E396" s="53">
        <f t="shared" si="65"/>
        <v>0.1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9">
        <f t="shared" si="72"/>
        <v>0</v>
      </c>
      <c r="S396" s="798">
        <f t="shared" si="73"/>
        <v>0</v>
      </c>
    </row>
    <row r="397" spans="1:19">
      <c r="A397" s="962"/>
      <c r="B397" s="137"/>
      <c r="C397" s="53">
        <f t="shared" si="64"/>
        <v>1</v>
      </c>
      <c r="D397" s="960"/>
      <c r="E397" s="53">
        <f t="shared" si="65"/>
        <v>0.1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9">
        <f t="shared" si="72"/>
        <v>0</v>
      </c>
      <c r="S397" s="798">
        <f t="shared" si="73"/>
        <v>0</v>
      </c>
    </row>
    <row r="398" spans="1:19">
      <c r="A398" s="962"/>
      <c r="B398" s="137"/>
      <c r="C398" s="53">
        <f t="shared" si="64"/>
        <v>1</v>
      </c>
      <c r="D398" s="960"/>
      <c r="E398" s="53">
        <f t="shared" si="65"/>
        <v>0.1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9">
        <f t="shared" si="72"/>
        <v>0</v>
      </c>
      <c r="S398" s="798">
        <f t="shared" si="73"/>
        <v>0</v>
      </c>
    </row>
    <row r="399" spans="1:19">
      <c r="A399" s="962"/>
      <c r="B399" s="137"/>
      <c r="C399" s="53">
        <f t="shared" si="64"/>
        <v>1</v>
      </c>
      <c r="D399" s="960"/>
      <c r="E399" s="53">
        <f t="shared" si="65"/>
        <v>0.1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9">
        <f t="shared" si="72"/>
        <v>0</v>
      </c>
      <c r="S399" s="798">
        <f t="shared" si="73"/>
        <v>0</v>
      </c>
    </row>
    <row r="400" spans="1:19">
      <c r="A400" s="962"/>
      <c r="B400" s="137"/>
      <c r="C400" s="53">
        <f t="shared" si="64"/>
        <v>1</v>
      </c>
      <c r="D400" s="960"/>
      <c r="E400" s="53">
        <f t="shared" si="65"/>
        <v>0.1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9">
        <f t="shared" si="72"/>
        <v>0</v>
      </c>
      <c r="S400" s="798">
        <f t="shared" si="73"/>
        <v>0</v>
      </c>
    </row>
    <row r="401" spans="1:19">
      <c r="A401" s="962"/>
      <c r="B401" s="137"/>
      <c r="C401" s="53">
        <f t="shared" si="64"/>
        <v>1</v>
      </c>
      <c r="D401" s="960"/>
      <c r="E401" s="53">
        <f t="shared" si="65"/>
        <v>0.1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9">
        <f t="shared" si="72"/>
        <v>0</v>
      </c>
      <c r="S401" s="798">
        <f t="shared" si="73"/>
        <v>0</v>
      </c>
    </row>
    <row r="402" spans="1:19">
      <c r="A402" s="962"/>
      <c r="B402" s="137"/>
      <c r="C402" s="53">
        <f t="shared" si="64"/>
        <v>1</v>
      </c>
      <c r="D402" s="960"/>
      <c r="E402" s="53">
        <f t="shared" si="65"/>
        <v>0.1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9">
        <f t="shared" si="72"/>
        <v>0</v>
      </c>
      <c r="S402" s="798">
        <f t="shared" si="73"/>
        <v>0</v>
      </c>
    </row>
    <row r="403" spans="1:19">
      <c r="A403" s="962"/>
      <c r="B403" s="137"/>
      <c r="C403" s="53">
        <f t="shared" si="64"/>
        <v>1</v>
      </c>
      <c r="D403" s="960"/>
      <c r="E403" s="53">
        <f t="shared" si="65"/>
        <v>0.1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9">
        <f t="shared" si="72"/>
        <v>0</v>
      </c>
      <c r="S403" s="798">
        <f t="shared" si="73"/>
        <v>0</v>
      </c>
    </row>
    <row r="404" spans="1:19">
      <c r="A404" s="962"/>
      <c r="B404" s="137"/>
      <c r="C404" s="53">
        <f t="shared" si="64"/>
        <v>1</v>
      </c>
      <c r="D404" s="960"/>
      <c r="E404" s="53">
        <f t="shared" si="65"/>
        <v>0.1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9">
        <f t="shared" si="72"/>
        <v>0</v>
      </c>
      <c r="S404" s="798">
        <f t="shared" si="73"/>
        <v>0</v>
      </c>
    </row>
    <row r="405" spans="1:19">
      <c r="A405" s="962"/>
      <c r="B405" s="137"/>
      <c r="C405" s="53">
        <f t="shared" si="64"/>
        <v>1</v>
      </c>
      <c r="D405" s="960"/>
      <c r="E405" s="53">
        <f t="shared" si="65"/>
        <v>0.1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9">
        <f t="shared" si="72"/>
        <v>0</v>
      </c>
      <c r="S405" s="798">
        <f t="shared" si="73"/>
        <v>0</v>
      </c>
    </row>
    <row r="406" spans="1:19">
      <c r="A406" s="962"/>
      <c r="B406" s="137"/>
      <c r="C406" s="53">
        <f t="shared" si="64"/>
        <v>1</v>
      </c>
      <c r="D406" s="960"/>
      <c r="E406" s="53">
        <f t="shared" si="65"/>
        <v>0.1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9">
        <f t="shared" si="72"/>
        <v>0</v>
      </c>
      <c r="S406" s="798">
        <f t="shared" si="73"/>
        <v>0</v>
      </c>
    </row>
    <row r="407" spans="1:19">
      <c r="A407" s="962"/>
      <c r="B407" s="137"/>
      <c r="C407" s="53">
        <f t="shared" si="64"/>
        <v>1</v>
      </c>
      <c r="D407" s="960"/>
      <c r="E407" s="53">
        <f t="shared" si="65"/>
        <v>0.1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9">
        <f t="shared" si="72"/>
        <v>0</v>
      </c>
      <c r="S407" s="798">
        <f t="shared" si="73"/>
        <v>0</v>
      </c>
    </row>
    <row r="408" spans="1:19">
      <c r="A408" s="962"/>
      <c r="B408" s="137"/>
      <c r="C408" s="53">
        <f t="shared" si="64"/>
        <v>1</v>
      </c>
      <c r="D408" s="960"/>
      <c r="E408" s="53">
        <f t="shared" si="65"/>
        <v>0.1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9">
        <f t="shared" si="72"/>
        <v>0</v>
      </c>
      <c r="S408" s="798">
        <f t="shared" si="73"/>
        <v>0</v>
      </c>
    </row>
    <row r="409" spans="1:19">
      <c r="A409" s="962"/>
      <c r="B409" s="137"/>
      <c r="C409" s="53">
        <f t="shared" si="64"/>
        <v>1</v>
      </c>
      <c r="D409" s="960"/>
      <c r="E409" s="53">
        <f t="shared" si="65"/>
        <v>0.1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9">
        <f t="shared" si="72"/>
        <v>0</v>
      </c>
      <c r="S409" s="798">
        <f t="shared" si="73"/>
        <v>0</v>
      </c>
    </row>
    <row r="410" spans="1:19">
      <c r="A410" s="962"/>
      <c r="B410" s="137"/>
      <c r="C410" s="53">
        <f t="shared" ref="C410:C473" si="74">IF(B410="",1,(LOOKUP(B410,$3:$3,$4:$4)-LOOKUP($B$24,$3:$3,$4:$4)+100)/100)</f>
        <v>1</v>
      </c>
      <c r="D410" s="960"/>
      <c r="E410" s="53">
        <f t="shared" ref="E410:E473" si="75">(SUMIF($5:$5,D410,$6:$6)-SUMIF($5:$5,$D$24,$6:$6)+100)/100</f>
        <v>0.1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9">
        <f t="shared" ref="R410:R473" si="82">IF(B410="",0,ROUND($R$24*C410*E410*G410*I410*K410*M410*O410*Q410,0))</f>
        <v>0</v>
      </c>
      <c r="S410" s="798">
        <f t="shared" si="73"/>
        <v>0</v>
      </c>
    </row>
    <row r="411" spans="1:19">
      <c r="A411" s="962"/>
      <c r="B411" s="137"/>
      <c r="C411" s="53">
        <f t="shared" si="74"/>
        <v>1</v>
      </c>
      <c r="D411" s="960"/>
      <c r="E411" s="53">
        <f t="shared" si="75"/>
        <v>0.1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9">
        <f t="shared" si="82"/>
        <v>0</v>
      </c>
      <c r="S411" s="798">
        <f t="shared" si="73"/>
        <v>0</v>
      </c>
    </row>
    <row r="412" spans="1:19">
      <c r="A412" s="962"/>
      <c r="B412" s="137"/>
      <c r="C412" s="53">
        <f t="shared" si="74"/>
        <v>1</v>
      </c>
      <c r="D412" s="960"/>
      <c r="E412" s="53">
        <f t="shared" si="75"/>
        <v>0.1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9">
        <f t="shared" si="82"/>
        <v>0</v>
      </c>
      <c r="S412" s="798">
        <f t="shared" si="73"/>
        <v>0</v>
      </c>
    </row>
    <row r="413" spans="1:19">
      <c r="A413" s="962"/>
      <c r="B413" s="137"/>
      <c r="C413" s="53">
        <f t="shared" si="74"/>
        <v>1</v>
      </c>
      <c r="D413" s="960"/>
      <c r="E413" s="53">
        <f t="shared" si="75"/>
        <v>0.1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9">
        <f t="shared" si="82"/>
        <v>0</v>
      </c>
      <c r="S413" s="798">
        <f t="shared" si="73"/>
        <v>0</v>
      </c>
    </row>
    <row r="414" spans="1:19">
      <c r="A414" s="962"/>
      <c r="B414" s="137"/>
      <c r="C414" s="53">
        <f t="shared" si="74"/>
        <v>1</v>
      </c>
      <c r="D414" s="960"/>
      <c r="E414" s="53">
        <f t="shared" si="75"/>
        <v>0.1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9">
        <f t="shared" si="82"/>
        <v>0</v>
      </c>
      <c r="S414" s="798">
        <f t="shared" si="73"/>
        <v>0</v>
      </c>
    </row>
    <row r="415" spans="1:19">
      <c r="A415" s="962"/>
      <c r="B415" s="137"/>
      <c r="C415" s="53">
        <f t="shared" si="74"/>
        <v>1</v>
      </c>
      <c r="D415" s="960"/>
      <c r="E415" s="53">
        <f t="shared" si="75"/>
        <v>0.1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9">
        <f t="shared" si="82"/>
        <v>0</v>
      </c>
      <c r="S415" s="798">
        <f t="shared" si="73"/>
        <v>0</v>
      </c>
    </row>
    <row r="416" spans="1:19">
      <c r="A416" s="962"/>
      <c r="B416" s="137"/>
      <c r="C416" s="53">
        <f t="shared" si="74"/>
        <v>1</v>
      </c>
      <c r="D416" s="960"/>
      <c r="E416" s="53">
        <f t="shared" si="75"/>
        <v>0.1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9">
        <f t="shared" si="82"/>
        <v>0</v>
      </c>
      <c r="S416" s="798">
        <f t="shared" si="73"/>
        <v>0</v>
      </c>
    </row>
    <row r="417" spans="1:19">
      <c r="A417" s="962"/>
      <c r="B417" s="137"/>
      <c r="C417" s="53">
        <f t="shared" si="74"/>
        <v>1</v>
      </c>
      <c r="D417" s="960"/>
      <c r="E417" s="53">
        <f t="shared" si="75"/>
        <v>0.1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9">
        <f t="shared" si="82"/>
        <v>0</v>
      </c>
      <c r="S417" s="798">
        <f t="shared" si="73"/>
        <v>0</v>
      </c>
    </row>
    <row r="418" spans="1:19">
      <c r="A418" s="962"/>
      <c r="B418" s="137"/>
      <c r="C418" s="53">
        <f t="shared" si="74"/>
        <v>1</v>
      </c>
      <c r="D418" s="960"/>
      <c r="E418" s="53">
        <f t="shared" si="75"/>
        <v>0.1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9">
        <f t="shared" si="82"/>
        <v>0</v>
      </c>
      <c r="S418" s="798">
        <f t="shared" si="73"/>
        <v>0</v>
      </c>
    </row>
    <row r="419" spans="1:19">
      <c r="A419" s="962"/>
      <c r="B419" s="137"/>
      <c r="C419" s="53">
        <f t="shared" si="74"/>
        <v>1</v>
      </c>
      <c r="D419" s="960"/>
      <c r="E419" s="53">
        <f t="shared" si="75"/>
        <v>0.1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9">
        <f t="shared" si="82"/>
        <v>0</v>
      </c>
      <c r="S419" s="798">
        <f t="shared" si="73"/>
        <v>0</v>
      </c>
    </row>
    <row r="420" spans="1:19">
      <c r="A420" s="962"/>
      <c r="B420" s="137"/>
      <c r="C420" s="53">
        <f t="shared" si="74"/>
        <v>1</v>
      </c>
      <c r="D420" s="960"/>
      <c r="E420" s="53">
        <f t="shared" si="75"/>
        <v>0.1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9">
        <f t="shared" si="82"/>
        <v>0</v>
      </c>
      <c r="S420" s="798">
        <f t="shared" si="73"/>
        <v>0</v>
      </c>
    </row>
    <row r="421" spans="1:19">
      <c r="A421" s="962"/>
      <c r="B421" s="137"/>
      <c r="C421" s="53">
        <f t="shared" si="74"/>
        <v>1</v>
      </c>
      <c r="D421" s="960"/>
      <c r="E421" s="53">
        <f t="shared" si="75"/>
        <v>0.1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9">
        <f t="shared" si="82"/>
        <v>0</v>
      </c>
      <c r="S421" s="798">
        <f t="shared" si="73"/>
        <v>0</v>
      </c>
    </row>
    <row r="422" spans="1:19">
      <c r="A422" s="962"/>
      <c r="B422" s="137"/>
      <c r="C422" s="53">
        <f t="shared" si="74"/>
        <v>1</v>
      </c>
      <c r="D422" s="960"/>
      <c r="E422" s="53">
        <f t="shared" si="75"/>
        <v>0.1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9">
        <f t="shared" si="82"/>
        <v>0</v>
      </c>
      <c r="S422" s="798">
        <f t="shared" si="73"/>
        <v>0</v>
      </c>
    </row>
    <row r="423" spans="1:19">
      <c r="A423" s="962"/>
      <c r="B423" s="137"/>
      <c r="C423" s="53">
        <f t="shared" si="74"/>
        <v>1</v>
      </c>
      <c r="D423" s="960"/>
      <c r="E423" s="53">
        <f t="shared" si="75"/>
        <v>0.1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9">
        <f t="shared" si="82"/>
        <v>0</v>
      </c>
      <c r="S423" s="798">
        <f t="shared" ref="S423:S467" si="83">ROUND(R423*B423/10000,0)</f>
        <v>0</v>
      </c>
    </row>
    <row r="424" spans="1:19">
      <c r="A424" s="962"/>
      <c r="B424" s="137"/>
      <c r="C424" s="53">
        <f t="shared" si="74"/>
        <v>1</v>
      </c>
      <c r="D424" s="960"/>
      <c r="E424" s="53">
        <f t="shared" si="75"/>
        <v>0.1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9">
        <f t="shared" si="82"/>
        <v>0</v>
      </c>
      <c r="S424" s="798">
        <f t="shared" si="83"/>
        <v>0</v>
      </c>
    </row>
    <row r="425" spans="1:19">
      <c r="A425" s="962"/>
      <c r="B425" s="137"/>
      <c r="C425" s="53">
        <f t="shared" si="74"/>
        <v>1</v>
      </c>
      <c r="D425" s="960"/>
      <c r="E425" s="53">
        <f t="shared" si="75"/>
        <v>0.1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9">
        <f t="shared" si="82"/>
        <v>0</v>
      </c>
      <c r="S425" s="798">
        <f t="shared" si="83"/>
        <v>0</v>
      </c>
    </row>
    <row r="426" spans="1:19">
      <c r="A426" s="962"/>
      <c r="B426" s="137"/>
      <c r="C426" s="53">
        <f t="shared" si="74"/>
        <v>1</v>
      </c>
      <c r="D426" s="960"/>
      <c r="E426" s="53">
        <f t="shared" si="75"/>
        <v>0.1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9">
        <f t="shared" si="82"/>
        <v>0</v>
      </c>
      <c r="S426" s="798">
        <f t="shared" si="83"/>
        <v>0</v>
      </c>
    </row>
    <row r="427" spans="1:19">
      <c r="A427" s="962"/>
      <c r="B427" s="137"/>
      <c r="C427" s="53">
        <f t="shared" si="74"/>
        <v>1</v>
      </c>
      <c r="D427" s="960"/>
      <c r="E427" s="53">
        <f t="shared" si="75"/>
        <v>0.1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9">
        <f t="shared" si="82"/>
        <v>0</v>
      </c>
      <c r="S427" s="798">
        <f t="shared" si="83"/>
        <v>0</v>
      </c>
    </row>
    <row r="428" spans="1:19">
      <c r="A428" s="962"/>
      <c r="B428" s="137"/>
      <c r="C428" s="53">
        <f t="shared" si="74"/>
        <v>1</v>
      </c>
      <c r="D428" s="960"/>
      <c r="E428" s="53">
        <f t="shared" si="75"/>
        <v>0.1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9">
        <f t="shared" si="82"/>
        <v>0</v>
      </c>
      <c r="S428" s="798">
        <f t="shared" si="83"/>
        <v>0</v>
      </c>
    </row>
    <row r="429" spans="1:19">
      <c r="A429" s="962"/>
      <c r="B429" s="137"/>
      <c r="C429" s="53">
        <f t="shared" si="74"/>
        <v>1</v>
      </c>
      <c r="D429" s="960"/>
      <c r="E429" s="53">
        <f t="shared" si="75"/>
        <v>0.1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9">
        <f t="shared" si="82"/>
        <v>0</v>
      </c>
      <c r="S429" s="798">
        <f t="shared" si="83"/>
        <v>0</v>
      </c>
    </row>
    <row r="430" spans="1:19">
      <c r="A430" s="962"/>
      <c r="B430" s="137"/>
      <c r="C430" s="53">
        <f t="shared" si="74"/>
        <v>1</v>
      </c>
      <c r="D430" s="960"/>
      <c r="E430" s="53">
        <f t="shared" si="75"/>
        <v>0.1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9">
        <f t="shared" si="82"/>
        <v>0</v>
      </c>
      <c r="S430" s="798">
        <f t="shared" si="83"/>
        <v>0</v>
      </c>
    </row>
    <row r="431" spans="1:19">
      <c r="A431" s="962"/>
      <c r="B431" s="137"/>
      <c r="C431" s="53">
        <f t="shared" si="74"/>
        <v>1</v>
      </c>
      <c r="D431" s="960"/>
      <c r="E431" s="53">
        <f t="shared" si="75"/>
        <v>0.1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9">
        <f t="shared" si="82"/>
        <v>0</v>
      </c>
      <c r="S431" s="798">
        <f t="shared" si="83"/>
        <v>0</v>
      </c>
    </row>
    <row r="432" spans="1:19">
      <c r="A432" s="962"/>
      <c r="B432" s="137"/>
      <c r="C432" s="53">
        <f t="shared" si="74"/>
        <v>1</v>
      </c>
      <c r="D432" s="960"/>
      <c r="E432" s="53">
        <f t="shared" si="75"/>
        <v>0.1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9">
        <f t="shared" si="82"/>
        <v>0</v>
      </c>
      <c r="S432" s="798">
        <f t="shared" si="83"/>
        <v>0</v>
      </c>
    </row>
    <row r="433" spans="1:19">
      <c r="A433" s="962"/>
      <c r="B433" s="137"/>
      <c r="C433" s="53">
        <f t="shared" si="74"/>
        <v>1</v>
      </c>
      <c r="D433" s="960"/>
      <c r="E433" s="53">
        <f t="shared" si="75"/>
        <v>0.1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9">
        <f t="shared" si="82"/>
        <v>0</v>
      </c>
      <c r="S433" s="798">
        <f t="shared" si="83"/>
        <v>0</v>
      </c>
    </row>
    <row r="434" spans="1:19">
      <c r="A434" s="962"/>
      <c r="B434" s="137"/>
      <c r="C434" s="53">
        <f t="shared" si="74"/>
        <v>1</v>
      </c>
      <c r="D434" s="960"/>
      <c r="E434" s="53">
        <f t="shared" si="75"/>
        <v>0.1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9">
        <f t="shared" si="82"/>
        <v>0</v>
      </c>
      <c r="S434" s="798">
        <f t="shared" si="83"/>
        <v>0</v>
      </c>
    </row>
    <row r="435" spans="1:19">
      <c r="A435" s="962"/>
      <c r="B435" s="137"/>
      <c r="C435" s="53">
        <f t="shared" si="74"/>
        <v>1</v>
      </c>
      <c r="D435" s="960"/>
      <c r="E435" s="53">
        <f t="shared" si="75"/>
        <v>0.1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9">
        <f t="shared" si="82"/>
        <v>0</v>
      </c>
      <c r="S435" s="798">
        <f t="shared" si="83"/>
        <v>0</v>
      </c>
    </row>
    <row r="436" spans="1:19">
      <c r="A436" s="962"/>
      <c r="B436" s="137"/>
      <c r="C436" s="53">
        <f t="shared" si="74"/>
        <v>1</v>
      </c>
      <c r="D436" s="960"/>
      <c r="E436" s="53">
        <f t="shared" si="75"/>
        <v>0.1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9">
        <f t="shared" si="82"/>
        <v>0</v>
      </c>
      <c r="S436" s="798">
        <f t="shared" si="83"/>
        <v>0</v>
      </c>
    </row>
    <row r="437" spans="1:19">
      <c r="A437" s="962"/>
      <c r="B437" s="137"/>
      <c r="C437" s="53">
        <f t="shared" si="74"/>
        <v>1</v>
      </c>
      <c r="D437" s="960"/>
      <c r="E437" s="53">
        <f t="shared" si="75"/>
        <v>0.1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9">
        <f t="shared" si="82"/>
        <v>0</v>
      </c>
      <c r="S437" s="798">
        <f t="shared" si="83"/>
        <v>0</v>
      </c>
    </row>
    <row r="438" spans="1:19">
      <c r="A438" s="962"/>
      <c r="B438" s="137"/>
      <c r="C438" s="53">
        <f t="shared" si="74"/>
        <v>1</v>
      </c>
      <c r="D438" s="960"/>
      <c r="E438" s="53">
        <f t="shared" si="75"/>
        <v>0.1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9">
        <f t="shared" si="82"/>
        <v>0</v>
      </c>
      <c r="S438" s="798">
        <f t="shared" si="83"/>
        <v>0</v>
      </c>
    </row>
    <row r="439" spans="1:19">
      <c r="A439" s="962"/>
      <c r="B439" s="137"/>
      <c r="C439" s="53">
        <f t="shared" si="74"/>
        <v>1</v>
      </c>
      <c r="D439" s="960"/>
      <c r="E439" s="53">
        <f t="shared" si="75"/>
        <v>0.1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9">
        <f t="shared" si="82"/>
        <v>0</v>
      </c>
      <c r="S439" s="798">
        <f t="shared" si="83"/>
        <v>0</v>
      </c>
    </row>
    <row r="440" spans="1:19">
      <c r="A440" s="962"/>
      <c r="B440" s="137"/>
      <c r="C440" s="53">
        <f t="shared" si="74"/>
        <v>1</v>
      </c>
      <c r="D440" s="960"/>
      <c r="E440" s="53">
        <f t="shared" si="75"/>
        <v>0.1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9">
        <f t="shared" si="82"/>
        <v>0</v>
      </c>
      <c r="S440" s="798">
        <f t="shared" si="83"/>
        <v>0</v>
      </c>
    </row>
    <row r="441" spans="1:19">
      <c r="A441" s="962"/>
      <c r="B441" s="137"/>
      <c r="C441" s="53">
        <f t="shared" si="74"/>
        <v>1</v>
      </c>
      <c r="D441" s="960"/>
      <c r="E441" s="53">
        <f t="shared" si="75"/>
        <v>0.1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9">
        <f t="shared" si="82"/>
        <v>0</v>
      </c>
      <c r="S441" s="798">
        <f t="shared" si="83"/>
        <v>0</v>
      </c>
    </row>
    <row r="442" spans="1:19">
      <c r="A442" s="962"/>
      <c r="B442" s="137"/>
      <c r="C442" s="53">
        <f t="shared" si="74"/>
        <v>1</v>
      </c>
      <c r="D442" s="960"/>
      <c r="E442" s="53">
        <f t="shared" si="75"/>
        <v>0.1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9">
        <f t="shared" si="82"/>
        <v>0</v>
      </c>
      <c r="S442" s="798">
        <f t="shared" si="83"/>
        <v>0</v>
      </c>
    </row>
    <row r="443" spans="1:19">
      <c r="A443" s="962"/>
      <c r="B443" s="137"/>
      <c r="C443" s="53">
        <f t="shared" si="74"/>
        <v>1</v>
      </c>
      <c r="D443" s="960"/>
      <c r="E443" s="53">
        <f t="shared" si="75"/>
        <v>0.1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9">
        <f t="shared" si="82"/>
        <v>0</v>
      </c>
      <c r="S443" s="798">
        <f t="shared" si="83"/>
        <v>0</v>
      </c>
    </row>
    <row r="444" spans="1:19">
      <c r="A444" s="962"/>
      <c r="B444" s="137"/>
      <c r="C444" s="53">
        <f t="shared" si="74"/>
        <v>1</v>
      </c>
      <c r="D444" s="960"/>
      <c r="E444" s="53">
        <f t="shared" si="75"/>
        <v>0.1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9">
        <f t="shared" si="82"/>
        <v>0</v>
      </c>
      <c r="S444" s="798">
        <f t="shared" si="83"/>
        <v>0</v>
      </c>
    </row>
    <row r="445" spans="1:19">
      <c r="A445" s="962"/>
      <c r="B445" s="137"/>
      <c r="C445" s="53">
        <f t="shared" si="74"/>
        <v>1</v>
      </c>
      <c r="D445" s="960"/>
      <c r="E445" s="53">
        <f t="shared" si="75"/>
        <v>0.1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9">
        <f t="shared" si="82"/>
        <v>0</v>
      </c>
      <c r="S445" s="798">
        <f t="shared" si="83"/>
        <v>0</v>
      </c>
    </row>
    <row r="446" spans="1:19">
      <c r="A446" s="962"/>
      <c r="B446" s="137"/>
      <c r="C446" s="53">
        <f t="shared" si="74"/>
        <v>1</v>
      </c>
      <c r="D446" s="960"/>
      <c r="E446" s="53">
        <f t="shared" si="75"/>
        <v>0.1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9">
        <f t="shared" si="82"/>
        <v>0</v>
      </c>
      <c r="S446" s="798">
        <f t="shared" si="83"/>
        <v>0</v>
      </c>
    </row>
    <row r="447" spans="1:19">
      <c r="A447" s="962"/>
      <c r="B447" s="137"/>
      <c r="C447" s="53">
        <f t="shared" si="74"/>
        <v>1</v>
      </c>
      <c r="D447" s="960"/>
      <c r="E447" s="53">
        <f t="shared" si="75"/>
        <v>0.1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9">
        <f t="shared" si="82"/>
        <v>0</v>
      </c>
      <c r="S447" s="798">
        <f t="shared" si="83"/>
        <v>0</v>
      </c>
    </row>
    <row r="448" spans="1:19">
      <c r="A448" s="962"/>
      <c r="B448" s="137"/>
      <c r="C448" s="53">
        <f t="shared" si="74"/>
        <v>1</v>
      </c>
      <c r="D448" s="960"/>
      <c r="E448" s="53">
        <f t="shared" si="75"/>
        <v>0.1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9">
        <f t="shared" si="82"/>
        <v>0</v>
      </c>
      <c r="S448" s="798">
        <f t="shared" si="83"/>
        <v>0</v>
      </c>
    </row>
    <row r="449" spans="1:19">
      <c r="A449" s="962"/>
      <c r="B449" s="137"/>
      <c r="C449" s="53">
        <f t="shared" si="74"/>
        <v>1</v>
      </c>
      <c r="D449" s="960"/>
      <c r="E449" s="53">
        <f t="shared" si="75"/>
        <v>0.1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9">
        <f t="shared" si="82"/>
        <v>0</v>
      </c>
      <c r="S449" s="798">
        <f t="shared" si="83"/>
        <v>0</v>
      </c>
    </row>
    <row r="450" spans="1:19">
      <c r="A450" s="962"/>
      <c r="B450" s="137"/>
      <c r="C450" s="53">
        <f t="shared" si="74"/>
        <v>1</v>
      </c>
      <c r="D450" s="960"/>
      <c r="E450" s="53">
        <f t="shared" si="75"/>
        <v>0.1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9">
        <f t="shared" si="82"/>
        <v>0</v>
      </c>
      <c r="S450" s="798">
        <f t="shared" si="83"/>
        <v>0</v>
      </c>
    </row>
    <row r="451" spans="1:19">
      <c r="A451" s="962"/>
      <c r="B451" s="137"/>
      <c r="C451" s="53">
        <f t="shared" si="74"/>
        <v>1</v>
      </c>
      <c r="D451" s="960"/>
      <c r="E451" s="53">
        <f t="shared" si="75"/>
        <v>0.1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9">
        <f t="shared" si="82"/>
        <v>0</v>
      </c>
      <c r="S451" s="798">
        <f t="shared" si="83"/>
        <v>0</v>
      </c>
    </row>
    <row r="452" spans="1:19">
      <c r="A452" s="962"/>
      <c r="B452" s="137"/>
      <c r="C452" s="53">
        <f t="shared" si="74"/>
        <v>1</v>
      </c>
      <c r="D452" s="960"/>
      <c r="E452" s="53">
        <f t="shared" si="75"/>
        <v>0.1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9">
        <f t="shared" si="82"/>
        <v>0</v>
      </c>
      <c r="S452" s="798">
        <f t="shared" si="83"/>
        <v>0</v>
      </c>
    </row>
    <row r="453" spans="1:19">
      <c r="A453" s="962"/>
      <c r="B453" s="137"/>
      <c r="C453" s="53">
        <f t="shared" si="74"/>
        <v>1</v>
      </c>
      <c r="D453" s="960"/>
      <c r="E453" s="53">
        <f t="shared" si="75"/>
        <v>0.1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9">
        <f t="shared" si="82"/>
        <v>0</v>
      </c>
      <c r="S453" s="798">
        <f t="shared" si="83"/>
        <v>0</v>
      </c>
    </row>
    <row r="454" spans="1:19">
      <c r="A454" s="962"/>
      <c r="B454" s="137"/>
      <c r="C454" s="53">
        <f t="shared" si="74"/>
        <v>1</v>
      </c>
      <c r="D454" s="960"/>
      <c r="E454" s="53">
        <f t="shared" si="75"/>
        <v>0.1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9">
        <f t="shared" si="82"/>
        <v>0</v>
      </c>
      <c r="S454" s="798">
        <f t="shared" si="83"/>
        <v>0</v>
      </c>
    </row>
    <row r="455" spans="1:19">
      <c r="A455" s="962"/>
      <c r="B455" s="137"/>
      <c r="C455" s="53">
        <f t="shared" si="74"/>
        <v>1</v>
      </c>
      <c r="D455" s="960"/>
      <c r="E455" s="53">
        <f t="shared" si="75"/>
        <v>0.1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9">
        <f t="shared" si="82"/>
        <v>0</v>
      </c>
      <c r="S455" s="798">
        <f t="shared" si="83"/>
        <v>0</v>
      </c>
    </row>
    <row r="456" spans="1:19">
      <c r="A456" s="962"/>
      <c r="B456" s="137"/>
      <c r="C456" s="53">
        <f t="shared" si="74"/>
        <v>1</v>
      </c>
      <c r="D456" s="960"/>
      <c r="E456" s="53">
        <f t="shared" si="75"/>
        <v>0.1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9">
        <f t="shared" si="82"/>
        <v>0</v>
      </c>
      <c r="S456" s="798">
        <f t="shared" si="83"/>
        <v>0</v>
      </c>
    </row>
    <row r="457" spans="1:19">
      <c r="A457" s="962"/>
      <c r="B457" s="137"/>
      <c r="C457" s="53">
        <f t="shared" si="74"/>
        <v>1</v>
      </c>
      <c r="D457" s="960"/>
      <c r="E457" s="53">
        <f t="shared" si="75"/>
        <v>0.1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9">
        <f t="shared" si="82"/>
        <v>0</v>
      </c>
      <c r="S457" s="798">
        <f t="shared" si="83"/>
        <v>0</v>
      </c>
    </row>
    <row r="458" spans="1:19">
      <c r="A458" s="962"/>
      <c r="B458" s="137"/>
      <c r="C458" s="53">
        <f t="shared" si="74"/>
        <v>1</v>
      </c>
      <c r="D458" s="960"/>
      <c r="E458" s="53">
        <f t="shared" si="75"/>
        <v>0.1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9">
        <f t="shared" si="82"/>
        <v>0</v>
      </c>
      <c r="S458" s="798">
        <f t="shared" si="83"/>
        <v>0</v>
      </c>
    </row>
    <row r="459" spans="1:19">
      <c r="A459" s="962"/>
      <c r="B459" s="137"/>
      <c r="C459" s="53">
        <f t="shared" si="74"/>
        <v>1</v>
      </c>
      <c r="D459" s="960"/>
      <c r="E459" s="53">
        <f t="shared" si="75"/>
        <v>0.1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9">
        <f t="shared" si="82"/>
        <v>0</v>
      </c>
      <c r="S459" s="798">
        <f t="shared" si="83"/>
        <v>0</v>
      </c>
    </row>
    <row r="460" spans="1:19">
      <c r="A460" s="962"/>
      <c r="B460" s="137"/>
      <c r="C460" s="53">
        <f t="shared" si="74"/>
        <v>1</v>
      </c>
      <c r="D460" s="960"/>
      <c r="E460" s="53">
        <f t="shared" si="75"/>
        <v>0.1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9">
        <f t="shared" si="82"/>
        <v>0</v>
      </c>
      <c r="S460" s="798">
        <f t="shared" si="83"/>
        <v>0</v>
      </c>
    </row>
    <row r="461" spans="1:19">
      <c r="A461" s="962"/>
      <c r="B461" s="137"/>
      <c r="C461" s="53">
        <f t="shared" si="74"/>
        <v>1</v>
      </c>
      <c r="D461" s="960"/>
      <c r="E461" s="53">
        <f t="shared" si="75"/>
        <v>0.1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9">
        <f t="shared" si="82"/>
        <v>0</v>
      </c>
      <c r="S461" s="798">
        <f t="shared" si="83"/>
        <v>0</v>
      </c>
    </row>
    <row r="462" spans="1:19">
      <c r="A462" s="962"/>
      <c r="B462" s="137"/>
      <c r="C462" s="53">
        <f t="shared" si="74"/>
        <v>1</v>
      </c>
      <c r="D462" s="960"/>
      <c r="E462" s="53">
        <f t="shared" si="75"/>
        <v>0.1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9">
        <f t="shared" si="82"/>
        <v>0</v>
      </c>
      <c r="S462" s="798">
        <f t="shared" si="83"/>
        <v>0</v>
      </c>
    </row>
    <row r="463" spans="1:19">
      <c r="A463" s="962"/>
      <c r="B463" s="137"/>
      <c r="C463" s="53">
        <f t="shared" si="74"/>
        <v>1</v>
      </c>
      <c r="D463" s="960"/>
      <c r="E463" s="53">
        <f t="shared" si="75"/>
        <v>0.1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9">
        <f t="shared" si="82"/>
        <v>0</v>
      </c>
      <c r="S463" s="798">
        <f t="shared" si="83"/>
        <v>0</v>
      </c>
    </row>
    <row r="464" spans="1:19">
      <c r="A464" s="962"/>
      <c r="B464" s="137"/>
      <c r="C464" s="53">
        <f t="shared" si="74"/>
        <v>1</v>
      </c>
      <c r="D464" s="960"/>
      <c r="E464" s="53">
        <f t="shared" si="75"/>
        <v>0.1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9">
        <f t="shared" si="82"/>
        <v>0</v>
      </c>
      <c r="S464" s="798">
        <f t="shared" si="83"/>
        <v>0</v>
      </c>
    </row>
    <row r="465" spans="1:19">
      <c r="A465" s="962"/>
      <c r="B465" s="137"/>
      <c r="C465" s="53">
        <f t="shared" si="74"/>
        <v>1</v>
      </c>
      <c r="D465" s="960"/>
      <c r="E465" s="53">
        <f t="shared" si="75"/>
        <v>0.1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9">
        <f t="shared" si="82"/>
        <v>0</v>
      </c>
      <c r="S465" s="798">
        <f t="shared" si="83"/>
        <v>0</v>
      </c>
    </row>
    <row r="466" spans="1:19">
      <c r="A466" s="962"/>
      <c r="B466" s="137"/>
      <c r="C466" s="53">
        <f t="shared" si="74"/>
        <v>1</v>
      </c>
      <c r="D466" s="960"/>
      <c r="E466" s="53">
        <f t="shared" si="75"/>
        <v>0.1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9">
        <f t="shared" si="82"/>
        <v>0</v>
      </c>
      <c r="S466" s="798">
        <f t="shared" si="83"/>
        <v>0</v>
      </c>
    </row>
    <row r="467" spans="1:19">
      <c r="A467" s="962"/>
      <c r="B467" s="137"/>
      <c r="C467" s="53">
        <f t="shared" si="74"/>
        <v>1</v>
      </c>
      <c r="D467" s="960"/>
      <c r="E467" s="53">
        <f t="shared" si="75"/>
        <v>0.1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9">
        <f t="shared" si="82"/>
        <v>0</v>
      </c>
      <c r="S467" s="798">
        <f t="shared" si="83"/>
        <v>0</v>
      </c>
    </row>
    <row r="468" spans="1:19">
      <c r="A468" s="962"/>
      <c r="B468" s="137"/>
      <c r="C468" s="53">
        <f t="shared" si="74"/>
        <v>1</v>
      </c>
      <c r="D468" s="960"/>
      <c r="E468" s="53">
        <f t="shared" si="75"/>
        <v>0.1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9">
        <f t="shared" si="82"/>
        <v>0</v>
      </c>
      <c r="S468" s="798">
        <f t="shared" ref="S468:S497" si="84">ROUND(R468*B468/10000,0)</f>
        <v>0</v>
      </c>
    </row>
    <row r="469" spans="1:19">
      <c r="A469" s="962"/>
      <c r="B469" s="137"/>
      <c r="C469" s="53">
        <f t="shared" si="74"/>
        <v>1</v>
      </c>
      <c r="D469" s="960"/>
      <c r="E469" s="53">
        <f t="shared" si="75"/>
        <v>0.1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9">
        <f t="shared" si="82"/>
        <v>0</v>
      </c>
      <c r="S469" s="798">
        <f t="shared" si="84"/>
        <v>0</v>
      </c>
    </row>
    <row r="470" spans="1:19">
      <c r="A470" s="962"/>
      <c r="B470" s="137"/>
      <c r="C470" s="53">
        <f t="shared" si="74"/>
        <v>1</v>
      </c>
      <c r="D470" s="960"/>
      <c r="E470" s="53">
        <f t="shared" si="75"/>
        <v>0.1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9">
        <f t="shared" si="82"/>
        <v>0</v>
      </c>
      <c r="S470" s="798">
        <f t="shared" si="84"/>
        <v>0</v>
      </c>
    </row>
    <row r="471" spans="1:19">
      <c r="A471" s="962"/>
      <c r="B471" s="137"/>
      <c r="C471" s="53">
        <f t="shared" si="74"/>
        <v>1</v>
      </c>
      <c r="D471" s="960"/>
      <c r="E471" s="53">
        <f t="shared" si="75"/>
        <v>0.1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9">
        <f t="shared" si="82"/>
        <v>0</v>
      </c>
      <c r="S471" s="798">
        <f t="shared" si="84"/>
        <v>0</v>
      </c>
    </row>
    <row r="472" spans="1:19">
      <c r="A472" s="962"/>
      <c r="B472" s="137"/>
      <c r="C472" s="53">
        <f t="shared" si="74"/>
        <v>1</v>
      </c>
      <c r="D472" s="960"/>
      <c r="E472" s="53">
        <f t="shared" si="75"/>
        <v>0.1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9">
        <f t="shared" si="82"/>
        <v>0</v>
      </c>
      <c r="S472" s="798">
        <f t="shared" si="84"/>
        <v>0</v>
      </c>
    </row>
    <row r="473" spans="1:19">
      <c r="A473" s="962"/>
      <c r="B473" s="137"/>
      <c r="C473" s="53">
        <f t="shared" si="74"/>
        <v>1</v>
      </c>
      <c r="D473" s="960"/>
      <c r="E473" s="53">
        <f t="shared" si="75"/>
        <v>0.1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9">
        <f t="shared" si="82"/>
        <v>0</v>
      </c>
      <c r="S473" s="798">
        <f t="shared" si="84"/>
        <v>0</v>
      </c>
    </row>
    <row r="474" spans="1:19">
      <c r="A474" s="962"/>
      <c r="B474" s="137"/>
      <c r="C474" s="53">
        <f t="shared" ref="C474:C524" si="85">IF(B474="",1,(LOOKUP(B474,$3:$3,$4:$4)-LOOKUP($B$24,$3:$3,$4:$4)+100)/100)</f>
        <v>1</v>
      </c>
      <c r="D474" s="960"/>
      <c r="E474" s="53">
        <f t="shared" ref="E474:E524" si="86">(SUMIF($5:$5,D474,$6:$6)-SUMIF($5:$5,$D$24,$6:$6)+100)/100</f>
        <v>0.1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9">
        <f t="shared" ref="R474:R524" si="93">IF(B474="",0,ROUND($R$24*C474*E474*G474*I474*K474*M474*O474*Q474,0))</f>
        <v>0</v>
      </c>
      <c r="S474" s="798">
        <f t="shared" si="84"/>
        <v>0</v>
      </c>
    </row>
    <row r="475" spans="1:19">
      <c r="A475" s="962"/>
      <c r="B475" s="137"/>
      <c r="C475" s="53">
        <f t="shared" si="85"/>
        <v>1</v>
      </c>
      <c r="D475" s="960"/>
      <c r="E475" s="53">
        <f t="shared" si="86"/>
        <v>0.1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9">
        <f t="shared" si="93"/>
        <v>0</v>
      </c>
      <c r="S475" s="798">
        <f t="shared" si="84"/>
        <v>0</v>
      </c>
    </row>
    <row r="476" spans="1:19">
      <c r="A476" s="962"/>
      <c r="B476" s="137"/>
      <c r="C476" s="53">
        <f t="shared" si="85"/>
        <v>1</v>
      </c>
      <c r="D476" s="960"/>
      <c r="E476" s="53">
        <f t="shared" si="86"/>
        <v>0.1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9">
        <f t="shared" si="93"/>
        <v>0</v>
      </c>
      <c r="S476" s="798">
        <f t="shared" si="84"/>
        <v>0</v>
      </c>
    </row>
    <row r="477" spans="1:19">
      <c r="A477" s="962"/>
      <c r="B477" s="137"/>
      <c r="C477" s="53">
        <f t="shared" si="85"/>
        <v>1</v>
      </c>
      <c r="D477" s="960"/>
      <c r="E477" s="53">
        <f t="shared" si="86"/>
        <v>0.1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9">
        <f t="shared" si="93"/>
        <v>0</v>
      </c>
      <c r="S477" s="798">
        <f t="shared" si="84"/>
        <v>0</v>
      </c>
    </row>
    <row r="478" spans="1:19">
      <c r="A478" s="962"/>
      <c r="B478" s="137"/>
      <c r="C478" s="53">
        <f t="shared" si="85"/>
        <v>1</v>
      </c>
      <c r="D478" s="960"/>
      <c r="E478" s="53">
        <f t="shared" si="86"/>
        <v>0.1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9">
        <f t="shared" si="93"/>
        <v>0</v>
      </c>
      <c r="S478" s="798">
        <f t="shared" si="84"/>
        <v>0</v>
      </c>
    </row>
    <row r="479" spans="1:19">
      <c r="A479" s="962"/>
      <c r="B479" s="137"/>
      <c r="C479" s="53">
        <f t="shared" si="85"/>
        <v>1</v>
      </c>
      <c r="D479" s="960"/>
      <c r="E479" s="53">
        <f t="shared" si="86"/>
        <v>0.1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9">
        <f t="shared" si="93"/>
        <v>0</v>
      </c>
      <c r="S479" s="798">
        <f t="shared" si="84"/>
        <v>0</v>
      </c>
    </row>
    <row r="480" spans="1:19">
      <c r="A480" s="962"/>
      <c r="B480" s="137"/>
      <c r="C480" s="53">
        <f t="shared" si="85"/>
        <v>1</v>
      </c>
      <c r="D480" s="960"/>
      <c r="E480" s="53">
        <f t="shared" si="86"/>
        <v>0.1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9">
        <f t="shared" si="93"/>
        <v>0</v>
      </c>
      <c r="S480" s="798">
        <f t="shared" si="84"/>
        <v>0</v>
      </c>
    </row>
    <row r="481" spans="1:19">
      <c r="A481" s="962"/>
      <c r="B481" s="137"/>
      <c r="C481" s="53">
        <f t="shared" si="85"/>
        <v>1</v>
      </c>
      <c r="D481" s="960"/>
      <c r="E481" s="53">
        <f t="shared" si="86"/>
        <v>0.1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9">
        <f t="shared" si="93"/>
        <v>0</v>
      </c>
      <c r="S481" s="798">
        <f t="shared" si="84"/>
        <v>0</v>
      </c>
    </row>
    <row r="482" spans="1:19">
      <c r="A482" s="962"/>
      <c r="B482" s="137"/>
      <c r="C482" s="53">
        <f t="shared" si="85"/>
        <v>1</v>
      </c>
      <c r="D482" s="960"/>
      <c r="E482" s="53">
        <f t="shared" si="86"/>
        <v>0.1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9">
        <f t="shared" si="93"/>
        <v>0</v>
      </c>
      <c r="S482" s="798">
        <f t="shared" si="84"/>
        <v>0</v>
      </c>
    </row>
    <row r="483" spans="1:19">
      <c r="A483" s="962"/>
      <c r="B483" s="137"/>
      <c r="C483" s="53">
        <f t="shared" si="85"/>
        <v>1</v>
      </c>
      <c r="D483" s="960"/>
      <c r="E483" s="53">
        <f t="shared" si="86"/>
        <v>0.1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9">
        <f t="shared" si="93"/>
        <v>0</v>
      </c>
      <c r="S483" s="798">
        <f t="shared" si="84"/>
        <v>0</v>
      </c>
    </row>
    <row r="484" spans="1:19">
      <c r="A484" s="962"/>
      <c r="B484" s="137"/>
      <c r="C484" s="53">
        <f t="shared" si="85"/>
        <v>1</v>
      </c>
      <c r="D484" s="960"/>
      <c r="E484" s="53">
        <f t="shared" si="86"/>
        <v>0.1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9">
        <f t="shared" si="93"/>
        <v>0</v>
      </c>
      <c r="S484" s="798">
        <f t="shared" si="84"/>
        <v>0</v>
      </c>
    </row>
    <row r="485" spans="1:19">
      <c r="A485" s="962"/>
      <c r="B485" s="137"/>
      <c r="C485" s="53">
        <f t="shared" si="85"/>
        <v>1</v>
      </c>
      <c r="D485" s="960"/>
      <c r="E485" s="53">
        <f t="shared" si="86"/>
        <v>0.1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9">
        <f t="shared" si="93"/>
        <v>0</v>
      </c>
      <c r="S485" s="798">
        <f t="shared" si="84"/>
        <v>0</v>
      </c>
    </row>
    <row r="486" spans="1:19">
      <c r="A486" s="962"/>
      <c r="B486" s="137"/>
      <c r="C486" s="53">
        <f t="shared" si="85"/>
        <v>1</v>
      </c>
      <c r="D486" s="960"/>
      <c r="E486" s="53">
        <f t="shared" si="86"/>
        <v>0.1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9">
        <f t="shared" si="93"/>
        <v>0</v>
      </c>
      <c r="S486" s="798">
        <f t="shared" si="84"/>
        <v>0</v>
      </c>
    </row>
    <row r="487" spans="1:19">
      <c r="A487" s="962"/>
      <c r="B487" s="137"/>
      <c r="C487" s="53">
        <f t="shared" si="85"/>
        <v>1</v>
      </c>
      <c r="D487" s="960"/>
      <c r="E487" s="53">
        <f t="shared" si="86"/>
        <v>0.1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9">
        <f t="shared" si="93"/>
        <v>0</v>
      </c>
      <c r="S487" s="798">
        <f t="shared" si="84"/>
        <v>0</v>
      </c>
    </row>
    <row r="488" spans="1:19">
      <c r="A488" s="962"/>
      <c r="B488" s="137"/>
      <c r="C488" s="53">
        <f t="shared" si="85"/>
        <v>1</v>
      </c>
      <c r="D488" s="960"/>
      <c r="E488" s="53">
        <f t="shared" si="86"/>
        <v>0.1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9">
        <f t="shared" si="93"/>
        <v>0</v>
      </c>
      <c r="S488" s="798">
        <f t="shared" si="84"/>
        <v>0</v>
      </c>
    </row>
    <row r="489" spans="1:19">
      <c r="A489" s="962"/>
      <c r="B489" s="137"/>
      <c r="C489" s="53">
        <f t="shared" si="85"/>
        <v>1</v>
      </c>
      <c r="D489" s="960"/>
      <c r="E489" s="53">
        <f t="shared" si="86"/>
        <v>0.1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9">
        <f t="shared" si="93"/>
        <v>0</v>
      </c>
      <c r="S489" s="798">
        <f t="shared" si="84"/>
        <v>0</v>
      </c>
    </row>
    <row r="490" spans="1:19">
      <c r="A490" s="962"/>
      <c r="B490" s="137"/>
      <c r="C490" s="53">
        <f t="shared" si="85"/>
        <v>1</v>
      </c>
      <c r="D490" s="960"/>
      <c r="E490" s="53">
        <f t="shared" si="86"/>
        <v>0.1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9">
        <f t="shared" si="93"/>
        <v>0</v>
      </c>
      <c r="S490" s="798">
        <f t="shared" si="84"/>
        <v>0</v>
      </c>
    </row>
    <row r="491" spans="1:19">
      <c r="A491" s="962"/>
      <c r="B491" s="137"/>
      <c r="C491" s="53">
        <f t="shared" si="85"/>
        <v>1</v>
      </c>
      <c r="D491" s="960"/>
      <c r="E491" s="53">
        <f t="shared" si="86"/>
        <v>0.1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9">
        <f t="shared" si="93"/>
        <v>0</v>
      </c>
      <c r="S491" s="798">
        <f t="shared" si="84"/>
        <v>0</v>
      </c>
    </row>
    <row r="492" spans="1:19">
      <c r="A492" s="962"/>
      <c r="B492" s="137"/>
      <c r="C492" s="53">
        <f t="shared" si="85"/>
        <v>1</v>
      </c>
      <c r="D492" s="960"/>
      <c r="E492" s="53">
        <f t="shared" si="86"/>
        <v>0.1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9">
        <f t="shared" si="93"/>
        <v>0</v>
      </c>
      <c r="S492" s="798">
        <f t="shared" si="84"/>
        <v>0</v>
      </c>
    </row>
    <row r="493" spans="1:19">
      <c r="A493" s="962"/>
      <c r="B493" s="137"/>
      <c r="C493" s="53">
        <f t="shared" si="85"/>
        <v>1</v>
      </c>
      <c r="D493" s="960"/>
      <c r="E493" s="53">
        <f t="shared" si="86"/>
        <v>0.1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9">
        <f t="shared" si="93"/>
        <v>0</v>
      </c>
      <c r="S493" s="798">
        <f t="shared" si="84"/>
        <v>0</v>
      </c>
    </row>
    <row r="494" spans="1:19">
      <c r="A494" s="962"/>
      <c r="B494" s="137"/>
      <c r="C494" s="53">
        <f t="shared" si="85"/>
        <v>1</v>
      </c>
      <c r="D494" s="960"/>
      <c r="E494" s="53">
        <f t="shared" si="86"/>
        <v>0.1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9">
        <f t="shared" si="93"/>
        <v>0</v>
      </c>
      <c r="S494" s="798">
        <f t="shared" si="84"/>
        <v>0</v>
      </c>
    </row>
    <row r="495" spans="1:19">
      <c r="A495" s="962"/>
      <c r="B495" s="137"/>
      <c r="C495" s="53">
        <f t="shared" si="85"/>
        <v>1</v>
      </c>
      <c r="D495" s="960"/>
      <c r="E495" s="53">
        <f t="shared" si="86"/>
        <v>0.1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9">
        <f t="shared" si="93"/>
        <v>0</v>
      </c>
      <c r="S495" s="798">
        <f t="shared" si="84"/>
        <v>0</v>
      </c>
    </row>
    <row r="496" spans="1:19">
      <c r="A496" s="962"/>
      <c r="B496" s="137"/>
      <c r="C496" s="53">
        <f t="shared" si="85"/>
        <v>1</v>
      </c>
      <c r="D496" s="960"/>
      <c r="E496" s="53">
        <f t="shared" si="86"/>
        <v>0.1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9">
        <f t="shared" si="93"/>
        <v>0</v>
      </c>
      <c r="S496" s="798">
        <f t="shared" si="84"/>
        <v>0</v>
      </c>
    </row>
    <row r="497" spans="1:19">
      <c r="A497" s="962"/>
      <c r="B497" s="137"/>
      <c r="C497" s="53">
        <f t="shared" si="85"/>
        <v>1</v>
      </c>
      <c r="D497" s="960"/>
      <c r="E497" s="53">
        <f t="shared" si="86"/>
        <v>0.1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9">
        <f t="shared" si="93"/>
        <v>0</v>
      </c>
      <c r="S497" s="798">
        <f t="shared" si="84"/>
        <v>0</v>
      </c>
    </row>
    <row r="498" spans="1:19">
      <c r="A498" s="962"/>
      <c r="B498" s="137"/>
      <c r="C498" s="53">
        <f t="shared" si="85"/>
        <v>1</v>
      </c>
      <c r="D498" s="960"/>
      <c r="E498" s="53">
        <f t="shared" si="86"/>
        <v>0.1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9">
        <f t="shared" si="93"/>
        <v>0</v>
      </c>
      <c r="S498" s="798">
        <f t="shared" ref="S498:S524" si="94">ROUND(R498*B498/10000,0)</f>
        <v>0</v>
      </c>
    </row>
    <row r="499" spans="1:19">
      <c r="A499" s="962"/>
      <c r="B499" s="137"/>
      <c r="C499" s="53">
        <f t="shared" si="85"/>
        <v>1</v>
      </c>
      <c r="D499" s="960"/>
      <c r="E499" s="53">
        <f t="shared" si="86"/>
        <v>0.1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9">
        <f t="shared" si="93"/>
        <v>0</v>
      </c>
      <c r="S499" s="798">
        <f t="shared" si="94"/>
        <v>0</v>
      </c>
    </row>
    <row r="500" spans="1:19">
      <c r="A500" s="962"/>
      <c r="B500" s="137"/>
      <c r="C500" s="53">
        <f t="shared" si="85"/>
        <v>1</v>
      </c>
      <c r="D500" s="960"/>
      <c r="E500" s="53">
        <f t="shared" si="86"/>
        <v>0.1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9">
        <f t="shared" si="93"/>
        <v>0</v>
      </c>
      <c r="S500" s="798">
        <f t="shared" si="94"/>
        <v>0</v>
      </c>
    </row>
    <row r="501" spans="1:19">
      <c r="A501" s="962"/>
      <c r="B501" s="137"/>
      <c r="C501" s="53">
        <f t="shared" si="85"/>
        <v>1</v>
      </c>
      <c r="D501" s="960"/>
      <c r="E501" s="53">
        <f t="shared" si="86"/>
        <v>0.1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9">
        <f t="shared" si="93"/>
        <v>0</v>
      </c>
      <c r="S501" s="798">
        <f t="shared" si="94"/>
        <v>0</v>
      </c>
    </row>
    <row r="502" spans="1:19">
      <c r="A502" s="962"/>
      <c r="B502" s="137"/>
      <c r="C502" s="53">
        <f t="shared" si="85"/>
        <v>1</v>
      </c>
      <c r="D502" s="960"/>
      <c r="E502" s="53">
        <f t="shared" si="86"/>
        <v>0.1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9">
        <f t="shared" si="93"/>
        <v>0</v>
      </c>
      <c r="S502" s="798">
        <f t="shared" si="94"/>
        <v>0</v>
      </c>
    </row>
    <row r="503" spans="1:19">
      <c r="A503" s="962"/>
      <c r="B503" s="137"/>
      <c r="C503" s="53">
        <f t="shared" si="85"/>
        <v>1</v>
      </c>
      <c r="D503" s="960"/>
      <c r="E503" s="53">
        <f t="shared" si="86"/>
        <v>0.1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9">
        <f t="shared" si="93"/>
        <v>0</v>
      </c>
      <c r="S503" s="798">
        <f t="shared" si="94"/>
        <v>0</v>
      </c>
    </row>
    <row r="504" spans="1:19">
      <c r="A504" s="962"/>
      <c r="B504" s="137"/>
      <c r="C504" s="53">
        <f t="shared" si="85"/>
        <v>1</v>
      </c>
      <c r="D504" s="960"/>
      <c r="E504" s="53">
        <f t="shared" si="86"/>
        <v>0.1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9">
        <f t="shared" si="93"/>
        <v>0</v>
      </c>
      <c r="S504" s="798">
        <f t="shared" si="94"/>
        <v>0</v>
      </c>
    </row>
    <row r="505" spans="1:19">
      <c r="A505" s="962"/>
      <c r="B505" s="137"/>
      <c r="C505" s="53">
        <f t="shared" si="85"/>
        <v>1</v>
      </c>
      <c r="D505" s="960"/>
      <c r="E505" s="53">
        <f t="shared" si="86"/>
        <v>0.1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9">
        <f t="shared" si="93"/>
        <v>0</v>
      </c>
      <c r="S505" s="798">
        <f t="shared" si="94"/>
        <v>0</v>
      </c>
    </row>
    <row r="506" spans="1:19">
      <c r="A506" s="962"/>
      <c r="B506" s="137"/>
      <c r="C506" s="53">
        <f t="shared" si="85"/>
        <v>1</v>
      </c>
      <c r="D506" s="960"/>
      <c r="E506" s="53">
        <f t="shared" si="86"/>
        <v>0.1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9">
        <f t="shared" si="93"/>
        <v>0</v>
      </c>
      <c r="S506" s="798">
        <f t="shared" si="94"/>
        <v>0</v>
      </c>
    </row>
    <row r="507" spans="1:19">
      <c r="A507" s="962"/>
      <c r="B507" s="137"/>
      <c r="C507" s="53">
        <f t="shared" si="85"/>
        <v>1</v>
      </c>
      <c r="D507" s="960"/>
      <c r="E507" s="53">
        <f t="shared" si="86"/>
        <v>0.1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9">
        <f t="shared" si="93"/>
        <v>0</v>
      </c>
      <c r="S507" s="798">
        <f t="shared" si="94"/>
        <v>0</v>
      </c>
    </row>
    <row r="508" spans="1:19">
      <c r="A508" s="962"/>
      <c r="B508" s="137"/>
      <c r="C508" s="53">
        <f t="shared" si="85"/>
        <v>1</v>
      </c>
      <c r="D508" s="960"/>
      <c r="E508" s="53">
        <f t="shared" si="86"/>
        <v>0.1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9">
        <f t="shared" si="93"/>
        <v>0</v>
      </c>
      <c r="S508" s="798">
        <f t="shared" si="94"/>
        <v>0</v>
      </c>
    </row>
    <row r="509" spans="1:19">
      <c r="A509" s="962"/>
      <c r="B509" s="137"/>
      <c r="C509" s="53">
        <f t="shared" si="85"/>
        <v>1</v>
      </c>
      <c r="D509" s="960"/>
      <c r="E509" s="53">
        <f t="shared" si="86"/>
        <v>0.1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9">
        <f t="shared" si="93"/>
        <v>0</v>
      </c>
      <c r="S509" s="798">
        <f t="shared" si="94"/>
        <v>0</v>
      </c>
    </row>
    <row r="510" spans="1:19">
      <c r="A510" s="962"/>
      <c r="B510" s="137"/>
      <c r="C510" s="53">
        <f t="shared" si="85"/>
        <v>1</v>
      </c>
      <c r="D510" s="960"/>
      <c r="E510" s="53">
        <f t="shared" si="86"/>
        <v>0.1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9">
        <f t="shared" si="93"/>
        <v>0</v>
      </c>
      <c r="S510" s="798">
        <f t="shared" si="94"/>
        <v>0</v>
      </c>
    </row>
    <row r="511" spans="1:19">
      <c r="A511" s="962"/>
      <c r="B511" s="137"/>
      <c r="C511" s="53">
        <f t="shared" si="85"/>
        <v>1</v>
      </c>
      <c r="D511" s="960"/>
      <c r="E511" s="53">
        <f t="shared" si="86"/>
        <v>0.1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9">
        <f t="shared" si="93"/>
        <v>0</v>
      </c>
      <c r="S511" s="798">
        <f t="shared" si="94"/>
        <v>0</v>
      </c>
    </row>
    <row r="512" spans="1:19">
      <c r="A512" s="962"/>
      <c r="B512" s="137"/>
      <c r="C512" s="53">
        <f t="shared" si="85"/>
        <v>1</v>
      </c>
      <c r="D512" s="960"/>
      <c r="E512" s="53">
        <f t="shared" si="86"/>
        <v>0.1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9">
        <f t="shared" si="93"/>
        <v>0</v>
      </c>
      <c r="S512" s="798">
        <f t="shared" si="94"/>
        <v>0</v>
      </c>
    </row>
    <row r="513" spans="1:19">
      <c r="A513" s="962"/>
      <c r="B513" s="137"/>
      <c r="C513" s="53">
        <f t="shared" si="85"/>
        <v>1</v>
      </c>
      <c r="D513" s="960"/>
      <c r="E513" s="53">
        <f t="shared" si="86"/>
        <v>0.1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9">
        <f t="shared" si="93"/>
        <v>0</v>
      </c>
      <c r="S513" s="798">
        <f t="shared" si="94"/>
        <v>0</v>
      </c>
    </row>
    <row r="514" spans="1:19">
      <c r="A514" s="962"/>
      <c r="B514" s="137"/>
      <c r="C514" s="53">
        <f t="shared" si="85"/>
        <v>1</v>
      </c>
      <c r="D514" s="960"/>
      <c r="E514" s="53">
        <f t="shared" si="86"/>
        <v>0.1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9">
        <f t="shared" si="93"/>
        <v>0</v>
      </c>
      <c r="S514" s="798">
        <f t="shared" si="94"/>
        <v>0</v>
      </c>
    </row>
    <row r="515" spans="1:19">
      <c r="A515" s="962"/>
      <c r="B515" s="137"/>
      <c r="C515" s="53">
        <f t="shared" si="85"/>
        <v>1</v>
      </c>
      <c r="D515" s="960"/>
      <c r="E515" s="53">
        <f t="shared" si="86"/>
        <v>0.1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9">
        <f t="shared" si="93"/>
        <v>0</v>
      </c>
      <c r="S515" s="798">
        <f t="shared" si="94"/>
        <v>0</v>
      </c>
    </row>
    <row r="516" spans="1:19">
      <c r="A516" s="962"/>
      <c r="B516" s="137"/>
      <c r="C516" s="53">
        <f t="shared" si="85"/>
        <v>1</v>
      </c>
      <c r="D516" s="960"/>
      <c r="E516" s="53">
        <f t="shared" si="86"/>
        <v>0.1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9">
        <f t="shared" si="93"/>
        <v>0</v>
      </c>
      <c r="S516" s="798">
        <f t="shared" si="94"/>
        <v>0</v>
      </c>
    </row>
    <row r="517" spans="1:19">
      <c r="A517" s="962"/>
      <c r="B517" s="137"/>
      <c r="C517" s="53">
        <f t="shared" si="85"/>
        <v>1</v>
      </c>
      <c r="D517" s="960"/>
      <c r="E517" s="53">
        <f t="shared" si="86"/>
        <v>0.1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9">
        <f t="shared" si="93"/>
        <v>0</v>
      </c>
      <c r="S517" s="798">
        <f t="shared" si="94"/>
        <v>0</v>
      </c>
    </row>
    <row r="518" spans="1:19">
      <c r="A518" s="962"/>
      <c r="B518" s="137"/>
      <c r="C518" s="53">
        <f t="shared" si="85"/>
        <v>1</v>
      </c>
      <c r="D518" s="960"/>
      <c r="E518" s="53">
        <f t="shared" si="86"/>
        <v>0.1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9">
        <f t="shared" si="93"/>
        <v>0</v>
      </c>
      <c r="S518" s="798">
        <f t="shared" si="94"/>
        <v>0</v>
      </c>
    </row>
    <row r="519" spans="1:19">
      <c r="A519" s="962"/>
      <c r="B519" s="137"/>
      <c r="C519" s="53">
        <f t="shared" si="85"/>
        <v>1</v>
      </c>
      <c r="D519" s="960"/>
      <c r="E519" s="53">
        <f t="shared" si="86"/>
        <v>0.1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9">
        <f t="shared" si="93"/>
        <v>0</v>
      </c>
      <c r="S519" s="798">
        <f t="shared" si="94"/>
        <v>0</v>
      </c>
    </row>
    <row r="520" spans="1:19">
      <c r="A520" s="962"/>
      <c r="B520" s="137"/>
      <c r="C520" s="53">
        <f t="shared" si="85"/>
        <v>1</v>
      </c>
      <c r="D520" s="960"/>
      <c r="E520" s="53">
        <f t="shared" si="86"/>
        <v>0.1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9">
        <f t="shared" si="93"/>
        <v>0</v>
      </c>
      <c r="S520" s="798">
        <f t="shared" si="94"/>
        <v>0</v>
      </c>
    </row>
    <row r="521" spans="1:19">
      <c r="A521" s="962"/>
      <c r="B521" s="137"/>
      <c r="C521" s="53">
        <f t="shared" si="85"/>
        <v>1</v>
      </c>
      <c r="D521" s="960"/>
      <c r="E521" s="53">
        <f t="shared" si="86"/>
        <v>0.1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9">
        <f t="shared" si="93"/>
        <v>0</v>
      </c>
      <c r="S521" s="798">
        <f t="shared" si="94"/>
        <v>0</v>
      </c>
    </row>
    <row r="522" spans="1:19">
      <c r="A522" s="962"/>
      <c r="B522" s="137"/>
      <c r="C522" s="53">
        <f t="shared" si="85"/>
        <v>1</v>
      </c>
      <c r="D522" s="960"/>
      <c r="E522" s="53">
        <f t="shared" si="86"/>
        <v>0.1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9">
        <f t="shared" si="93"/>
        <v>0</v>
      </c>
      <c r="S522" s="798">
        <f t="shared" si="94"/>
        <v>0</v>
      </c>
    </row>
    <row r="523" spans="1:19">
      <c r="A523" s="962"/>
      <c r="B523" s="137"/>
      <c r="C523" s="53">
        <f t="shared" si="85"/>
        <v>1</v>
      </c>
      <c r="D523" s="960"/>
      <c r="E523" s="53">
        <f t="shared" si="86"/>
        <v>0.1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9">
        <f t="shared" si="93"/>
        <v>0</v>
      </c>
      <c r="S523" s="798">
        <f t="shared" si="94"/>
        <v>0</v>
      </c>
    </row>
    <row r="524" spans="1:19">
      <c r="A524" s="962"/>
      <c r="B524" s="137"/>
      <c r="C524" s="53">
        <f t="shared" si="85"/>
        <v>1</v>
      </c>
      <c r="D524" s="960"/>
      <c r="E524" s="53">
        <f t="shared" si="86"/>
        <v>0.1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topLeftCell="K1" workbookViewId="0">
      <selection activeCell="P40" sqref="P40"/>
    </sheetView>
  </sheetViews>
  <sheetFormatPr defaultRowHeight="13.5"/>
  <cols>
    <col min="1" max="1" width="56.375" style="2914" customWidth="1"/>
    <col min="2" max="2" width="6.25" style="2914" customWidth="1"/>
    <col min="3" max="3" width="11.75" style="2914" customWidth="1"/>
    <col min="4" max="4" width="4.625" style="2914" customWidth="1"/>
    <col min="5" max="5" width="32.75" style="2914" customWidth="1"/>
    <col min="6" max="6" width="7.875" style="2914" customWidth="1"/>
    <col min="7" max="7" width="21.125" style="2914" customWidth="1"/>
    <col min="8" max="8" width="25.125" style="2914" customWidth="1"/>
    <col min="9" max="10" width="13.875" style="2914" customWidth="1"/>
    <col min="11" max="11" width="6.75" style="2914" customWidth="1"/>
    <col min="12" max="12" width="9" style="2914" customWidth="1"/>
    <col min="13" max="13" width="21.125" style="2914" customWidth="1"/>
    <col min="14" max="14" width="26.875" style="2914" customWidth="1"/>
    <col min="15" max="15" width="10.625" style="2914" customWidth="1"/>
    <col min="16" max="16" width="16" style="2914" customWidth="1"/>
    <col min="17" max="17" width="14.375" style="2914" customWidth="1"/>
    <col min="18" max="18" width="6.25" style="2914" customWidth="1"/>
    <col min="19" max="19" width="23" style="2914" customWidth="1"/>
    <col min="20" max="20" width="7.875" style="2914" customWidth="1"/>
    <col min="21" max="256" width="9" style="2914"/>
    <col min="257" max="257" width="56.375" style="2914" customWidth="1"/>
    <col min="258" max="258" width="6.25" style="2914" customWidth="1"/>
    <col min="259" max="259" width="11.75" style="2914" customWidth="1"/>
    <col min="260" max="260" width="4.625" style="2914" customWidth="1"/>
    <col min="261" max="261" width="32.75" style="2914" customWidth="1"/>
    <col min="262" max="262" width="7.875" style="2914" customWidth="1"/>
    <col min="263" max="263" width="21.125" style="2914" customWidth="1"/>
    <col min="264" max="264" width="25.125" style="2914" customWidth="1"/>
    <col min="265" max="266" width="13.875" style="2914" customWidth="1"/>
    <col min="267" max="267" width="6.75" style="2914" customWidth="1"/>
    <col min="268" max="268" width="9" style="2914" customWidth="1"/>
    <col min="269" max="269" width="21.125" style="2914" customWidth="1"/>
    <col min="270" max="270" width="26.875" style="2914" customWidth="1"/>
    <col min="271" max="271" width="10.625" style="2914" customWidth="1"/>
    <col min="272" max="272" width="16" style="2914" customWidth="1"/>
    <col min="273" max="273" width="14.375" style="2914" customWidth="1"/>
    <col min="274" max="274" width="6.25" style="2914" customWidth="1"/>
    <col min="275" max="275" width="23" style="2914" customWidth="1"/>
    <col min="276" max="276" width="7.875" style="2914" customWidth="1"/>
    <col min="277" max="512" width="9" style="2914"/>
    <col min="513" max="513" width="56.375" style="2914" customWidth="1"/>
    <col min="514" max="514" width="6.25" style="2914" customWidth="1"/>
    <col min="515" max="515" width="11.75" style="2914" customWidth="1"/>
    <col min="516" max="516" width="4.625" style="2914" customWidth="1"/>
    <col min="517" max="517" width="32.75" style="2914" customWidth="1"/>
    <col min="518" max="518" width="7.875" style="2914" customWidth="1"/>
    <col min="519" max="519" width="21.125" style="2914" customWidth="1"/>
    <col min="520" max="520" width="25.125" style="2914" customWidth="1"/>
    <col min="521" max="522" width="13.875" style="2914" customWidth="1"/>
    <col min="523" max="523" width="6.75" style="2914" customWidth="1"/>
    <col min="524" max="524" width="9" style="2914" customWidth="1"/>
    <col min="525" max="525" width="21.125" style="2914" customWidth="1"/>
    <col min="526" max="526" width="26.875" style="2914" customWidth="1"/>
    <col min="527" max="527" width="10.625" style="2914" customWidth="1"/>
    <col min="528" max="528" width="16" style="2914" customWidth="1"/>
    <col min="529" max="529" width="14.375" style="2914" customWidth="1"/>
    <col min="530" max="530" width="6.25" style="2914" customWidth="1"/>
    <col min="531" max="531" width="23" style="2914" customWidth="1"/>
    <col min="532" max="532" width="7.875" style="2914" customWidth="1"/>
    <col min="533" max="768" width="9" style="2914"/>
    <col min="769" max="769" width="56.375" style="2914" customWidth="1"/>
    <col min="770" max="770" width="6.25" style="2914" customWidth="1"/>
    <col min="771" max="771" width="11.75" style="2914" customWidth="1"/>
    <col min="772" max="772" width="4.625" style="2914" customWidth="1"/>
    <col min="773" max="773" width="32.75" style="2914" customWidth="1"/>
    <col min="774" max="774" width="7.875" style="2914" customWidth="1"/>
    <col min="775" max="775" width="21.125" style="2914" customWidth="1"/>
    <col min="776" max="776" width="25.125" style="2914" customWidth="1"/>
    <col min="777" max="778" width="13.875" style="2914" customWidth="1"/>
    <col min="779" max="779" width="6.75" style="2914" customWidth="1"/>
    <col min="780" max="780" width="9" style="2914" customWidth="1"/>
    <col min="781" max="781" width="21.125" style="2914" customWidth="1"/>
    <col min="782" max="782" width="26.875" style="2914" customWidth="1"/>
    <col min="783" max="783" width="10.625" style="2914" customWidth="1"/>
    <col min="784" max="784" width="16" style="2914" customWidth="1"/>
    <col min="785" max="785" width="14.375" style="2914" customWidth="1"/>
    <col min="786" max="786" width="6.25" style="2914" customWidth="1"/>
    <col min="787" max="787" width="23" style="2914" customWidth="1"/>
    <col min="788" max="788" width="7.875" style="2914" customWidth="1"/>
    <col min="789" max="1024" width="9" style="2914"/>
    <col min="1025" max="1025" width="56.375" style="2914" customWidth="1"/>
    <col min="1026" max="1026" width="6.25" style="2914" customWidth="1"/>
    <col min="1027" max="1027" width="11.75" style="2914" customWidth="1"/>
    <col min="1028" max="1028" width="4.625" style="2914" customWidth="1"/>
    <col min="1029" max="1029" width="32.75" style="2914" customWidth="1"/>
    <col min="1030" max="1030" width="7.875" style="2914" customWidth="1"/>
    <col min="1031" max="1031" width="21.125" style="2914" customWidth="1"/>
    <col min="1032" max="1032" width="25.125" style="2914" customWidth="1"/>
    <col min="1033" max="1034" width="13.875" style="2914" customWidth="1"/>
    <col min="1035" max="1035" width="6.75" style="2914" customWidth="1"/>
    <col min="1036" max="1036" width="9" style="2914" customWidth="1"/>
    <col min="1037" max="1037" width="21.125" style="2914" customWidth="1"/>
    <col min="1038" max="1038" width="26.875" style="2914" customWidth="1"/>
    <col min="1039" max="1039" width="10.625" style="2914" customWidth="1"/>
    <col min="1040" max="1040" width="16" style="2914" customWidth="1"/>
    <col min="1041" max="1041" width="14.375" style="2914" customWidth="1"/>
    <col min="1042" max="1042" width="6.25" style="2914" customWidth="1"/>
    <col min="1043" max="1043" width="23" style="2914" customWidth="1"/>
    <col min="1044" max="1044" width="7.875" style="2914" customWidth="1"/>
    <col min="1045" max="1280" width="9" style="2914"/>
    <col min="1281" max="1281" width="56.375" style="2914" customWidth="1"/>
    <col min="1282" max="1282" width="6.25" style="2914" customWidth="1"/>
    <col min="1283" max="1283" width="11.75" style="2914" customWidth="1"/>
    <col min="1284" max="1284" width="4.625" style="2914" customWidth="1"/>
    <col min="1285" max="1285" width="32.75" style="2914" customWidth="1"/>
    <col min="1286" max="1286" width="7.875" style="2914" customWidth="1"/>
    <col min="1287" max="1287" width="21.125" style="2914" customWidth="1"/>
    <col min="1288" max="1288" width="25.125" style="2914" customWidth="1"/>
    <col min="1289" max="1290" width="13.875" style="2914" customWidth="1"/>
    <col min="1291" max="1291" width="6.75" style="2914" customWidth="1"/>
    <col min="1292" max="1292" width="9" style="2914" customWidth="1"/>
    <col min="1293" max="1293" width="21.125" style="2914" customWidth="1"/>
    <col min="1294" max="1294" width="26.875" style="2914" customWidth="1"/>
    <col min="1295" max="1295" width="10.625" style="2914" customWidth="1"/>
    <col min="1296" max="1296" width="16" style="2914" customWidth="1"/>
    <col min="1297" max="1297" width="14.375" style="2914" customWidth="1"/>
    <col min="1298" max="1298" width="6.25" style="2914" customWidth="1"/>
    <col min="1299" max="1299" width="23" style="2914" customWidth="1"/>
    <col min="1300" max="1300" width="7.875" style="2914" customWidth="1"/>
    <col min="1301" max="1536" width="9" style="2914"/>
    <col min="1537" max="1537" width="56.375" style="2914" customWidth="1"/>
    <col min="1538" max="1538" width="6.25" style="2914" customWidth="1"/>
    <col min="1539" max="1539" width="11.75" style="2914" customWidth="1"/>
    <col min="1540" max="1540" width="4.625" style="2914" customWidth="1"/>
    <col min="1541" max="1541" width="32.75" style="2914" customWidth="1"/>
    <col min="1542" max="1542" width="7.875" style="2914" customWidth="1"/>
    <col min="1543" max="1543" width="21.125" style="2914" customWidth="1"/>
    <col min="1544" max="1544" width="25.125" style="2914" customWidth="1"/>
    <col min="1545" max="1546" width="13.875" style="2914" customWidth="1"/>
    <col min="1547" max="1547" width="6.75" style="2914" customWidth="1"/>
    <col min="1548" max="1548" width="9" style="2914" customWidth="1"/>
    <col min="1549" max="1549" width="21.125" style="2914" customWidth="1"/>
    <col min="1550" max="1550" width="26.875" style="2914" customWidth="1"/>
    <col min="1551" max="1551" width="10.625" style="2914" customWidth="1"/>
    <col min="1552" max="1552" width="16" style="2914" customWidth="1"/>
    <col min="1553" max="1553" width="14.375" style="2914" customWidth="1"/>
    <col min="1554" max="1554" width="6.25" style="2914" customWidth="1"/>
    <col min="1555" max="1555" width="23" style="2914" customWidth="1"/>
    <col min="1556" max="1556" width="7.875" style="2914" customWidth="1"/>
    <col min="1557" max="1792" width="9" style="2914"/>
    <col min="1793" max="1793" width="56.375" style="2914" customWidth="1"/>
    <col min="1794" max="1794" width="6.25" style="2914" customWidth="1"/>
    <col min="1795" max="1795" width="11.75" style="2914" customWidth="1"/>
    <col min="1796" max="1796" width="4.625" style="2914" customWidth="1"/>
    <col min="1797" max="1797" width="32.75" style="2914" customWidth="1"/>
    <col min="1798" max="1798" width="7.875" style="2914" customWidth="1"/>
    <col min="1799" max="1799" width="21.125" style="2914" customWidth="1"/>
    <col min="1800" max="1800" width="25.125" style="2914" customWidth="1"/>
    <col min="1801" max="1802" width="13.875" style="2914" customWidth="1"/>
    <col min="1803" max="1803" width="6.75" style="2914" customWidth="1"/>
    <col min="1804" max="1804" width="9" style="2914" customWidth="1"/>
    <col min="1805" max="1805" width="21.125" style="2914" customWidth="1"/>
    <col min="1806" max="1806" width="26.875" style="2914" customWidth="1"/>
    <col min="1807" max="1807" width="10.625" style="2914" customWidth="1"/>
    <col min="1808" max="1808" width="16" style="2914" customWidth="1"/>
    <col min="1809" max="1809" width="14.375" style="2914" customWidth="1"/>
    <col min="1810" max="1810" width="6.25" style="2914" customWidth="1"/>
    <col min="1811" max="1811" width="23" style="2914" customWidth="1"/>
    <col min="1812" max="1812" width="7.875" style="2914" customWidth="1"/>
    <col min="1813" max="2048" width="9" style="2914"/>
    <col min="2049" max="2049" width="56.375" style="2914" customWidth="1"/>
    <col min="2050" max="2050" width="6.25" style="2914" customWidth="1"/>
    <col min="2051" max="2051" width="11.75" style="2914" customWidth="1"/>
    <col min="2052" max="2052" width="4.625" style="2914" customWidth="1"/>
    <col min="2053" max="2053" width="32.75" style="2914" customWidth="1"/>
    <col min="2054" max="2054" width="7.875" style="2914" customWidth="1"/>
    <col min="2055" max="2055" width="21.125" style="2914" customWidth="1"/>
    <col min="2056" max="2056" width="25.125" style="2914" customWidth="1"/>
    <col min="2057" max="2058" width="13.875" style="2914" customWidth="1"/>
    <col min="2059" max="2059" width="6.75" style="2914" customWidth="1"/>
    <col min="2060" max="2060" width="9" style="2914" customWidth="1"/>
    <col min="2061" max="2061" width="21.125" style="2914" customWidth="1"/>
    <col min="2062" max="2062" width="26.875" style="2914" customWidth="1"/>
    <col min="2063" max="2063" width="10.625" style="2914" customWidth="1"/>
    <col min="2064" max="2064" width="16" style="2914" customWidth="1"/>
    <col min="2065" max="2065" width="14.375" style="2914" customWidth="1"/>
    <col min="2066" max="2066" width="6.25" style="2914" customWidth="1"/>
    <col min="2067" max="2067" width="23" style="2914" customWidth="1"/>
    <col min="2068" max="2068" width="7.875" style="2914" customWidth="1"/>
    <col min="2069" max="2304" width="9" style="2914"/>
    <col min="2305" max="2305" width="56.375" style="2914" customWidth="1"/>
    <col min="2306" max="2306" width="6.25" style="2914" customWidth="1"/>
    <col min="2307" max="2307" width="11.75" style="2914" customWidth="1"/>
    <col min="2308" max="2308" width="4.625" style="2914" customWidth="1"/>
    <col min="2309" max="2309" width="32.75" style="2914" customWidth="1"/>
    <col min="2310" max="2310" width="7.875" style="2914" customWidth="1"/>
    <col min="2311" max="2311" width="21.125" style="2914" customWidth="1"/>
    <col min="2312" max="2312" width="25.125" style="2914" customWidth="1"/>
    <col min="2313" max="2314" width="13.875" style="2914" customWidth="1"/>
    <col min="2315" max="2315" width="6.75" style="2914" customWidth="1"/>
    <col min="2316" max="2316" width="9" style="2914" customWidth="1"/>
    <col min="2317" max="2317" width="21.125" style="2914" customWidth="1"/>
    <col min="2318" max="2318" width="26.875" style="2914" customWidth="1"/>
    <col min="2319" max="2319" width="10.625" style="2914" customWidth="1"/>
    <col min="2320" max="2320" width="16" style="2914" customWidth="1"/>
    <col min="2321" max="2321" width="14.375" style="2914" customWidth="1"/>
    <col min="2322" max="2322" width="6.25" style="2914" customWidth="1"/>
    <col min="2323" max="2323" width="23" style="2914" customWidth="1"/>
    <col min="2324" max="2324" width="7.875" style="2914" customWidth="1"/>
    <col min="2325" max="2560" width="9" style="2914"/>
    <col min="2561" max="2561" width="56.375" style="2914" customWidth="1"/>
    <col min="2562" max="2562" width="6.25" style="2914" customWidth="1"/>
    <col min="2563" max="2563" width="11.75" style="2914" customWidth="1"/>
    <col min="2564" max="2564" width="4.625" style="2914" customWidth="1"/>
    <col min="2565" max="2565" width="32.75" style="2914" customWidth="1"/>
    <col min="2566" max="2566" width="7.875" style="2914" customWidth="1"/>
    <col min="2567" max="2567" width="21.125" style="2914" customWidth="1"/>
    <col min="2568" max="2568" width="25.125" style="2914" customWidth="1"/>
    <col min="2569" max="2570" width="13.875" style="2914" customWidth="1"/>
    <col min="2571" max="2571" width="6.75" style="2914" customWidth="1"/>
    <col min="2572" max="2572" width="9" style="2914" customWidth="1"/>
    <col min="2573" max="2573" width="21.125" style="2914" customWidth="1"/>
    <col min="2574" max="2574" width="26.875" style="2914" customWidth="1"/>
    <col min="2575" max="2575" width="10.625" style="2914" customWidth="1"/>
    <col min="2576" max="2576" width="16" style="2914" customWidth="1"/>
    <col min="2577" max="2577" width="14.375" style="2914" customWidth="1"/>
    <col min="2578" max="2578" width="6.25" style="2914" customWidth="1"/>
    <col min="2579" max="2579" width="23" style="2914" customWidth="1"/>
    <col min="2580" max="2580" width="7.875" style="2914" customWidth="1"/>
    <col min="2581" max="2816" width="9" style="2914"/>
    <col min="2817" max="2817" width="56.375" style="2914" customWidth="1"/>
    <col min="2818" max="2818" width="6.25" style="2914" customWidth="1"/>
    <col min="2819" max="2819" width="11.75" style="2914" customWidth="1"/>
    <col min="2820" max="2820" width="4.625" style="2914" customWidth="1"/>
    <col min="2821" max="2821" width="32.75" style="2914" customWidth="1"/>
    <col min="2822" max="2822" width="7.875" style="2914" customWidth="1"/>
    <col min="2823" max="2823" width="21.125" style="2914" customWidth="1"/>
    <col min="2824" max="2824" width="25.125" style="2914" customWidth="1"/>
    <col min="2825" max="2826" width="13.875" style="2914" customWidth="1"/>
    <col min="2827" max="2827" width="6.75" style="2914" customWidth="1"/>
    <col min="2828" max="2828" width="9" style="2914" customWidth="1"/>
    <col min="2829" max="2829" width="21.125" style="2914" customWidth="1"/>
    <col min="2830" max="2830" width="26.875" style="2914" customWidth="1"/>
    <col min="2831" max="2831" width="10.625" style="2914" customWidth="1"/>
    <col min="2832" max="2832" width="16" style="2914" customWidth="1"/>
    <col min="2833" max="2833" width="14.375" style="2914" customWidth="1"/>
    <col min="2834" max="2834" width="6.25" style="2914" customWidth="1"/>
    <col min="2835" max="2835" width="23" style="2914" customWidth="1"/>
    <col min="2836" max="2836" width="7.875" style="2914" customWidth="1"/>
    <col min="2837" max="3072" width="9" style="2914"/>
    <col min="3073" max="3073" width="56.375" style="2914" customWidth="1"/>
    <col min="3074" max="3074" width="6.25" style="2914" customWidth="1"/>
    <col min="3075" max="3075" width="11.75" style="2914" customWidth="1"/>
    <col min="3076" max="3076" width="4.625" style="2914" customWidth="1"/>
    <col min="3077" max="3077" width="32.75" style="2914" customWidth="1"/>
    <col min="3078" max="3078" width="7.875" style="2914" customWidth="1"/>
    <col min="3079" max="3079" width="21.125" style="2914" customWidth="1"/>
    <col min="3080" max="3080" width="25.125" style="2914" customWidth="1"/>
    <col min="3081" max="3082" width="13.875" style="2914" customWidth="1"/>
    <col min="3083" max="3083" width="6.75" style="2914" customWidth="1"/>
    <col min="3084" max="3084" width="9" style="2914" customWidth="1"/>
    <col min="3085" max="3085" width="21.125" style="2914" customWidth="1"/>
    <col min="3086" max="3086" width="26.875" style="2914" customWidth="1"/>
    <col min="3087" max="3087" width="10.625" style="2914" customWidth="1"/>
    <col min="3088" max="3088" width="16" style="2914" customWidth="1"/>
    <col min="3089" max="3089" width="14.375" style="2914" customWidth="1"/>
    <col min="3090" max="3090" width="6.25" style="2914" customWidth="1"/>
    <col min="3091" max="3091" width="23" style="2914" customWidth="1"/>
    <col min="3092" max="3092" width="7.875" style="2914" customWidth="1"/>
    <col min="3093" max="3328" width="9" style="2914"/>
    <col min="3329" max="3329" width="56.375" style="2914" customWidth="1"/>
    <col min="3330" max="3330" width="6.25" style="2914" customWidth="1"/>
    <col min="3331" max="3331" width="11.75" style="2914" customWidth="1"/>
    <col min="3332" max="3332" width="4.625" style="2914" customWidth="1"/>
    <col min="3333" max="3333" width="32.75" style="2914" customWidth="1"/>
    <col min="3334" max="3334" width="7.875" style="2914" customWidth="1"/>
    <col min="3335" max="3335" width="21.125" style="2914" customWidth="1"/>
    <col min="3336" max="3336" width="25.125" style="2914" customWidth="1"/>
    <col min="3337" max="3338" width="13.875" style="2914" customWidth="1"/>
    <col min="3339" max="3339" width="6.75" style="2914" customWidth="1"/>
    <col min="3340" max="3340" width="9" style="2914" customWidth="1"/>
    <col min="3341" max="3341" width="21.125" style="2914" customWidth="1"/>
    <col min="3342" max="3342" width="26.875" style="2914" customWidth="1"/>
    <col min="3343" max="3343" width="10.625" style="2914" customWidth="1"/>
    <col min="3344" max="3344" width="16" style="2914" customWidth="1"/>
    <col min="3345" max="3345" width="14.375" style="2914" customWidth="1"/>
    <col min="3346" max="3346" width="6.25" style="2914" customWidth="1"/>
    <col min="3347" max="3347" width="23" style="2914" customWidth="1"/>
    <col min="3348" max="3348" width="7.875" style="2914" customWidth="1"/>
    <col min="3349" max="3584" width="9" style="2914"/>
    <col min="3585" max="3585" width="56.375" style="2914" customWidth="1"/>
    <col min="3586" max="3586" width="6.25" style="2914" customWidth="1"/>
    <col min="3587" max="3587" width="11.75" style="2914" customWidth="1"/>
    <col min="3588" max="3588" width="4.625" style="2914" customWidth="1"/>
    <col min="3589" max="3589" width="32.75" style="2914" customWidth="1"/>
    <col min="3590" max="3590" width="7.875" style="2914" customWidth="1"/>
    <col min="3591" max="3591" width="21.125" style="2914" customWidth="1"/>
    <col min="3592" max="3592" width="25.125" style="2914" customWidth="1"/>
    <col min="3593" max="3594" width="13.875" style="2914" customWidth="1"/>
    <col min="3595" max="3595" width="6.75" style="2914" customWidth="1"/>
    <col min="3596" max="3596" width="9" style="2914" customWidth="1"/>
    <col min="3597" max="3597" width="21.125" style="2914" customWidth="1"/>
    <col min="3598" max="3598" width="26.875" style="2914" customWidth="1"/>
    <col min="3599" max="3599" width="10.625" style="2914" customWidth="1"/>
    <col min="3600" max="3600" width="16" style="2914" customWidth="1"/>
    <col min="3601" max="3601" width="14.375" style="2914" customWidth="1"/>
    <col min="3602" max="3602" width="6.25" style="2914" customWidth="1"/>
    <col min="3603" max="3603" width="23" style="2914" customWidth="1"/>
    <col min="3604" max="3604" width="7.875" style="2914" customWidth="1"/>
    <col min="3605" max="3840" width="9" style="2914"/>
    <col min="3841" max="3841" width="56.375" style="2914" customWidth="1"/>
    <col min="3842" max="3842" width="6.25" style="2914" customWidth="1"/>
    <col min="3843" max="3843" width="11.75" style="2914" customWidth="1"/>
    <col min="3844" max="3844" width="4.625" style="2914" customWidth="1"/>
    <col min="3845" max="3845" width="32.75" style="2914" customWidth="1"/>
    <col min="3846" max="3846" width="7.875" style="2914" customWidth="1"/>
    <col min="3847" max="3847" width="21.125" style="2914" customWidth="1"/>
    <col min="3848" max="3848" width="25.125" style="2914" customWidth="1"/>
    <col min="3849" max="3850" width="13.875" style="2914" customWidth="1"/>
    <col min="3851" max="3851" width="6.75" style="2914" customWidth="1"/>
    <col min="3852" max="3852" width="9" style="2914" customWidth="1"/>
    <col min="3853" max="3853" width="21.125" style="2914" customWidth="1"/>
    <col min="3854" max="3854" width="26.875" style="2914" customWidth="1"/>
    <col min="3855" max="3855" width="10.625" style="2914" customWidth="1"/>
    <col min="3856" max="3856" width="16" style="2914" customWidth="1"/>
    <col min="3857" max="3857" width="14.375" style="2914" customWidth="1"/>
    <col min="3858" max="3858" width="6.25" style="2914" customWidth="1"/>
    <col min="3859" max="3859" width="23" style="2914" customWidth="1"/>
    <col min="3860" max="3860" width="7.875" style="2914" customWidth="1"/>
    <col min="3861" max="4096" width="9" style="2914"/>
    <col min="4097" max="4097" width="56.375" style="2914" customWidth="1"/>
    <col min="4098" max="4098" width="6.25" style="2914" customWidth="1"/>
    <col min="4099" max="4099" width="11.75" style="2914" customWidth="1"/>
    <col min="4100" max="4100" width="4.625" style="2914" customWidth="1"/>
    <col min="4101" max="4101" width="32.75" style="2914" customWidth="1"/>
    <col min="4102" max="4102" width="7.875" style="2914" customWidth="1"/>
    <col min="4103" max="4103" width="21.125" style="2914" customWidth="1"/>
    <col min="4104" max="4104" width="25.125" style="2914" customWidth="1"/>
    <col min="4105" max="4106" width="13.875" style="2914" customWidth="1"/>
    <col min="4107" max="4107" width="6.75" style="2914" customWidth="1"/>
    <col min="4108" max="4108" width="9" style="2914" customWidth="1"/>
    <col min="4109" max="4109" width="21.125" style="2914" customWidth="1"/>
    <col min="4110" max="4110" width="26.875" style="2914" customWidth="1"/>
    <col min="4111" max="4111" width="10.625" style="2914" customWidth="1"/>
    <col min="4112" max="4112" width="16" style="2914" customWidth="1"/>
    <col min="4113" max="4113" width="14.375" style="2914" customWidth="1"/>
    <col min="4114" max="4114" width="6.25" style="2914" customWidth="1"/>
    <col min="4115" max="4115" width="23" style="2914" customWidth="1"/>
    <col min="4116" max="4116" width="7.875" style="2914" customWidth="1"/>
    <col min="4117" max="4352" width="9" style="2914"/>
    <col min="4353" max="4353" width="56.375" style="2914" customWidth="1"/>
    <col min="4354" max="4354" width="6.25" style="2914" customWidth="1"/>
    <col min="4355" max="4355" width="11.75" style="2914" customWidth="1"/>
    <col min="4356" max="4356" width="4.625" style="2914" customWidth="1"/>
    <col min="4357" max="4357" width="32.75" style="2914" customWidth="1"/>
    <col min="4358" max="4358" width="7.875" style="2914" customWidth="1"/>
    <col min="4359" max="4359" width="21.125" style="2914" customWidth="1"/>
    <col min="4360" max="4360" width="25.125" style="2914" customWidth="1"/>
    <col min="4361" max="4362" width="13.875" style="2914" customWidth="1"/>
    <col min="4363" max="4363" width="6.75" style="2914" customWidth="1"/>
    <col min="4364" max="4364" width="9" style="2914" customWidth="1"/>
    <col min="4365" max="4365" width="21.125" style="2914" customWidth="1"/>
    <col min="4366" max="4366" width="26.875" style="2914" customWidth="1"/>
    <col min="4367" max="4367" width="10.625" style="2914" customWidth="1"/>
    <col min="4368" max="4368" width="16" style="2914" customWidth="1"/>
    <col min="4369" max="4369" width="14.375" style="2914" customWidth="1"/>
    <col min="4370" max="4370" width="6.25" style="2914" customWidth="1"/>
    <col min="4371" max="4371" width="23" style="2914" customWidth="1"/>
    <col min="4372" max="4372" width="7.875" style="2914" customWidth="1"/>
    <col min="4373" max="4608" width="9" style="2914"/>
    <col min="4609" max="4609" width="56.375" style="2914" customWidth="1"/>
    <col min="4610" max="4610" width="6.25" style="2914" customWidth="1"/>
    <col min="4611" max="4611" width="11.75" style="2914" customWidth="1"/>
    <col min="4612" max="4612" width="4.625" style="2914" customWidth="1"/>
    <col min="4613" max="4613" width="32.75" style="2914" customWidth="1"/>
    <col min="4614" max="4614" width="7.875" style="2914" customWidth="1"/>
    <col min="4615" max="4615" width="21.125" style="2914" customWidth="1"/>
    <col min="4616" max="4616" width="25.125" style="2914" customWidth="1"/>
    <col min="4617" max="4618" width="13.875" style="2914" customWidth="1"/>
    <col min="4619" max="4619" width="6.75" style="2914" customWidth="1"/>
    <col min="4620" max="4620" width="9" style="2914" customWidth="1"/>
    <col min="4621" max="4621" width="21.125" style="2914" customWidth="1"/>
    <col min="4622" max="4622" width="26.875" style="2914" customWidth="1"/>
    <col min="4623" max="4623" width="10.625" style="2914" customWidth="1"/>
    <col min="4624" max="4624" width="16" style="2914" customWidth="1"/>
    <col min="4625" max="4625" width="14.375" style="2914" customWidth="1"/>
    <col min="4626" max="4626" width="6.25" style="2914" customWidth="1"/>
    <col min="4627" max="4627" width="23" style="2914" customWidth="1"/>
    <col min="4628" max="4628" width="7.875" style="2914" customWidth="1"/>
    <col min="4629" max="4864" width="9" style="2914"/>
    <col min="4865" max="4865" width="56.375" style="2914" customWidth="1"/>
    <col min="4866" max="4866" width="6.25" style="2914" customWidth="1"/>
    <col min="4867" max="4867" width="11.75" style="2914" customWidth="1"/>
    <col min="4868" max="4868" width="4.625" style="2914" customWidth="1"/>
    <col min="4869" max="4869" width="32.75" style="2914" customWidth="1"/>
    <col min="4870" max="4870" width="7.875" style="2914" customWidth="1"/>
    <col min="4871" max="4871" width="21.125" style="2914" customWidth="1"/>
    <col min="4872" max="4872" width="25.125" style="2914" customWidth="1"/>
    <col min="4873" max="4874" width="13.875" style="2914" customWidth="1"/>
    <col min="4875" max="4875" width="6.75" style="2914" customWidth="1"/>
    <col min="4876" max="4876" width="9" style="2914" customWidth="1"/>
    <col min="4877" max="4877" width="21.125" style="2914" customWidth="1"/>
    <col min="4878" max="4878" width="26.875" style="2914" customWidth="1"/>
    <col min="4879" max="4879" width="10.625" style="2914" customWidth="1"/>
    <col min="4880" max="4880" width="16" style="2914" customWidth="1"/>
    <col min="4881" max="4881" width="14.375" style="2914" customWidth="1"/>
    <col min="4882" max="4882" width="6.25" style="2914" customWidth="1"/>
    <col min="4883" max="4883" width="23" style="2914" customWidth="1"/>
    <col min="4884" max="4884" width="7.875" style="2914" customWidth="1"/>
    <col min="4885" max="5120" width="9" style="2914"/>
    <col min="5121" max="5121" width="56.375" style="2914" customWidth="1"/>
    <col min="5122" max="5122" width="6.25" style="2914" customWidth="1"/>
    <col min="5123" max="5123" width="11.75" style="2914" customWidth="1"/>
    <col min="5124" max="5124" width="4.625" style="2914" customWidth="1"/>
    <col min="5125" max="5125" width="32.75" style="2914" customWidth="1"/>
    <col min="5126" max="5126" width="7.875" style="2914" customWidth="1"/>
    <col min="5127" max="5127" width="21.125" style="2914" customWidth="1"/>
    <col min="5128" max="5128" width="25.125" style="2914" customWidth="1"/>
    <col min="5129" max="5130" width="13.875" style="2914" customWidth="1"/>
    <col min="5131" max="5131" width="6.75" style="2914" customWidth="1"/>
    <col min="5132" max="5132" width="9" style="2914" customWidth="1"/>
    <col min="5133" max="5133" width="21.125" style="2914" customWidth="1"/>
    <col min="5134" max="5134" width="26.875" style="2914" customWidth="1"/>
    <col min="5135" max="5135" width="10.625" style="2914" customWidth="1"/>
    <col min="5136" max="5136" width="16" style="2914" customWidth="1"/>
    <col min="5137" max="5137" width="14.375" style="2914" customWidth="1"/>
    <col min="5138" max="5138" width="6.25" style="2914" customWidth="1"/>
    <col min="5139" max="5139" width="23" style="2914" customWidth="1"/>
    <col min="5140" max="5140" width="7.875" style="2914" customWidth="1"/>
    <col min="5141" max="5376" width="9" style="2914"/>
    <col min="5377" max="5377" width="56.375" style="2914" customWidth="1"/>
    <col min="5378" max="5378" width="6.25" style="2914" customWidth="1"/>
    <col min="5379" max="5379" width="11.75" style="2914" customWidth="1"/>
    <col min="5380" max="5380" width="4.625" style="2914" customWidth="1"/>
    <col min="5381" max="5381" width="32.75" style="2914" customWidth="1"/>
    <col min="5382" max="5382" width="7.875" style="2914" customWidth="1"/>
    <col min="5383" max="5383" width="21.125" style="2914" customWidth="1"/>
    <col min="5384" max="5384" width="25.125" style="2914" customWidth="1"/>
    <col min="5385" max="5386" width="13.875" style="2914" customWidth="1"/>
    <col min="5387" max="5387" width="6.75" style="2914" customWidth="1"/>
    <col min="5388" max="5388" width="9" style="2914" customWidth="1"/>
    <col min="5389" max="5389" width="21.125" style="2914" customWidth="1"/>
    <col min="5390" max="5390" width="26.875" style="2914" customWidth="1"/>
    <col min="5391" max="5391" width="10.625" style="2914" customWidth="1"/>
    <col min="5392" max="5392" width="16" style="2914" customWidth="1"/>
    <col min="5393" max="5393" width="14.375" style="2914" customWidth="1"/>
    <col min="5394" max="5394" width="6.25" style="2914" customWidth="1"/>
    <col min="5395" max="5395" width="23" style="2914" customWidth="1"/>
    <col min="5396" max="5396" width="7.875" style="2914" customWidth="1"/>
    <col min="5397" max="5632" width="9" style="2914"/>
    <col min="5633" max="5633" width="56.375" style="2914" customWidth="1"/>
    <col min="5634" max="5634" width="6.25" style="2914" customWidth="1"/>
    <col min="5635" max="5635" width="11.75" style="2914" customWidth="1"/>
    <col min="5636" max="5636" width="4.625" style="2914" customWidth="1"/>
    <col min="5637" max="5637" width="32.75" style="2914" customWidth="1"/>
    <col min="5638" max="5638" width="7.875" style="2914" customWidth="1"/>
    <col min="5639" max="5639" width="21.125" style="2914" customWidth="1"/>
    <col min="5640" max="5640" width="25.125" style="2914" customWidth="1"/>
    <col min="5641" max="5642" width="13.875" style="2914" customWidth="1"/>
    <col min="5643" max="5643" width="6.75" style="2914" customWidth="1"/>
    <col min="5644" max="5644" width="9" style="2914" customWidth="1"/>
    <col min="5645" max="5645" width="21.125" style="2914" customWidth="1"/>
    <col min="5646" max="5646" width="26.875" style="2914" customWidth="1"/>
    <col min="5647" max="5647" width="10.625" style="2914" customWidth="1"/>
    <col min="5648" max="5648" width="16" style="2914" customWidth="1"/>
    <col min="5649" max="5649" width="14.375" style="2914" customWidth="1"/>
    <col min="5650" max="5650" width="6.25" style="2914" customWidth="1"/>
    <col min="5651" max="5651" width="23" style="2914" customWidth="1"/>
    <col min="5652" max="5652" width="7.875" style="2914" customWidth="1"/>
    <col min="5653" max="5888" width="9" style="2914"/>
    <col min="5889" max="5889" width="56.375" style="2914" customWidth="1"/>
    <col min="5890" max="5890" width="6.25" style="2914" customWidth="1"/>
    <col min="5891" max="5891" width="11.75" style="2914" customWidth="1"/>
    <col min="5892" max="5892" width="4.625" style="2914" customWidth="1"/>
    <col min="5893" max="5893" width="32.75" style="2914" customWidth="1"/>
    <col min="5894" max="5894" width="7.875" style="2914" customWidth="1"/>
    <col min="5895" max="5895" width="21.125" style="2914" customWidth="1"/>
    <col min="5896" max="5896" width="25.125" style="2914" customWidth="1"/>
    <col min="5897" max="5898" width="13.875" style="2914" customWidth="1"/>
    <col min="5899" max="5899" width="6.75" style="2914" customWidth="1"/>
    <col min="5900" max="5900" width="9" style="2914" customWidth="1"/>
    <col min="5901" max="5901" width="21.125" style="2914" customWidth="1"/>
    <col min="5902" max="5902" width="26.875" style="2914" customWidth="1"/>
    <col min="5903" max="5903" width="10.625" style="2914" customWidth="1"/>
    <col min="5904" max="5904" width="16" style="2914" customWidth="1"/>
    <col min="5905" max="5905" width="14.375" style="2914" customWidth="1"/>
    <col min="5906" max="5906" width="6.25" style="2914" customWidth="1"/>
    <col min="5907" max="5907" width="23" style="2914" customWidth="1"/>
    <col min="5908" max="5908" width="7.875" style="2914" customWidth="1"/>
    <col min="5909" max="6144" width="9" style="2914"/>
    <col min="6145" max="6145" width="56.375" style="2914" customWidth="1"/>
    <col min="6146" max="6146" width="6.25" style="2914" customWidth="1"/>
    <col min="6147" max="6147" width="11.75" style="2914" customWidth="1"/>
    <col min="6148" max="6148" width="4.625" style="2914" customWidth="1"/>
    <col min="6149" max="6149" width="32.75" style="2914" customWidth="1"/>
    <col min="6150" max="6150" width="7.875" style="2914" customWidth="1"/>
    <col min="6151" max="6151" width="21.125" style="2914" customWidth="1"/>
    <col min="6152" max="6152" width="25.125" style="2914" customWidth="1"/>
    <col min="6153" max="6154" width="13.875" style="2914" customWidth="1"/>
    <col min="6155" max="6155" width="6.75" style="2914" customWidth="1"/>
    <col min="6156" max="6156" width="9" style="2914" customWidth="1"/>
    <col min="6157" max="6157" width="21.125" style="2914" customWidth="1"/>
    <col min="6158" max="6158" width="26.875" style="2914" customWidth="1"/>
    <col min="6159" max="6159" width="10.625" style="2914" customWidth="1"/>
    <col min="6160" max="6160" width="16" style="2914" customWidth="1"/>
    <col min="6161" max="6161" width="14.375" style="2914" customWidth="1"/>
    <col min="6162" max="6162" width="6.25" style="2914" customWidth="1"/>
    <col min="6163" max="6163" width="23" style="2914" customWidth="1"/>
    <col min="6164" max="6164" width="7.875" style="2914" customWidth="1"/>
    <col min="6165" max="6400" width="9" style="2914"/>
    <col min="6401" max="6401" width="56.375" style="2914" customWidth="1"/>
    <col min="6402" max="6402" width="6.25" style="2914" customWidth="1"/>
    <col min="6403" max="6403" width="11.75" style="2914" customWidth="1"/>
    <col min="6404" max="6404" width="4.625" style="2914" customWidth="1"/>
    <col min="6405" max="6405" width="32.75" style="2914" customWidth="1"/>
    <col min="6406" max="6406" width="7.875" style="2914" customWidth="1"/>
    <col min="6407" max="6407" width="21.125" style="2914" customWidth="1"/>
    <col min="6408" max="6408" width="25.125" style="2914" customWidth="1"/>
    <col min="6409" max="6410" width="13.875" style="2914" customWidth="1"/>
    <col min="6411" max="6411" width="6.75" style="2914" customWidth="1"/>
    <col min="6412" max="6412" width="9" style="2914" customWidth="1"/>
    <col min="6413" max="6413" width="21.125" style="2914" customWidth="1"/>
    <col min="6414" max="6414" width="26.875" style="2914" customWidth="1"/>
    <col min="6415" max="6415" width="10.625" style="2914" customWidth="1"/>
    <col min="6416" max="6416" width="16" style="2914" customWidth="1"/>
    <col min="6417" max="6417" width="14.375" style="2914" customWidth="1"/>
    <col min="6418" max="6418" width="6.25" style="2914" customWidth="1"/>
    <col min="6419" max="6419" width="23" style="2914" customWidth="1"/>
    <col min="6420" max="6420" width="7.875" style="2914" customWidth="1"/>
    <col min="6421" max="6656" width="9" style="2914"/>
    <col min="6657" max="6657" width="56.375" style="2914" customWidth="1"/>
    <col min="6658" max="6658" width="6.25" style="2914" customWidth="1"/>
    <col min="6659" max="6659" width="11.75" style="2914" customWidth="1"/>
    <col min="6660" max="6660" width="4.625" style="2914" customWidth="1"/>
    <col min="6661" max="6661" width="32.75" style="2914" customWidth="1"/>
    <col min="6662" max="6662" width="7.875" style="2914" customWidth="1"/>
    <col min="6663" max="6663" width="21.125" style="2914" customWidth="1"/>
    <col min="6664" max="6664" width="25.125" style="2914" customWidth="1"/>
    <col min="6665" max="6666" width="13.875" style="2914" customWidth="1"/>
    <col min="6667" max="6667" width="6.75" style="2914" customWidth="1"/>
    <col min="6668" max="6668" width="9" style="2914" customWidth="1"/>
    <col min="6669" max="6669" width="21.125" style="2914" customWidth="1"/>
    <col min="6670" max="6670" width="26.875" style="2914" customWidth="1"/>
    <col min="6671" max="6671" width="10.625" style="2914" customWidth="1"/>
    <col min="6672" max="6672" width="16" style="2914" customWidth="1"/>
    <col min="6673" max="6673" width="14.375" style="2914" customWidth="1"/>
    <col min="6674" max="6674" width="6.25" style="2914" customWidth="1"/>
    <col min="6675" max="6675" width="23" style="2914" customWidth="1"/>
    <col min="6676" max="6676" width="7.875" style="2914" customWidth="1"/>
    <col min="6677" max="6912" width="9" style="2914"/>
    <col min="6913" max="6913" width="56.375" style="2914" customWidth="1"/>
    <col min="6914" max="6914" width="6.25" style="2914" customWidth="1"/>
    <col min="6915" max="6915" width="11.75" style="2914" customWidth="1"/>
    <col min="6916" max="6916" width="4.625" style="2914" customWidth="1"/>
    <col min="6917" max="6917" width="32.75" style="2914" customWidth="1"/>
    <col min="6918" max="6918" width="7.875" style="2914" customWidth="1"/>
    <col min="6919" max="6919" width="21.125" style="2914" customWidth="1"/>
    <col min="6920" max="6920" width="25.125" style="2914" customWidth="1"/>
    <col min="6921" max="6922" width="13.875" style="2914" customWidth="1"/>
    <col min="6923" max="6923" width="6.75" style="2914" customWidth="1"/>
    <col min="6924" max="6924" width="9" style="2914" customWidth="1"/>
    <col min="6925" max="6925" width="21.125" style="2914" customWidth="1"/>
    <col min="6926" max="6926" width="26.875" style="2914" customWidth="1"/>
    <col min="6927" max="6927" width="10.625" style="2914" customWidth="1"/>
    <col min="6928" max="6928" width="16" style="2914" customWidth="1"/>
    <col min="6929" max="6929" width="14.375" style="2914" customWidth="1"/>
    <col min="6930" max="6930" width="6.25" style="2914" customWidth="1"/>
    <col min="6931" max="6931" width="23" style="2914" customWidth="1"/>
    <col min="6932" max="6932" width="7.875" style="2914" customWidth="1"/>
    <col min="6933" max="7168" width="9" style="2914"/>
    <col min="7169" max="7169" width="56.375" style="2914" customWidth="1"/>
    <col min="7170" max="7170" width="6.25" style="2914" customWidth="1"/>
    <col min="7171" max="7171" width="11.75" style="2914" customWidth="1"/>
    <col min="7172" max="7172" width="4.625" style="2914" customWidth="1"/>
    <col min="7173" max="7173" width="32.75" style="2914" customWidth="1"/>
    <col min="7174" max="7174" width="7.875" style="2914" customWidth="1"/>
    <col min="7175" max="7175" width="21.125" style="2914" customWidth="1"/>
    <col min="7176" max="7176" width="25.125" style="2914" customWidth="1"/>
    <col min="7177" max="7178" width="13.875" style="2914" customWidth="1"/>
    <col min="7179" max="7179" width="6.75" style="2914" customWidth="1"/>
    <col min="7180" max="7180" width="9" style="2914" customWidth="1"/>
    <col min="7181" max="7181" width="21.125" style="2914" customWidth="1"/>
    <col min="7182" max="7182" width="26.875" style="2914" customWidth="1"/>
    <col min="7183" max="7183" width="10.625" style="2914" customWidth="1"/>
    <col min="7184" max="7184" width="16" style="2914" customWidth="1"/>
    <col min="7185" max="7185" width="14.375" style="2914" customWidth="1"/>
    <col min="7186" max="7186" width="6.25" style="2914" customWidth="1"/>
    <col min="7187" max="7187" width="23" style="2914" customWidth="1"/>
    <col min="7188" max="7188" width="7.875" style="2914" customWidth="1"/>
    <col min="7189" max="7424" width="9" style="2914"/>
    <col min="7425" max="7425" width="56.375" style="2914" customWidth="1"/>
    <col min="7426" max="7426" width="6.25" style="2914" customWidth="1"/>
    <col min="7427" max="7427" width="11.75" style="2914" customWidth="1"/>
    <col min="7428" max="7428" width="4.625" style="2914" customWidth="1"/>
    <col min="7429" max="7429" width="32.75" style="2914" customWidth="1"/>
    <col min="7430" max="7430" width="7.875" style="2914" customWidth="1"/>
    <col min="7431" max="7431" width="21.125" style="2914" customWidth="1"/>
    <col min="7432" max="7432" width="25.125" style="2914" customWidth="1"/>
    <col min="7433" max="7434" width="13.875" style="2914" customWidth="1"/>
    <col min="7435" max="7435" width="6.75" style="2914" customWidth="1"/>
    <col min="7436" max="7436" width="9" style="2914" customWidth="1"/>
    <col min="7437" max="7437" width="21.125" style="2914" customWidth="1"/>
    <col min="7438" max="7438" width="26.875" style="2914" customWidth="1"/>
    <col min="7439" max="7439" width="10.625" style="2914" customWidth="1"/>
    <col min="7440" max="7440" width="16" style="2914" customWidth="1"/>
    <col min="7441" max="7441" width="14.375" style="2914" customWidth="1"/>
    <col min="7442" max="7442" width="6.25" style="2914" customWidth="1"/>
    <col min="7443" max="7443" width="23" style="2914" customWidth="1"/>
    <col min="7444" max="7444" width="7.875" style="2914" customWidth="1"/>
    <col min="7445" max="7680" width="9" style="2914"/>
    <col min="7681" max="7681" width="56.375" style="2914" customWidth="1"/>
    <col min="7682" max="7682" width="6.25" style="2914" customWidth="1"/>
    <col min="7683" max="7683" width="11.75" style="2914" customWidth="1"/>
    <col min="7684" max="7684" width="4.625" style="2914" customWidth="1"/>
    <col min="7685" max="7685" width="32.75" style="2914" customWidth="1"/>
    <col min="7686" max="7686" width="7.875" style="2914" customWidth="1"/>
    <col min="7687" max="7687" width="21.125" style="2914" customWidth="1"/>
    <col min="7688" max="7688" width="25.125" style="2914" customWidth="1"/>
    <col min="7689" max="7690" width="13.875" style="2914" customWidth="1"/>
    <col min="7691" max="7691" width="6.75" style="2914" customWidth="1"/>
    <col min="7692" max="7692" width="9" style="2914" customWidth="1"/>
    <col min="7693" max="7693" width="21.125" style="2914" customWidth="1"/>
    <col min="7694" max="7694" width="26.875" style="2914" customWidth="1"/>
    <col min="7695" max="7695" width="10.625" style="2914" customWidth="1"/>
    <col min="7696" max="7696" width="16" style="2914" customWidth="1"/>
    <col min="7697" max="7697" width="14.375" style="2914" customWidth="1"/>
    <col min="7698" max="7698" width="6.25" style="2914" customWidth="1"/>
    <col min="7699" max="7699" width="23" style="2914" customWidth="1"/>
    <col min="7700" max="7700" width="7.875" style="2914" customWidth="1"/>
    <col min="7701" max="7936" width="9" style="2914"/>
    <col min="7937" max="7937" width="56.375" style="2914" customWidth="1"/>
    <col min="7938" max="7938" width="6.25" style="2914" customWidth="1"/>
    <col min="7939" max="7939" width="11.75" style="2914" customWidth="1"/>
    <col min="7940" max="7940" width="4.625" style="2914" customWidth="1"/>
    <col min="7941" max="7941" width="32.75" style="2914" customWidth="1"/>
    <col min="7942" max="7942" width="7.875" style="2914" customWidth="1"/>
    <col min="7943" max="7943" width="21.125" style="2914" customWidth="1"/>
    <col min="7944" max="7944" width="25.125" style="2914" customWidth="1"/>
    <col min="7945" max="7946" width="13.875" style="2914" customWidth="1"/>
    <col min="7947" max="7947" width="6.75" style="2914" customWidth="1"/>
    <col min="7948" max="7948" width="9" style="2914" customWidth="1"/>
    <col min="7949" max="7949" width="21.125" style="2914" customWidth="1"/>
    <col min="7950" max="7950" width="26.875" style="2914" customWidth="1"/>
    <col min="7951" max="7951" width="10.625" style="2914" customWidth="1"/>
    <col min="7952" max="7952" width="16" style="2914" customWidth="1"/>
    <col min="7953" max="7953" width="14.375" style="2914" customWidth="1"/>
    <col min="7954" max="7954" width="6.25" style="2914" customWidth="1"/>
    <col min="7955" max="7955" width="23" style="2914" customWidth="1"/>
    <col min="7956" max="7956" width="7.875" style="2914" customWidth="1"/>
    <col min="7957" max="8192" width="9" style="2914"/>
    <col min="8193" max="8193" width="56.375" style="2914" customWidth="1"/>
    <col min="8194" max="8194" width="6.25" style="2914" customWidth="1"/>
    <col min="8195" max="8195" width="11.75" style="2914" customWidth="1"/>
    <col min="8196" max="8196" width="4.625" style="2914" customWidth="1"/>
    <col min="8197" max="8197" width="32.75" style="2914" customWidth="1"/>
    <col min="8198" max="8198" width="7.875" style="2914" customWidth="1"/>
    <col min="8199" max="8199" width="21.125" style="2914" customWidth="1"/>
    <col min="8200" max="8200" width="25.125" style="2914" customWidth="1"/>
    <col min="8201" max="8202" width="13.875" style="2914" customWidth="1"/>
    <col min="8203" max="8203" width="6.75" style="2914" customWidth="1"/>
    <col min="8204" max="8204" width="9" style="2914" customWidth="1"/>
    <col min="8205" max="8205" width="21.125" style="2914" customWidth="1"/>
    <col min="8206" max="8206" width="26.875" style="2914" customWidth="1"/>
    <col min="8207" max="8207" width="10.625" style="2914" customWidth="1"/>
    <col min="8208" max="8208" width="16" style="2914" customWidth="1"/>
    <col min="8209" max="8209" width="14.375" style="2914" customWidth="1"/>
    <col min="8210" max="8210" width="6.25" style="2914" customWidth="1"/>
    <col min="8211" max="8211" width="23" style="2914" customWidth="1"/>
    <col min="8212" max="8212" width="7.875" style="2914" customWidth="1"/>
    <col min="8213" max="8448" width="9" style="2914"/>
    <col min="8449" max="8449" width="56.375" style="2914" customWidth="1"/>
    <col min="8450" max="8450" width="6.25" style="2914" customWidth="1"/>
    <col min="8451" max="8451" width="11.75" style="2914" customWidth="1"/>
    <col min="8452" max="8452" width="4.625" style="2914" customWidth="1"/>
    <col min="8453" max="8453" width="32.75" style="2914" customWidth="1"/>
    <col min="8454" max="8454" width="7.875" style="2914" customWidth="1"/>
    <col min="8455" max="8455" width="21.125" style="2914" customWidth="1"/>
    <col min="8456" max="8456" width="25.125" style="2914" customWidth="1"/>
    <col min="8457" max="8458" width="13.875" style="2914" customWidth="1"/>
    <col min="8459" max="8459" width="6.75" style="2914" customWidth="1"/>
    <col min="8460" max="8460" width="9" style="2914" customWidth="1"/>
    <col min="8461" max="8461" width="21.125" style="2914" customWidth="1"/>
    <col min="8462" max="8462" width="26.875" style="2914" customWidth="1"/>
    <col min="8463" max="8463" width="10.625" style="2914" customWidth="1"/>
    <col min="8464" max="8464" width="16" style="2914" customWidth="1"/>
    <col min="8465" max="8465" width="14.375" style="2914" customWidth="1"/>
    <col min="8466" max="8466" width="6.25" style="2914" customWidth="1"/>
    <col min="8467" max="8467" width="23" style="2914" customWidth="1"/>
    <col min="8468" max="8468" width="7.875" style="2914" customWidth="1"/>
    <col min="8469" max="8704" width="9" style="2914"/>
    <col min="8705" max="8705" width="56.375" style="2914" customWidth="1"/>
    <col min="8706" max="8706" width="6.25" style="2914" customWidth="1"/>
    <col min="8707" max="8707" width="11.75" style="2914" customWidth="1"/>
    <col min="8708" max="8708" width="4.625" style="2914" customWidth="1"/>
    <col min="8709" max="8709" width="32.75" style="2914" customWidth="1"/>
    <col min="8710" max="8710" width="7.875" style="2914" customWidth="1"/>
    <col min="8711" max="8711" width="21.125" style="2914" customWidth="1"/>
    <col min="8712" max="8712" width="25.125" style="2914" customWidth="1"/>
    <col min="8713" max="8714" width="13.875" style="2914" customWidth="1"/>
    <col min="8715" max="8715" width="6.75" style="2914" customWidth="1"/>
    <col min="8716" max="8716" width="9" style="2914" customWidth="1"/>
    <col min="8717" max="8717" width="21.125" style="2914" customWidth="1"/>
    <col min="8718" max="8718" width="26.875" style="2914" customWidth="1"/>
    <col min="8719" max="8719" width="10.625" style="2914" customWidth="1"/>
    <col min="8720" max="8720" width="16" style="2914" customWidth="1"/>
    <col min="8721" max="8721" width="14.375" style="2914" customWidth="1"/>
    <col min="8722" max="8722" width="6.25" style="2914" customWidth="1"/>
    <col min="8723" max="8723" width="23" style="2914" customWidth="1"/>
    <col min="8724" max="8724" width="7.875" style="2914" customWidth="1"/>
    <col min="8725" max="8960" width="9" style="2914"/>
    <col min="8961" max="8961" width="56.375" style="2914" customWidth="1"/>
    <col min="8962" max="8962" width="6.25" style="2914" customWidth="1"/>
    <col min="8963" max="8963" width="11.75" style="2914" customWidth="1"/>
    <col min="8964" max="8964" width="4.625" style="2914" customWidth="1"/>
    <col min="8965" max="8965" width="32.75" style="2914" customWidth="1"/>
    <col min="8966" max="8966" width="7.875" style="2914" customWidth="1"/>
    <col min="8967" max="8967" width="21.125" style="2914" customWidth="1"/>
    <col min="8968" max="8968" width="25.125" style="2914" customWidth="1"/>
    <col min="8969" max="8970" width="13.875" style="2914" customWidth="1"/>
    <col min="8971" max="8971" width="6.75" style="2914" customWidth="1"/>
    <col min="8972" max="8972" width="9" style="2914" customWidth="1"/>
    <col min="8973" max="8973" width="21.125" style="2914" customWidth="1"/>
    <col min="8974" max="8974" width="26.875" style="2914" customWidth="1"/>
    <col min="8975" max="8975" width="10.625" style="2914" customWidth="1"/>
    <col min="8976" max="8976" width="16" style="2914" customWidth="1"/>
    <col min="8977" max="8977" width="14.375" style="2914" customWidth="1"/>
    <col min="8978" max="8978" width="6.25" style="2914" customWidth="1"/>
    <col min="8979" max="8979" width="23" style="2914" customWidth="1"/>
    <col min="8980" max="8980" width="7.875" style="2914" customWidth="1"/>
    <col min="8981" max="9216" width="9" style="2914"/>
    <col min="9217" max="9217" width="56.375" style="2914" customWidth="1"/>
    <col min="9218" max="9218" width="6.25" style="2914" customWidth="1"/>
    <col min="9219" max="9219" width="11.75" style="2914" customWidth="1"/>
    <col min="9220" max="9220" width="4.625" style="2914" customWidth="1"/>
    <col min="9221" max="9221" width="32.75" style="2914" customWidth="1"/>
    <col min="9222" max="9222" width="7.875" style="2914" customWidth="1"/>
    <col min="9223" max="9223" width="21.125" style="2914" customWidth="1"/>
    <col min="9224" max="9224" width="25.125" style="2914" customWidth="1"/>
    <col min="9225" max="9226" width="13.875" style="2914" customWidth="1"/>
    <col min="9227" max="9227" width="6.75" style="2914" customWidth="1"/>
    <col min="9228" max="9228" width="9" style="2914" customWidth="1"/>
    <col min="9229" max="9229" width="21.125" style="2914" customWidth="1"/>
    <col min="9230" max="9230" width="26.875" style="2914" customWidth="1"/>
    <col min="9231" max="9231" width="10.625" style="2914" customWidth="1"/>
    <col min="9232" max="9232" width="16" style="2914" customWidth="1"/>
    <col min="9233" max="9233" width="14.375" style="2914" customWidth="1"/>
    <col min="9234" max="9234" width="6.25" style="2914" customWidth="1"/>
    <col min="9235" max="9235" width="23" style="2914" customWidth="1"/>
    <col min="9236" max="9236" width="7.875" style="2914" customWidth="1"/>
    <col min="9237" max="9472" width="9" style="2914"/>
    <col min="9473" max="9473" width="56.375" style="2914" customWidth="1"/>
    <col min="9474" max="9474" width="6.25" style="2914" customWidth="1"/>
    <col min="9475" max="9475" width="11.75" style="2914" customWidth="1"/>
    <col min="9476" max="9476" width="4.625" style="2914" customWidth="1"/>
    <col min="9477" max="9477" width="32.75" style="2914" customWidth="1"/>
    <col min="9478" max="9478" width="7.875" style="2914" customWidth="1"/>
    <col min="9479" max="9479" width="21.125" style="2914" customWidth="1"/>
    <col min="9480" max="9480" width="25.125" style="2914" customWidth="1"/>
    <col min="9481" max="9482" width="13.875" style="2914" customWidth="1"/>
    <col min="9483" max="9483" width="6.75" style="2914" customWidth="1"/>
    <col min="9484" max="9484" width="9" style="2914" customWidth="1"/>
    <col min="9485" max="9485" width="21.125" style="2914" customWidth="1"/>
    <col min="9486" max="9486" width="26.875" style="2914" customWidth="1"/>
    <col min="9487" max="9487" width="10.625" style="2914" customWidth="1"/>
    <col min="9488" max="9488" width="16" style="2914" customWidth="1"/>
    <col min="9489" max="9489" width="14.375" style="2914" customWidth="1"/>
    <col min="9490" max="9490" width="6.25" style="2914" customWidth="1"/>
    <col min="9491" max="9491" width="23" style="2914" customWidth="1"/>
    <col min="9492" max="9492" width="7.875" style="2914" customWidth="1"/>
    <col min="9493" max="9728" width="9" style="2914"/>
    <col min="9729" max="9729" width="56.375" style="2914" customWidth="1"/>
    <col min="9730" max="9730" width="6.25" style="2914" customWidth="1"/>
    <col min="9731" max="9731" width="11.75" style="2914" customWidth="1"/>
    <col min="9732" max="9732" width="4.625" style="2914" customWidth="1"/>
    <col min="9733" max="9733" width="32.75" style="2914" customWidth="1"/>
    <col min="9734" max="9734" width="7.875" style="2914" customWidth="1"/>
    <col min="9735" max="9735" width="21.125" style="2914" customWidth="1"/>
    <col min="9736" max="9736" width="25.125" style="2914" customWidth="1"/>
    <col min="9737" max="9738" width="13.875" style="2914" customWidth="1"/>
    <col min="9739" max="9739" width="6.75" style="2914" customWidth="1"/>
    <col min="9740" max="9740" width="9" style="2914" customWidth="1"/>
    <col min="9741" max="9741" width="21.125" style="2914" customWidth="1"/>
    <col min="9742" max="9742" width="26.875" style="2914" customWidth="1"/>
    <col min="9743" max="9743" width="10.625" style="2914" customWidth="1"/>
    <col min="9744" max="9744" width="16" style="2914" customWidth="1"/>
    <col min="9745" max="9745" width="14.375" style="2914" customWidth="1"/>
    <col min="9746" max="9746" width="6.25" style="2914" customWidth="1"/>
    <col min="9747" max="9747" width="23" style="2914" customWidth="1"/>
    <col min="9748" max="9748" width="7.875" style="2914" customWidth="1"/>
    <col min="9749" max="9984" width="9" style="2914"/>
    <col min="9985" max="9985" width="56.375" style="2914" customWidth="1"/>
    <col min="9986" max="9986" width="6.25" style="2914" customWidth="1"/>
    <col min="9987" max="9987" width="11.75" style="2914" customWidth="1"/>
    <col min="9988" max="9988" width="4.625" style="2914" customWidth="1"/>
    <col min="9989" max="9989" width="32.75" style="2914" customWidth="1"/>
    <col min="9990" max="9990" width="7.875" style="2914" customWidth="1"/>
    <col min="9991" max="9991" width="21.125" style="2914" customWidth="1"/>
    <col min="9992" max="9992" width="25.125" style="2914" customWidth="1"/>
    <col min="9993" max="9994" width="13.875" style="2914" customWidth="1"/>
    <col min="9995" max="9995" width="6.75" style="2914" customWidth="1"/>
    <col min="9996" max="9996" width="9" style="2914" customWidth="1"/>
    <col min="9997" max="9997" width="21.125" style="2914" customWidth="1"/>
    <col min="9998" max="9998" width="26.875" style="2914" customWidth="1"/>
    <col min="9999" max="9999" width="10.625" style="2914" customWidth="1"/>
    <col min="10000" max="10000" width="16" style="2914" customWidth="1"/>
    <col min="10001" max="10001" width="14.375" style="2914" customWidth="1"/>
    <col min="10002" max="10002" width="6.25" style="2914" customWidth="1"/>
    <col min="10003" max="10003" width="23" style="2914" customWidth="1"/>
    <col min="10004" max="10004" width="7.875" style="2914" customWidth="1"/>
    <col min="10005" max="10240" width="9" style="2914"/>
    <col min="10241" max="10241" width="56.375" style="2914" customWidth="1"/>
    <col min="10242" max="10242" width="6.25" style="2914" customWidth="1"/>
    <col min="10243" max="10243" width="11.75" style="2914" customWidth="1"/>
    <col min="10244" max="10244" width="4.625" style="2914" customWidth="1"/>
    <col min="10245" max="10245" width="32.75" style="2914" customWidth="1"/>
    <col min="10246" max="10246" width="7.875" style="2914" customWidth="1"/>
    <col min="10247" max="10247" width="21.125" style="2914" customWidth="1"/>
    <col min="10248" max="10248" width="25.125" style="2914" customWidth="1"/>
    <col min="10249" max="10250" width="13.875" style="2914" customWidth="1"/>
    <col min="10251" max="10251" width="6.75" style="2914" customWidth="1"/>
    <col min="10252" max="10252" width="9" style="2914" customWidth="1"/>
    <col min="10253" max="10253" width="21.125" style="2914" customWidth="1"/>
    <col min="10254" max="10254" width="26.875" style="2914" customWidth="1"/>
    <col min="10255" max="10255" width="10.625" style="2914" customWidth="1"/>
    <col min="10256" max="10256" width="16" style="2914" customWidth="1"/>
    <col min="10257" max="10257" width="14.375" style="2914" customWidth="1"/>
    <col min="10258" max="10258" width="6.25" style="2914" customWidth="1"/>
    <col min="10259" max="10259" width="23" style="2914" customWidth="1"/>
    <col min="10260" max="10260" width="7.875" style="2914" customWidth="1"/>
    <col min="10261" max="10496" width="9" style="2914"/>
    <col min="10497" max="10497" width="56.375" style="2914" customWidth="1"/>
    <col min="10498" max="10498" width="6.25" style="2914" customWidth="1"/>
    <col min="10499" max="10499" width="11.75" style="2914" customWidth="1"/>
    <col min="10500" max="10500" width="4.625" style="2914" customWidth="1"/>
    <col min="10501" max="10501" width="32.75" style="2914" customWidth="1"/>
    <col min="10502" max="10502" width="7.875" style="2914" customWidth="1"/>
    <col min="10503" max="10503" width="21.125" style="2914" customWidth="1"/>
    <col min="10504" max="10504" width="25.125" style="2914" customWidth="1"/>
    <col min="10505" max="10506" width="13.875" style="2914" customWidth="1"/>
    <col min="10507" max="10507" width="6.75" style="2914" customWidth="1"/>
    <col min="10508" max="10508" width="9" style="2914" customWidth="1"/>
    <col min="10509" max="10509" width="21.125" style="2914" customWidth="1"/>
    <col min="10510" max="10510" width="26.875" style="2914" customWidth="1"/>
    <col min="10511" max="10511" width="10.625" style="2914" customWidth="1"/>
    <col min="10512" max="10512" width="16" style="2914" customWidth="1"/>
    <col min="10513" max="10513" width="14.375" style="2914" customWidth="1"/>
    <col min="10514" max="10514" width="6.25" style="2914" customWidth="1"/>
    <col min="10515" max="10515" width="23" style="2914" customWidth="1"/>
    <col min="10516" max="10516" width="7.875" style="2914" customWidth="1"/>
    <col min="10517" max="10752" width="9" style="2914"/>
    <col min="10753" max="10753" width="56.375" style="2914" customWidth="1"/>
    <col min="10754" max="10754" width="6.25" style="2914" customWidth="1"/>
    <col min="10755" max="10755" width="11.75" style="2914" customWidth="1"/>
    <col min="10756" max="10756" width="4.625" style="2914" customWidth="1"/>
    <col min="10757" max="10757" width="32.75" style="2914" customWidth="1"/>
    <col min="10758" max="10758" width="7.875" style="2914" customWidth="1"/>
    <col min="10759" max="10759" width="21.125" style="2914" customWidth="1"/>
    <col min="10760" max="10760" width="25.125" style="2914" customWidth="1"/>
    <col min="10761" max="10762" width="13.875" style="2914" customWidth="1"/>
    <col min="10763" max="10763" width="6.75" style="2914" customWidth="1"/>
    <col min="10764" max="10764" width="9" style="2914" customWidth="1"/>
    <col min="10765" max="10765" width="21.125" style="2914" customWidth="1"/>
    <col min="10766" max="10766" width="26.875" style="2914" customWidth="1"/>
    <col min="10767" max="10767" width="10.625" style="2914" customWidth="1"/>
    <col min="10768" max="10768" width="16" style="2914" customWidth="1"/>
    <col min="10769" max="10769" width="14.375" style="2914" customWidth="1"/>
    <col min="10770" max="10770" width="6.25" style="2914" customWidth="1"/>
    <col min="10771" max="10771" width="23" style="2914" customWidth="1"/>
    <col min="10772" max="10772" width="7.875" style="2914" customWidth="1"/>
    <col min="10773" max="11008" width="9" style="2914"/>
    <col min="11009" max="11009" width="56.375" style="2914" customWidth="1"/>
    <col min="11010" max="11010" width="6.25" style="2914" customWidth="1"/>
    <col min="11011" max="11011" width="11.75" style="2914" customWidth="1"/>
    <col min="11012" max="11012" width="4.625" style="2914" customWidth="1"/>
    <col min="11013" max="11013" width="32.75" style="2914" customWidth="1"/>
    <col min="11014" max="11014" width="7.875" style="2914" customWidth="1"/>
    <col min="11015" max="11015" width="21.125" style="2914" customWidth="1"/>
    <col min="11016" max="11016" width="25.125" style="2914" customWidth="1"/>
    <col min="11017" max="11018" width="13.875" style="2914" customWidth="1"/>
    <col min="11019" max="11019" width="6.75" style="2914" customWidth="1"/>
    <col min="11020" max="11020" width="9" style="2914" customWidth="1"/>
    <col min="11021" max="11021" width="21.125" style="2914" customWidth="1"/>
    <col min="11022" max="11022" width="26.875" style="2914" customWidth="1"/>
    <col min="11023" max="11023" width="10.625" style="2914" customWidth="1"/>
    <col min="11024" max="11024" width="16" style="2914" customWidth="1"/>
    <col min="11025" max="11025" width="14.375" style="2914" customWidth="1"/>
    <col min="11026" max="11026" width="6.25" style="2914" customWidth="1"/>
    <col min="11027" max="11027" width="23" style="2914" customWidth="1"/>
    <col min="11028" max="11028" width="7.875" style="2914" customWidth="1"/>
    <col min="11029" max="11264" width="9" style="2914"/>
    <col min="11265" max="11265" width="56.375" style="2914" customWidth="1"/>
    <col min="11266" max="11266" width="6.25" style="2914" customWidth="1"/>
    <col min="11267" max="11267" width="11.75" style="2914" customWidth="1"/>
    <col min="11268" max="11268" width="4.625" style="2914" customWidth="1"/>
    <col min="11269" max="11269" width="32.75" style="2914" customWidth="1"/>
    <col min="11270" max="11270" width="7.875" style="2914" customWidth="1"/>
    <col min="11271" max="11271" width="21.125" style="2914" customWidth="1"/>
    <col min="11272" max="11272" width="25.125" style="2914" customWidth="1"/>
    <col min="11273" max="11274" width="13.875" style="2914" customWidth="1"/>
    <col min="11275" max="11275" width="6.75" style="2914" customWidth="1"/>
    <col min="11276" max="11276" width="9" style="2914" customWidth="1"/>
    <col min="11277" max="11277" width="21.125" style="2914" customWidth="1"/>
    <col min="11278" max="11278" width="26.875" style="2914" customWidth="1"/>
    <col min="11279" max="11279" width="10.625" style="2914" customWidth="1"/>
    <col min="11280" max="11280" width="16" style="2914" customWidth="1"/>
    <col min="11281" max="11281" width="14.375" style="2914" customWidth="1"/>
    <col min="11282" max="11282" width="6.25" style="2914" customWidth="1"/>
    <col min="11283" max="11283" width="23" style="2914" customWidth="1"/>
    <col min="11284" max="11284" width="7.875" style="2914" customWidth="1"/>
    <col min="11285" max="11520" width="9" style="2914"/>
    <col min="11521" max="11521" width="56.375" style="2914" customWidth="1"/>
    <col min="11522" max="11522" width="6.25" style="2914" customWidth="1"/>
    <col min="11523" max="11523" width="11.75" style="2914" customWidth="1"/>
    <col min="11524" max="11524" width="4.625" style="2914" customWidth="1"/>
    <col min="11525" max="11525" width="32.75" style="2914" customWidth="1"/>
    <col min="11526" max="11526" width="7.875" style="2914" customWidth="1"/>
    <col min="11527" max="11527" width="21.125" style="2914" customWidth="1"/>
    <col min="11528" max="11528" width="25.125" style="2914" customWidth="1"/>
    <col min="11529" max="11530" width="13.875" style="2914" customWidth="1"/>
    <col min="11531" max="11531" width="6.75" style="2914" customWidth="1"/>
    <col min="11532" max="11532" width="9" style="2914" customWidth="1"/>
    <col min="11533" max="11533" width="21.125" style="2914" customWidth="1"/>
    <col min="11534" max="11534" width="26.875" style="2914" customWidth="1"/>
    <col min="11535" max="11535" width="10.625" style="2914" customWidth="1"/>
    <col min="11536" max="11536" width="16" style="2914" customWidth="1"/>
    <col min="11537" max="11537" width="14.375" style="2914" customWidth="1"/>
    <col min="11538" max="11538" width="6.25" style="2914" customWidth="1"/>
    <col min="11539" max="11539" width="23" style="2914" customWidth="1"/>
    <col min="11540" max="11540" width="7.875" style="2914" customWidth="1"/>
    <col min="11541" max="11776" width="9" style="2914"/>
    <col min="11777" max="11777" width="56.375" style="2914" customWidth="1"/>
    <col min="11778" max="11778" width="6.25" style="2914" customWidth="1"/>
    <col min="11779" max="11779" width="11.75" style="2914" customWidth="1"/>
    <col min="11780" max="11780" width="4.625" style="2914" customWidth="1"/>
    <col min="11781" max="11781" width="32.75" style="2914" customWidth="1"/>
    <col min="11782" max="11782" width="7.875" style="2914" customWidth="1"/>
    <col min="11783" max="11783" width="21.125" style="2914" customWidth="1"/>
    <col min="11784" max="11784" width="25.125" style="2914" customWidth="1"/>
    <col min="11785" max="11786" width="13.875" style="2914" customWidth="1"/>
    <col min="11787" max="11787" width="6.75" style="2914" customWidth="1"/>
    <col min="11788" max="11788" width="9" style="2914" customWidth="1"/>
    <col min="11789" max="11789" width="21.125" style="2914" customWidth="1"/>
    <col min="11790" max="11790" width="26.875" style="2914" customWidth="1"/>
    <col min="11791" max="11791" width="10.625" style="2914" customWidth="1"/>
    <col min="11792" max="11792" width="16" style="2914" customWidth="1"/>
    <col min="11793" max="11793" width="14.375" style="2914" customWidth="1"/>
    <col min="11794" max="11794" width="6.25" style="2914" customWidth="1"/>
    <col min="11795" max="11795" width="23" style="2914" customWidth="1"/>
    <col min="11796" max="11796" width="7.875" style="2914" customWidth="1"/>
    <col min="11797" max="12032" width="9" style="2914"/>
    <col min="12033" max="12033" width="56.375" style="2914" customWidth="1"/>
    <col min="12034" max="12034" width="6.25" style="2914" customWidth="1"/>
    <col min="12035" max="12035" width="11.75" style="2914" customWidth="1"/>
    <col min="12036" max="12036" width="4.625" style="2914" customWidth="1"/>
    <col min="12037" max="12037" width="32.75" style="2914" customWidth="1"/>
    <col min="12038" max="12038" width="7.875" style="2914" customWidth="1"/>
    <col min="12039" max="12039" width="21.125" style="2914" customWidth="1"/>
    <col min="12040" max="12040" width="25.125" style="2914" customWidth="1"/>
    <col min="12041" max="12042" width="13.875" style="2914" customWidth="1"/>
    <col min="12043" max="12043" width="6.75" style="2914" customWidth="1"/>
    <col min="12044" max="12044" width="9" style="2914" customWidth="1"/>
    <col min="12045" max="12045" width="21.125" style="2914" customWidth="1"/>
    <col min="12046" max="12046" width="26.875" style="2914" customWidth="1"/>
    <col min="12047" max="12047" width="10.625" style="2914" customWidth="1"/>
    <col min="12048" max="12048" width="16" style="2914" customWidth="1"/>
    <col min="12049" max="12049" width="14.375" style="2914" customWidth="1"/>
    <col min="12050" max="12050" width="6.25" style="2914" customWidth="1"/>
    <col min="12051" max="12051" width="23" style="2914" customWidth="1"/>
    <col min="12052" max="12052" width="7.875" style="2914" customWidth="1"/>
    <col min="12053" max="12288" width="9" style="2914"/>
    <col min="12289" max="12289" width="56.375" style="2914" customWidth="1"/>
    <col min="12290" max="12290" width="6.25" style="2914" customWidth="1"/>
    <col min="12291" max="12291" width="11.75" style="2914" customWidth="1"/>
    <col min="12292" max="12292" width="4.625" style="2914" customWidth="1"/>
    <col min="12293" max="12293" width="32.75" style="2914" customWidth="1"/>
    <col min="12294" max="12294" width="7.875" style="2914" customWidth="1"/>
    <col min="12295" max="12295" width="21.125" style="2914" customWidth="1"/>
    <col min="12296" max="12296" width="25.125" style="2914" customWidth="1"/>
    <col min="12297" max="12298" width="13.875" style="2914" customWidth="1"/>
    <col min="12299" max="12299" width="6.75" style="2914" customWidth="1"/>
    <col min="12300" max="12300" width="9" style="2914" customWidth="1"/>
    <col min="12301" max="12301" width="21.125" style="2914" customWidth="1"/>
    <col min="12302" max="12302" width="26.875" style="2914" customWidth="1"/>
    <col min="12303" max="12303" width="10.625" style="2914" customWidth="1"/>
    <col min="12304" max="12304" width="16" style="2914" customWidth="1"/>
    <col min="12305" max="12305" width="14.375" style="2914" customWidth="1"/>
    <col min="12306" max="12306" width="6.25" style="2914" customWidth="1"/>
    <col min="12307" max="12307" width="23" style="2914" customWidth="1"/>
    <col min="12308" max="12308" width="7.875" style="2914" customWidth="1"/>
    <col min="12309" max="12544" width="9" style="2914"/>
    <col min="12545" max="12545" width="56.375" style="2914" customWidth="1"/>
    <col min="12546" max="12546" width="6.25" style="2914" customWidth="1"/>
    <col min="12547" max="12547" width="11.75" style="2914" customWidth="1"/>
    <col min="12548" max="12548" width="4.625" style="2914" customWidth="1"/>
    <col min="12549" max="12549" width="32.75" style="2914" customWidth="1"/>
    <col min="12550" max="12550" width="7.875" style="2914" customWidth="1"/>
    <col min="12551" max="12551" width="21.125" style="2914" customWidth="1"/>
    <col min="12552" max="12552" width="25.125" style="2914" customWidth="1"/>
    <col min="12553" max="12554" width="13.875" style="2914" customWidth="1"/>
    <col min="12555" max="12555" width="6.75" style="2914" customWidth="1"/>
    <col min="12556" max="12556" width="9" style="2914" customWidth="1"/>
    <col min="12557" max="12557" width="21.125" style="2914" customWidth="1"/>
    <col min="12558" max="12558" width="26.875" style="2914" customWidth="1"/>
    <col min="12559" max="12559" width="10.625" style="2914" customWidth="1"/>
    <col min="12560" max="12560" width="16" style="2914" customWidth="1"/>
    <col min="12561" max="12561" width="14.375" style="2914" customWidth="1"/>
    <col min="12562" max="12562" width="6.25" style="2914" customWidth="1"/>
    <col min="12563" max="12563" width="23" style="2914" customWidth="1"/>
    <col min="12564" max="12564" width="7.875" style="2914" customWidth="1"/>
    <col min="12565" max="12800" width="9" style="2914"/>
    <col min="12801" max="12801" width="56.375" style="2914" customWidth="1"/>
    <col min="12802" max="12802" width="6.25" style="2914" customWidth="1"/>
    <col min="12803" max="12803" width="11.75" style="2914" customWidth="1"/>
    <col min="12804" max="12804" width="4.625" style="2914" customWidth="1"/>
    <col min="12805" max="12805" width="32.75" style="2914" customWidth="1"/>
    <col min="12806" max="12806" width="7.875" style="2914" customWidth="1"/>
    <col min="12807" max="12807" width="21.125" style="2914" customWidth="1"/>
    <col min="12808" max="12808" width="25.125" style="2914" customWidth="1"/>
    <col min="12809" max="12810" width="13.875" style="2914" customWidth="1"/>
    <col min="12811" max="12811" width="6.75" style="2914" customWidth="1"/>
    <col min="12812" max="12812" width="9" style="2914" customWidth="1"/>
    <col min="12813" max="12813" width="21.125" style="2914" customWidth="1"/>
    <col min="12814" max="12814" width="26.875" style="2914" customWidth="1"/>
    <col min="12815" max="12815" width="10.625" style="2914" customWidth="1"/>
    <col min="12816" max="12816" width="16" style="2914" customWidth="1"/>
    <col min="12817" max="12817" width="14.375" style="2914" customWidth="1"/>
    <col min="12818" max="12818" width="6.25" style="2914" customWidth="1"/>
    <col min="12819" max="12819" width="23" style="2914" customWidth="1"/>
    <col min="12820" max="12820" width="7.875" style="2914" customWidth="1"/>
    <col min="12821" max="13056" width="9" style="2914"/>
    <col min="13057" max="13057" width="56.375" style="2914" customWidth="1"/>
    <col min="13058" max="13058" width="6.25" style="2914" customWidth="1"/>
    <col min="13059" max="13059" width="11.75" style="2914" customWidth="1"/>
    <col min="13060" max="13060" width="4.625" style="2914" customWidth="1"/>
    <col min="13061" max="13061" width="32.75" style="2914" customWidth="1"/>
    <col min="13062" max="13062" width="7.875" style="2914" customWidth="1"/>
    <col min="13063" max="13063" width="21.125" style="2914" customWidth="1"/>
    <col min="13064" max="13064" width="25.125" style="2914" customWidth="1"/>
    <col min="13065" max="13066" width="13.875" style="2914" customWidth="1"/>
    <col min="13067" max="13067" width="6.75" style="2914" customWidth="1"/>
    <col min="13068" max="13068" width="9" style="2914" customWidth="1"/>
    <col min="13069" max="13069" width="21.125" style="2914" customWidth="1"/>
    <col min="13070" max="13070" width="26.875" style="2914" customWidth="1"/>
    <col min="13071" max="13071" width="10.625" style="2914" customWidth="1"/>
    <col min="13072" max="13072" width="16" style="2914" customWidth="1"/>
    <col min="13073" max="13073" width="14.375" style="2914" customWidth="1"/>
    <col min="13074" max="13074" width="6.25" style="2914" customWidth="1"/>
    <col min="13075" max="13075" width="23" style="2914" customWidth="1"/>
    <col min="13076" max="13076" width="7.875" style="2914" customWidth="1"/>
    <col min="13077" max="13312" width="9" style="2914"/>
    <col min="13313" max="13313" width="56.375" style="2914" customWidth="1"/>
    <col min="13314" max="13314" width="6.25" style="2914" customWidth="1"/>
    <col min="13315" max="13315" width="11.75" style="2914" customWidth="1"/>
    <col min="13316" max="13316" width="4.625" style="2914" customWidth="1"/>
    <col min="13317" max="13317" width="32.75" style="2914" customWidth="1"/>
    <col min="13318" max="13318" width="7.875" style="2914" customWidth="1"/>
    <col min="13319" max="13319" width="21.125" style="2914" customWidth="1"/>
    <col min="13320" max="13320" width="25.125" style="2914" customWidth="1"/>
    <col min="13321" max="13322" width="13.875" style="2914" customWidth="1"/>
    <col min="13323" max="13323" width="6.75" style="2914" customWidth="1"/>
    <col min="13324" max="13324" width="9" style="2914" customWidth="1"/>
    <col min="13325" max="13325" width="21.125" style="2914" customWidth="1"/>
    <col min="13326" max="13326" width="26.875" style="2914" customWidth="1"/>
    <col min="13327" max="13327" width="10.625" style="2914" customWidth="1"/>
    <col min="13328" max="13328" width="16" style="2914" customWidth="1"/>
    <col min="13329" max="13329" width="14.375" style="2914" customWidth="1"/>
    <col min="13330" max="13330" width="6.25" style="2914" customWidth="1"/>
    <col min="13331" max="13331" width="23" style="2914" customWidth="1"/>
    <col min="13332" max="13332" width="7.875" style="2914" customWidth="1"/>
    <col min="13333" max="13568" width="9" style="2914"/>
    <col min="13569" max="13569" width="56.375" style="2914" customWidth="1"/>
    <col min="13570" max="13570" width="6.25" style="2914" customWidth="1"/>
    <col min="13571" max="13571" width="11.75" style="2914" customWidth="1"/>
    <col min="13572" max="13572" width="4.625" style="2914" customWidth="1"/>
    <col min="13573" max="13573" width="32.75" style="2914" customWidth="1"/>
    <col min="13574" max="13574" width="7.875" style="2914" customWidth="1"/>
    <col min="13575" max="13575" width="21.125" style="2914" customWidth="1"/>
    <col min="13576" max="13576" width="25.125" style="2914" customWidth="1"/>
    <col min="13577" max="13578" width="13.875" style="2914" customWidth="1"/>
    <col min="13579" max="13579" width="6.75" style="2914" customWidth="1"/>
    <col min="13580" max="13580" width="9" style="2914" customWidth="1"/>
    <col min="13581" max="13581" width="21.125" style="2914" customWidth="1"/>
    <col min="13582" max="13582" width="26.875" style="2914" customWidth="1"/>
    <col min="13583" max="13583" width="10.625" style="2914" customWidth="1"/>
    <col min="13584" max="13584" width="16" style="2914" customWidth="1"/>
    <col min="13585" max="13585" width="14.375" style="2914" customWidth="1"/>
    <col min="13586" max="13586" width="6.25" style="2914" customWidth="1"/>
    <col min="13587" max="13587" width="23" style="2914" customWidth="1"/>
    <col min="13588" max="13588" width="7.875" style="2914" customWidth="1"/>
    <col min="13589" max="13824" width="9" style="2914"/>
    <col min="13825" max="13825" width="56.375" style="2914" customWidth="1"/>
    <col min="13826" max="13826" width="6.25" style="2914" customWidth="1"/>
    <col min="13827" max="13827" width="11.75" style="2914" customWidth="1"/>
    <col min="13828" max="13828" width="4.625" style="2914" customWidth="1"/>
    <col min="13829" max="13829" width="32.75" style="2914" customWidth="1"/>
    <col min="13830" max="13830" width="7.875" style="2914" customWidth="1"/>
    <col min="13831" max="13831" width="21.125" style="2914" customWidth="1"/>
    <col min="13832" max="13832" width="25.125" style="2914" customWidth="1"/>
    <col min="13833" max="13834" width="13.875" style="2914" customWidth="1"/>
    <col min="13835" max="13835" width="6.75" style="2914" customWidth="1"/>
    <col min="13836" max="13836" width="9" style="2914" customWidth="1"/>
    <col min="13837" max="13837" width="21.125" style="2914" customWidth="1"/>
    <col min="13838" max="13838" width="26.875" style="2914" customWidth="1"/>
    <col min="13839" max="13839" width="10.625" style="2914" customWidth="1"/>
    <col min="13840" max="13840" width="16" style="2914" customWidth="1"/>
    <col min="13841" max="13841" width="14.375" style="2914" customWidth="1"/>
    <col min="13842" max="13842" width="6.25" style="2914" customWidth="1"/>
    <col min="13843" max="13843" width="23" style="2914" customWidth="1"/>
    <col min="13844" max="13844" width="7.875" style="2914" customWidth="1"/>
    <col min="13845" max="14080" width="9" style="2914"/>
    <col min="14081" max="14081" width="56.375" style="2914" customWidth="1"/>
    <col min="14082" max="14082" width="6.25" style="2914" customWidth="1"/>
    <col min="14083" max="14083" width="11.75" style="2914" customWidth="1"/>
    <col min="14084" max="14084" width="4.625" style="2914" customWidth="1"/>
    <col min="14085" max="14085" width="32.75" style="2914" customWidth="1"/>
    <col min="14086" max="14086" width="7.875" style="2914" customWidth="1"/>
    <col min="14087" max="14087" width="21.125" style="2914" customWidth="1"/>
    <col min="14088" max="14088" width="25.125" style="2914" customWidth="1"/>
    <col min="14089" max="14090" width="13.875" style="2914" customWidth="1"/>
    <col min="14091" max="14091" width="6.75" style="2914" customWidth="1"/>
    <col min="14092" max="14092" width="9" style="2914" customWidth="1"/>
    <col min="14093" max="14093" width="21.125" style="2914" customWidth="1"/>
    <col min="14094" max="14094" width="26.875" style="2914" customWidth="1"/>
    <col min="14095" max="14095" width="10.625" style="2914" customWidth="1"/>
    <col min="14096" max="14096" width="16" style="2914" customWidth="1"/>
    <col min="14097" max="14097" width="14.375" style="2914" customWidth="1"/>
    <col min="14098" max="14098" width="6.25" style="2914" customWidth="1"/>
    <col min="14099" max="14099" width="23" style="2914" customWidth="1"/>
    <col min="14100" max="14100" width="7.875" style="2914" customWidth="1"/>
    <col min="14101" max="14336" width="9" style="2914"/>
    <col min="14337" max="14337" width="56.375" style="2914" customWidth="1"/>
    <col min="14338" max="14338" width="6.25" style="2914" customWidth="1"/>
    <col min="14339" max="14339" width="11.75" style="2914" customWidth="1"/>
    <col min="14340" max="14340" width="4.625" style="2914" customWidth="1"/>
    <col min="14341" max="14341" width="32.75" style="2914" customWidth="1"/>
    <col min="14342" max="14342" width="7.875" style="2914" customWidth="1"/>
    <col min="14343" max="14343" width="21.125" style="2914" customWidth="1"/>
    <col min="14344" max="14344" width="25.125" style="2914" customWidth="1"/>
    <col min="14345" max="14346" width="13.875" style="2914" customWidth="1"/>
    <col min="14347" max="14347" width="6.75" style="2914" customWidth="1"/>
    <col min="14348" max="14348" width="9" style="2914" customWidth="1"/>
    <col min="14349" max="14349" width="21.125" style="2914" customWidth="1"/>
    <col min="14350" max="14350" width="26.875" style="2914" customWidth="1"/>
    <col min="14351" max="14351" width="10.625" style="2914" customWidth="1"/>
    <col min="14352" max="14352" width="16" style="2914" customWidth="1"/>
    <col min="14353" max="14353" width="14.375" style="2914" customWidth="1"/>
    <col min="14354" max="14354" width="6.25" style="2914" customWidth="1"/>
    <col min="14355" max="14355" width="23" style="2914" customWidth="1"/>
    <col min="14356" max="14356" width="7.875" style="2914" customWidth="1"/>
    <col min="14357" max="14592" width="9" style="2914"/>
    <col min="14593" max="14593" width="56.375" style="2914" customWidth="1"/>
    <col min="14594" max="14594" width="6.25" style="2914" customWidth="1"/>
    <col min="14595" max="14595" width="11.75" style="2914" customWidth="1"/>
    <col min="14596" max="14596" width="4.625" style="2914" customWidth="1"/>
    <col min="14597" max="14597" width="32.75" style="2914" customWidth="1"/>
    <col min="14598" max="14598" width="7.875" style="2914" customWidth="1"/>
    <col min="14599" max="14599" width="21.125" style="2914" customWidth="1"/>
    <col min="14600" max="14600" width="25.125" style="2914" customWidth="1"/>
    <col min="14601" max="14602" width="13.875" style="2914" customWidth="1"/>
    <col min="14603" max="14603" width="6.75" style="2914" customWidth="1"/>
    <col min="14604" max="14604" width="9" style="2914" customWidth="1"/>
    <col min="14605" max="14605" width="21.125" style="2914" customWidth="1"/>
    <col min="14606" max="14606" width="26.875" style="2914" customWidth="1"/>
    <col min="14607" max="14607" width="10.625" style="2914" customWidth="1"/>
    <col min="14608" max="14608" width="16" style="2914" customWidth="1"/>
    <col min="14609" max="14609" width="14.375" style="2914" customWidth="1"/>
    <col min="14610" max="14610" width="6.25" style="2914" customWidth="1"/>
    <col min="14611" max="14611" width="23" style="2914" customWidth="1"/>
    <col min="14612" max="14612" width="7.875" style="2914" customWidth="1"/>
    <col min="14613" max="14848" width="9" style="2914"/>
    <col min="14849" max="14849" width="56.375" style="2914" customWidth="1"/>
    <col min="14850" max="14850" width="6.25" style="2914" customWidth="1"/>
    <col min="14851" max="14851" width="11.75" style="2914" customWidth="1"/>
    <col min="14852" max="14852" width="4.625" style="2914" customWidth="1"/>
    <col min="14853" max="14853" width="32.75" style="2914" customWidth="1"/>
    <col min="14854" max="14854" width="7.875" style="2914" customWidth="1"/>
    <col min="14855" max="14855" width="21.125" style="2914" customWidth="1"/>
    <col min="14856" max="14856" width="25.125" style="2914" customWidth="1"/>
    <col min="14857" max="14858" width="13.875" style="2914" customWidth="1"/>
    <col min="14859" max="14859" width="6.75" style="2914" customWidth="1"/>
    <col min="14860" max="14860" width="9" style="2914" customWidth="1"/>
    <col min="14861" max="14861" width="21.125" style="2914" customWidth="1"/>
    <col min="14862" max="14862" width="26.875" style="2914" customWidth="1"/>
    <col min="14863" max="14863" width="10.625" style="2914" customWidth="1"/>
    <col min="14864" max="14864" width="16" style="2914" customWidth="1"/>
    <col min="14865" max="14865" width="14.375" style="2914" customWidth="1"/>
    <col min="14866" max="14866" width="6.25" style="2914" customWidth="1"/>
    <col min="14867" max="14867" width="23" style="2914" customWidth="1"/>
    <col min="14868" max="14868" width="7.875" style="2914" customWidth="1"/>
    <col min="14869" max="15104" width="9" style="2914"/>
    <col min="15105" max="15105" width="56.375" style="2914" customWidth="1"/>
    <col min="15106" max="15106" width="6.25" style="2914" customWidth="1"/>
    <col min="15107" max="15107" width="11.75" style="2914" customWidth="1"/>
    <col min="15108" max="15108" width="4.625" style="2914" customWidth="1"/>
    <col min="15109" max="15109" width="32.75" style="2914" customWidth="1"/>
    <col min="15110" max="15110" width="7.875" style="2914" customWidth="1"/>
    <col min="15111" max="15111" width="21.125" style="2914" customWidth="1"/>
    <col min="15112" max="15112" width="25.125" style="2914" customWidth="1"/>
    <col min="15113" max="15114" width="13.875" style="2914" customWidth="1"/>
    <col min="15115" max="15115" width="6.75" style="2914" customWidth="1"/>
    <col min="15116" max="15116" width="9" style="2914" customWidth="1"/>
    <col min="15117" max="15117" width="21.125" style="2914" customWidth="1"/>
    <col min="15118" max="15118" width="26.875" style="2914" customWidth="1"/>
    <col min="15119" max="15119" width="10.625" style="2914" customWidth="1"/>
    <col min="15120" max="15120" width="16" style="2914" customWidth="1"/>
    <col min="15121" max="15121" width="14.375" style="2914" customWidth="1"/>
    <col min="15122" max="15122" width="6.25" style="2914" customWidth="1"/>
    <col min="15123" max="15123" width="23" style="2914" customWidth="1"/>
    <col min="15124" max="15124" width="7.875" style="2914" customWidth="1"/>
    <col min="15125" max="15360" width="9" style="2914"/>
    <col min="15361" max="15361" width="56.375" style="2914" customWidth="1"/>
    <col min="15362" max="15362" width="6.25" style="2914" customWidth="1"/>
    <col min="15363" max="15363" width="11.75" style="2914" customWidth="1"/>
    <col min="15364" max="15364" width="4.625" style="2914" customWidth="1"/>
    <col min="15365" max="15365" width="32.75" style="2914" customWidth="1"/>
    <col min="15366" max="15366" width="7.875" style="2914" customWidth="1"/>
    <col min="15367" max="15367" width="21.125" style="2914" customWidth="1"/>
    <col min="15368" max="15368" width="25.125" style="2914" customWidth="1"/>
    <col min="15369" max="15370" width="13.875" style="2914" customWidth="1"/>
    <col min="15371" max="15371" width="6.75" style="2914" customWidth="1"/>
    <col min="15372" max="15372" width="9" style="2914" customWidth="1"/>
    <col min="15373" max="15373" width="21.125" style="2914" customWidth="1"/>
    <col min="15374" max="15374" width="26.875" style="2914" customWidth="1"/>
    <col min="15375" max="15375" width="10.625" style="2914" customWidth="1"/>
    <col min="15376" max="15376" width="16" style="2914" customWidth="1"/>
    <col min="15377" max="15377" width="14.375" style="2914" customWidth="1"/>
    <col min="15378" max="15378" width="6.25" style="2914" customWidth="1"/>
    <col min="15379" max="15379" width="23" style="2914" customWidth="1"/>
    <col min="15380" max="15380" width="7.875" style="2914" customWidth="1"/>
    <col min="15381" max="15616" width="9" style="2914"/>
    <col min="15617" max="15617" width="56.375" style="2914" customWidth="1"/>
    <col min="15618" max="15618" width="6.25" style="2914" customWidth="1"/>
    <col min="15619" max="15619" width="11.75" style="2914" customWidth="1"/>
    <col min="15620" max="15620" width="4.625" style="2914" customWidth="1"/>
    <col min="15621" max="15621" width="32.75" style="2914" customWidth="1"/>
    <col min="15622" max="15622" width="7.875" style="2914" customWidth="1"/>
    <col min="15623" max="15623" width="21.125" style="2914" customWidth="1"/>
    <col min="15624" max="15624" width="25.125" style="2914" customWidth="1"/>
    <col min="15625" max="15626" width="13.875" style="2914" customWidth="1"/>
    <col min="15627" max="15627" width="6.75" style="2914" customWidth="1"/>
    <col min="15628" max="15628" width="9" style="2914" customWidth="1"/>
    <col min="15629" max="15629" width="21.125" style="2914" customWidth="1"/>
    <col min="15630" max="15630" width="26.875" style="2914" customWidth="1"/>
    <col min="15631" max="15631" width="10.625" style="2914" customWidth="1"/>
    <col min="15632" max="15632" width="16" style="2914" customWidth="1"/>
    <col min="15633" max="15633" width="14.375" style="2914" customWidth="1"/>
    <col min="15634" max="15634" width="6.25" style="2914" customWidth="1"/>
    <col min="15635" max="15635" width="23" style="2914" customWidth="1"/>
    <col min="15636" max="15636" width="7.875" style="2914" customWidth="1"/>
    <col min="15637" max="15872" width="9" style="2914"/>
    <col min="15873" max="15873" width="56.375" style="2914" customWidth="1"/>
    <col min="15874" max="15874" width="6.25" style="2914" customWidth="1"/>
    <col min="15875" max="15875" width="11.75" style="2914" customWidth="1"/>
    <col min="15876" max="15876" width="4.625" style="2914" customWidth="1"/>
    <col min="15877" max="15877" width="32.75" style="2914" customWidth="1"/>
    <col min="15878" max="15878" width="7.875" style="2914" customWidth="1"/>
    <col min="15879" max="15879" width="21.125" style="2914" customWidth="1"/>
    <col min="15880" max="15880" width="25.125" style="2914" customWidth="1"/>
    <col min="15881" max="15882" width="13.875" style="2914" customWidth="1"/>
    <col min="15883" max="15883" width="6.75" style="2914" customWidth="1"/>
    <col min="15884" max="15884" width="9" style="2914" customWidth="1"/>
    <col min="15885" max="15885" width="21.125" style="2914" customWidth="1"/>
    <col min="15886" max="15886" width="26.875" style="2914" customWidth="1"/>
    <col min="15887" max="15887" width="10.625" style="2914" customWidth="1"/>
    <col min="15888" max="15888" width="16" style="2914" customWidth="1"/>
    <col min="15889" max="15889" width="14.375" style="2914" customWidth="1"/>
    <col min="15890" max="15890" width="6.25" style="2914" customWidth="1"/>
    <col min="15891" max="15891" width="23" style="2914" customWidth="1"/>
    <col min="15892" max="15892" width="7.875" style="2914" customWidth="1"/>
    <col min="15893" max="16128" width="9" style="2914"/>
    <col min="16129" max="16129" width="56.375" style="2914" customWidth="1"/>
    <col min="16130" max="16130" width="6.25" style="2914" customWidth="1"/>
    <col min="16131" max="16131" width="11.75" style="2914" customWidth="1"/>
    <col min="16132" max="16132" width="4.625" style="2914" customWidth="1"/>
    <col min="16133" max="16133" width="32.75" style="2914" customWidth="1"/>
    <col min="16134" max="16134" width="7.875" style="2914" customWidth="1"/>
    <col min="16135" max="16135" width="21.125" style="2914" customWidth="1"/>
    <col min="16136" max="16136" width="25.125" style="2914" customWidth="1"/>
    <col min="16137" max="16138" width="13.875" style="2914" customWidth="1"/>
    <col min="16139" max="16139" width="6.75" style="2914" customWidth="1"/>
    <col min="16140" max="16140" width="9" style="2914" customWidth="1"/>
    <col min="16141" max="16141" width="21.125" style="2914" customWidth="1"/>
    <col min="16142" max="16142" width="26.875" style="2914" customWidth="1"/>
    <col min="16143" max="16143" width="10.625" style="2914" customWidth="1"/>
    <col min="16144" max="16144" width="16" style="2914" customWidth="1"/>
    <col min="16145" max="16145" width="14.375" style="2914" customWidth="1"/>
    <col min="16146" max="16146" width="6.25" style="2914" customWidth="1"/>
    <col min="16147" max="16147" width="23" style="2914" customWidth="1"/>
    <col min="16148" max="16148" width="7.875" style="2914" customWidth="1"/>
    <col min="16149" max="16384" width="9" style="2914"/>
  </cols>
  <sheetData>
    <row r="1" spans="1:20">
      <c r="A1" s="2914" t="s">
        <v>3071</v>
      </c>
      <c r="B1" s="2914" t="s">
        <v>3072</v>
      </c>
      <c r="C1" s="2914" t="s">
        <v>3073</v>
      </c>
      <c r="D1" s="2914" t="s">
        <v>3074</v>
      </c>
      <c r="E1" s="2914" t="s">
        <v>3075</v>
      </c>
      <c r="F1" s="2914" t="s">
        <v>3076</v>
      </c>
      <c r="G1" s="2914" t="s">
        <v>3077</v>
      </c>
      <c r="H1" s="2914" t="s">
        <v>3078</v>
      </c>
      <c r="I1" s="2914" t="s">
        <v>3079</v>
      </c>
      <c r="J1" s="2914" t="s">
        <v>3080</v>
      </c>
      <c r="K1" s="2914" t="s">
        <v>2032</v>
      </c>
      <c r="L1" s="2914" t="s">
        <v>3081</v>
      </c>
      <c r="M1" s="2914" t="s">
        <v>3082</v>
      </c>
      <c r="N1" s="2914" t="s">
        <v>3083</v>
      </c>
      <c r="O1" s="2914" t="s">
        <v>3084</v>
      </c>
      <c r="P1" s="2914" t="s">
        <v>3085</v>
      </c>
      <c r="Q1" s="2914" t="s">
        <v>3086</v>
      </c>
      <c r="R1" s="2914" t="s">
        <v>3087</v>
      </c>
      <c r="S1" s="2914" t="s">
        <v>3088</v>
      </c>
      <c r="T1" s="2914" t="s">
        <v>3089</v>
      </c>
    </row>
    <row r="2" spans="1:20" hidden="1">
      <c r="A2" s="2914" t="s">
        <v>3090</v>
      </c>
      <c r="B2" s="2914" t="s">
        <v>1945</v>
      </c>
      <c r="C2" s="2914" t="s">
        <v>3091</v>
      </c>
      <c r="D2" s="2914" t="s">
        <v>2817</v>
      </c>
      <c r="E2" s="2914" t="s">
        <v>3092</v>
      </c>
      <c r="F2" s="2914" t="s">
        <v>3093</v>
      </c>
      <c r="G2" s="2914" t="s">
        <v>3094</v>
      </c>
      <c r="H2" s="2914" t="s">
        <v>3095</v>
      </c>
      <c r="I2" s="2914">
        <v>14089.17</v>
      </c>
      <c r="J2" s="2914">
        <v>105000</v>
      </c>
      <c r="K2" s="2914">
        <v>7.4525300000000003</v>
      </c>
      <c r="L2" s="2914" t="s">
        <v>3096</v>
      </c>
      <c r="M2" s="2914" t="s">
        <v>3094</v>
      </c>
      <c r="N2" s="2914" t="s">
        <v>3097</v>
      </c>
      <c r="O2" s="2914">
        <v>355000</v>
      </c>
      <c r="P2" s="2914">
        <v>16797.77</v>
      </c>
      <c r="Q2" s="2914">
        <v>33809.51</v>
      </c>
      <c r="R2" s="2914">
        <v>40.869999999999997</v>
      </c>
      <c r="S2" s="2914" t="s">
        <v>3098</v>
      </c>
      <c r="T2" s="2914" t="s">
        <v>3099</v>
      </c>
    </row>
    <row r="3" spans="1:20" hidden="1">
      <c r="A3" s="2914" t="s">
        <v>3100</v>
      </c>
      <c r="B3" s="2914" t="s">
        <v>1945</v>
      </c>
      <c r="C3" s="2914" t="s">
        <v>3091</v>
      </c>
      <c r="D3" s="2914" t="s">
        <v>2817</v>
      </c>
      <c r="E3" s="2914" t="s">
        <v>3101</v>
      </c>
      <c r="F3" s="2914" t="s">
        <v>3102</v>
      </c>
      <c r="G3" s="2914" t="s">
        <v>3103</v>
      </c>
      <c r="H3" s="2914" t="s">
        <v>3095</v>
      </c>
      <c r="I3" s="2914">
        <v>92055.95</v>
      </c>
      <c r="J3" s="2914">
        <v>92056</v>
      </c>
      <c r="K3" s="2914">
        <v>1</v>
      </c>
      <c r="L3" s="2914" t="s">
        <v>3104</v>
      </c>
      <c r="M3" s="2914" t="s">
        <v>3103</v>
      </c>
      <c r="N3" s="2914" t="s">
        <v>3105</v>
      </c>
      <c r="O3" s="2914">
        <v>285373.59000000003</v>
      </c>
      <c r="P3" s="2914">
        <v>2066.67</v>
      </c>
      <c r="Q3" s="2914">
        <v>31000</v>
      </c>
      <c r="R3" s="2914" t="s">
        <v>2817</v>
      </c>
      <c r="S3" s="2914" t="s">
        <v>3095</v>
      </c>
      <c r="T3" s="2914" t="s">
        <v>3106</v>
      </c>
    </row>
    <row r="4" spans="1:20">
      <c r="A4" s="2914" t="s">
        <v>3107</v>
      </c>
      <c r="B4" s="2914" t="s">
        <v>1945</v>
      </c>
      <c r="C4" s="2914" t="s">
        <v>3091</v>
      </c>
      <c r="D4" s="2914" t="s">
        <v>2817</v>
      </c>
      <c r="E4" s="2914" t="s">
        <v>3108</v>
      </c>
      <c r="F4" s="2914" t="s">
        <v>3093</v>
      </c>
      <c r="G4" s="2914" t="s">
        <v>3109</v>
      </c>
      <c r="H4" s="2914" t="s">
        <v>3110</v>
      </c>
      <c r="I4" s="2914">
        <v>13326.99</v>
      </c>
      <c r="J4" s="2914">
        <v>46644</v>
      </c>
      <c r="K4" s="2914">
        <v>3.5</v>
      </c>
      <c r="L4" s="2914" t="s">
        <v>3111</v>
      </c>
      <c r="M4" s="2914" t="s">
        <v>3109</v>
      </c>
      <c r="N4" s="2914" t="s">
        <v>3112</v>
      </c>
      <c r="O4" s="2914">
        <v>141000</v>
      </c>
      <c r="P4" s="2914">
        <v>7053.36</v>
      </c>
      <c r="Q4" s="2914">
        <v>30228.97</v>
      </c>
      <c r="R4" s="2914">
        <v>107.35</v>
      </c>
      <c r="S4" s="2914" t="s">
        <v>3098</v>
      </c>
      <c r="T4" s="2914" t="s">
        <v>3106</v>
      </c>
    </row>
    <row r="5" spans="1:20" hidden="1">
      <c r="A5" s="2914" t="s">
        <v>3113</v>
      </c>
      <c r="B5" s="2914" t="s">
        <v>1945</v>
      </c>
      <c r="C5" s="2914" t="s">
        <v>3091</v>
      </c>
      <c r="D5" s="2914" t="s">
        <v>2817</v>
      </c>
      <c r="E5" s="2914" t="s">
        <v>3114</v>
      </c>
      <c r="F5" s="2914" t="s">
        <v>3093</v>
      </c>
      <c r="G5" s="2914" t="s">
        <v>3115</v>
      </c>
      <c r="H5" s="2914" t="s">
        <v>3095</v>
      </c>
      <c r="I5" s="2914">
        <v>15240.2</v>
      </c>
      <c r="J5" s="2914">
        <v>86800</v>
      </c>
      <c r="K5" s="2914">
        <v>5.6955</v>
      </c>
      <c r="L5" s="2914" t="s">
        <v>3116</v>
      </c>
      <c r="M5" s="2914" t="s">
        <v>3115</v>
      </c>
      <c r="N5" s="2914" t="s">
        <v>3117</v>
      </c>
      <c r="O5" s="2914">
        <v>242500</v>
      </c>
      <c r="P5" s="2914">
        <v>10607.91</v>
      </c>
      <c r="Q5" s="2914">
        <v>27937.79</v>
      </c>
      <c r="R5" s="2914">
        <v>2.11</v>
      </c>
      <c r="S5" s="2914" t="s">
        <v>3098</v>
      </c>
      <c r="T5" s="2914" t="s">
        <v>3099</v>
      </c>
    </row>
    <row r="6" spans="1:20" hidden="1">
      <c r="A6" s="2914" t="s">
        <v>3118</v>
      </c>
      <c r="B6" s="2914" t="s">
        <v>1945</v>
      </c>
      <c r="C6" s="2914" t="s">
        <v>3091</v>
      </c>
      <c r="D6" s="2914" t="s">
        <v>2817</v>
      </c>
      <c r="E6" s="2914" t="s">
        <v>3092</v>
      </c>
      <c r="F6" s="2914" t="s">
        <v>3093</v>
      </c>
      <c r="G6" s="2914" t="s">
        <v>3119</v>
      </c>
      <c r="H6" s="2914" t="s">
        <v>3120</v>
      </c>
      <c r="I6" s="2914">
        <v>27295.08</v>
      </c>
      <c r="J6" s="2914">
        <v>160000</v>
      </c>
      <c r="K6" s="2914">
        <v>5.8</v>
      </c>
      <c r="L6" s="2914" t="s">
        <v>3121</v>
      </c>
      <c r="M6" s="2914" t="s">
        <v>3119</v>
      </c>
      <c r="N6" s="2914" t="s">
        <v>3122</v>
      </c>
      <c r="O6" s="2914">
        <v>434000</v>
      </c>
      <c r="P6" s="2914">
        <v>10600.2</v>
      </c>
      <c r="Q6" s="2914">
        <v>27125</v>
      </c>
      <c r="R6" s="2914">
        <v>0.46</v>
      </c>
      <c r="S6" s="2914" t="s">
        <v>3123</v>
      </c>
      <c r="T6" s="2914" t="s">
        <v>3099</v>
      </c>
    </row>
    <row r="7" spans="1:20">
      <c r="A7" s="2914" t="s">
        <v>3124</v>
      </c>
      <c r="B7" s="2914" t="s">
        <v>1945</v>
      </c>
      <c r="C7" s="2914" t="s">
        <v>3091</v>
      </c>
      <c r="D7" s="2914" t="s">
        <v>2817</v>
      </c>
      <c r="E7" s="2914" t="s">
        <v>3125</v>
      </c>
      <c r="F7" s="2914" t="s">
        <v>3093</v>
      </c>
      <c r="G7" s="2914" t="s">
        <v>3126</v>
      </c>
      <c r="H7" s="2914" t="s">
        <v>3120</v>
      </c>
      <c r="I7" s="2914">
        <v>38100</v>
      </c>
      <c r="J7" s="2914">
        <v>76200</v>
      </c>
      <c r="K7" s="2914">
        <v>2</v>
      </c>
      <c r="L7" s="2914" t="s">
        <v>3127</v>
      </c>
      <c r="M7" s="2914" t="s">
        <v>3126</v>
      </c>
      <c r="N7" s="2914" t="s">
        <v>3128</v>
      </c>
      <c r="O7" s="2914">
        <v>204000</v>
      </c>
      <c r="P7" s="2914">
        <v>3569.55</v>
      </c>
      <c r="Q7" s="2914">
        <v>26771.65</v>
      </c>
      <c r="R7" s="2914">
        <v>40.69</v>
      </c>
      <c r="S7" s="2914" t="s">
        <v>3098</v>
      </c>
      <c r="T7" s="2914" t="s">
        <v>3129</v>
      </c>
    </row>
    <row r="8" spans="1:20">
      <c r="A8" s="2914" t="s">
        <v>3130</v>
      </c>
      <c r="B8" s="2914" t="s">
        <v>1945</v>
      </c>
      <c r="C8" s="2914" t="s">
        <v>3091</v>
      </c>
      <c r="D8" s="2914" t="s">
        <v>2817</v>
      </c>
      <c r="E8" s="2914" t="s">
        <v>3092</v>
      </c>
      <c r="F8" s="2914" t="s">
        <v>3102</v>
      </c>
      <c r="G8" s="2914" t="s">
        <v>3131</v>
      </c>
      <c r="H8" s="2914" t="s">
        <v>3120</v>
      </c>
      <c r="I8" s="2914">
        <v>39410.74</v>
      </c>
      <c r="J8" s="2914">
        <v>120000</v>
      </c>
      <c r="K8" s="2914">
        <v>3.04</v>
      </c>
      <c r="L8" s="2914" t="s">
        <v>3132</v>
      </c>
      <c r="M8" s="2914" t="s">
        <v>3131</v>
      </c>
      <c r="N8" s="2914" t="s">
        <v>3133</v>
      </c>
      <c r="O8" s="2914">
        <v>318758</v>
      </c>
      <c r="P8" s="2914">
        <v>5392.07</v>
      </c>
      <c r="Q8" s="2914">
        <v>26563.16</v>
      </c>
      <c r="R8" s="2914" t="s">
        <v>2817</v>
      </c>
      <c r="S8" s="2914" t="s">
        <v>3098</v>
      </c>
      <c r="T8" s="2914" t="s">
        <v>3099</v>
      </c>
    </row>
    <row r="9" spans="1:20">
      <c r="A9" s="2914" t="s">
        <v>3134</v>
      </c>
      <c r="B9" s="2914" t="s">
        <v>1945</v>
      </c>
      <c r="C9" s="2914" t="s">
        <v>3091</v>
      </c>
      <c r="D9" s="2914" t="s">
        <v>2817</v>
      </c>
      <c r="E9" s="2914" t="s">
        <v>3135</v>
      </c>
      <c r="F9" s="2914" t="s">
        <v>3093</v>
      </c>
      <c r="G9" s="2914" t="s">
        <v>3136</v>
      </c>
      <c r="H9" s="2914" t="s">
        <v>3095</v>
      </c>
      <c r="I9" s="2914">
        <v>33619.79</v>
      </c>
      <c r="J9" s="2914">
        <v>134479</v>
      </c>
      <c r="K9" s="2914">
        <v>4</v>
      </c>
      <c r="L9" s="2914" t="s">
        <v>3137</v>
      </c>
      <c r="M9" s="2914" t="s">
        <v>3136</v>
      </c>
      <c r="N9" s="2914" t="s">
        <v>3138</v>
      </c>
      <c r="O9" s="2914">
        <v>334000</v>
      </c>
      <c r="P9" s="2914">
        <v>6623.08</v>
      </c>
      <c r="Q9" s="2914">
        <v>24836.59</v>
      </c>
      <c r="R9" s="2914">
        <v>118.3</v>
      </c>
      <c r="S9" s="2914" t="s">
        <v>3098</v>
      </c>
      <c r="T9" s="2914" t="s">
        <v>3129</v>
      </c>
    </row>
    <row r="10" spans="1:20">
      <c r="A10" s="2914" t="s">
        <v>3139</v>
      </c>
      <c r="B10" s="2914" t="s">
        <v>1945</v>
      </c>
      <c r="C10" s="2914" t="s">
        <v>3091</v>
      </c>
      <c r="D10" s="2914" t="s">
        <v>2817</v>
      </c>
      <c r="E10" s="2914" t="s">
        <v>3140</v>
      </c>
      <c r="F10" s="2914" t="s">
        <v>3093</v>
      </c>
      <c r="G10" s="2914" t="s">
        <v>3141</v>
      </c>
      <c r="H10" s="2914" t="s">
        <v>3142</v>
      </c>
      <c r="I10" s="2914">
        <v>39744.120000000003</v>
      </c>
      <c r="J10" s="2914">
        <v>119232</v>
      </c>
      <c r="K10" s="2914">
        <v>3</v>
      </c>
      <c r="L10" s="2914" t="s">
        <v>3143</v>
      </c>
      <c r="M10" s="2914" t="s">
        <v>3144</v>
      </c>
      <c r="N10" s="2914" t="s">
        <v>3145</v>
      </c>
      <c r="O10" s="2914">
        <v>292000</v>
      </c>
      <c r="P10" s="2914">
        <v>4898</v>
      </c>
      <c r="Q10" s="2914">
        <v>24490.06</v>
      </c>
      <c r="R10" s="2914">
        <v>28.63</v>
      </c>
      <c r="S10" s="2914" t="s">
        <v>3146</v>
      </c>
      <c r="T10" s="2914" t="s">
        <v>3129</v>
      </c>
    </row>
    <row r="11" spans="1:20">
      <c r="A11" s="2914" t="s">
        <v>3147</v>
      </c>
      <c r="B11" s="2914" t="s">
        <v>1945</v>
      </c>
      <c r="C11" s="2914" t="s">
        <v>3091</v>
      </c>
      <c r="D11" s="2914" t="s">
        <v>2817</v>
      </c>
      <c r="E11" s="2914" t="s">
        <v>3125</v>
      </c>
      <c r="F11" s="2914" t="s">
        <v>3093</v>
      </c>
      <c r="G11" s="2914" t="s">
        <v>3148</v>
      </c>
      <c r="H11" s="2914" t="s">
        <v>3120</v>
      </c>
      <c r="I11" s="2914">
        <v>46165.91</v>
      </c>
      <c r="J11" s="2914">
        <v>92332</v>
      </c>
      <c r="K11" s="2914">
        <v>2</v>
      </c>
      <c r="L11" s="2914" t="s">
        <v>3127</v>
      </c>
      <c r="M11" s="2914" t="s">
        <v>3148</v>
      </c>
      <c r="N11" s="2914" t="s">
        <v>3149</v>
      </c>
      <c r="O11" s="2914">
        <v>225000</v>
      </c>
      <c r="P11" s="2914">
        <v>3249.15</v>
      </c>
      <c r="Q11" s="2914">
        <v>24368.58</v>
      </c>
      <c r="R11" s="2914">
        <v>27.84</v>
      </c>
      <c r="S11" s="2914" t="s">
        <v>3098</v>
      </c>
      <c r="T11" s="2914" t="s">
        <v>3129</v>
      </c>
    </row>
    <row r="12" spans="1:20" hidden="1">
      <c r="A12" s="2914" t="s">
        <v>3150</v>
      </c>
      <c r="B12" s="2914" t="s">
        <v>1945</v>
      </c>
      <c r="C12" s="2914" t="s">
        <v>3091</v>
      </c>
      <c r="D12" s="2914" t="s">
        <v>2817</v>
      </c>
      <c r="E12" s="2914" t="s">
        <v>3151</v>
      </c>
      <c r="F12" s="2914" t="s">
        <v>3093</v>
      </c>
      <c r="G12" s="2914" t="s">
        <v>3152</v>
      </c>
      <c r="H12" s="2914" t="s">
        <v>3095</v>
      </c>
      <c r="I12" s="2914">
        <v>16863.939999999999</v>
      </c>
      <c r="J12" s="2914">
        <v>87923.61</v>
      </c>
      <c r="K12" s="2914">
        <v>5.2137000000000002</v>
      </c>
      <c r="L12" s="2914" t="s">
        <v>3096</v>
      </c>
      <c r="M12" s="2914" t="s">
        <v>3152</v>
      </c>
      <c r="N12" s="2914" t="s">
        <v>3153</v>
      </c>
      <c r="O12" s="2914">
        <v>211000</v>
      </c>
      <c r="P12" s="2914">
        <v>8341.27</v>
      </c>
      <c r="Q12" s="2914">
        <v>23998.09</v>
      </c>
      <c r="R12" s="2914">
        <v>0</v>
      </c>
      <c r="S12" s="2914" t="s">
        <v>3098</v>
      </c>
      <c r="T12" s="2914" t="s">
        <v>3106</v>
      </c>
    </row>
    <row r="13" spans="1:20">
      <c r="A13" s="2914" t="s">
        <v>3154</v>
      </c>
      <c r="B13" s="2914" t="s">
        <v>1945</v>
      </c>
      <c r="C13" s="2914" t="s">
        <v>3091</v>
      </c>
      <c r="D13" s="2914" t="s">
        <v>2817</v>
      </c>
      <c r="E13" s="2914" t="s">
        <v>3155</v>
      </c>
      <c r="F13" s="2914" t="s">
        <v>3093</v>
      </c>
      <c r="G13" s="2914" t="s">
        <v>3156</v>
      </c>
      <c r="H13" s="2914" t="s">
        <v>3120</v>
      </c>
      <c r="I13" s="2914">
        <v>18303.330000000002</v>
      </c>
      <c r="J13" s="2914">
        <v>58571</v>
      </c>
      <c r="K13" s="2914">
        <v>3.2</v>
      </c>
      <c r="L13" s="2914" t="s">
        <v>3157</v>
      </c>
      <c r="M13" s="2914" t="s">
        <v>3156</v>
      </c>
      <c r="N13" s="2914" t="s">
        <v>3158</v>
      </c>
      <c r="O13" s="2914">
        <v>129000</v>
      </c>
      <c r="P13" s="2914">
        <v>4698.6000000000004</v>
      </c>
      <c r="Q13" s="2914">
        <v>22024.54</v>
      </c>
      <c r="R13" s="2914">
        <v>62.06</v>
      </c>
      <c r="S13" s="2914" t="s">
        <v>3098</v>
      </c>
      <c r="T13" s="2914" t="s">
        <v>3106</v>
      </c>
    </row>
    <row r="14" spans="1:20">
      <c r="A14" s="2914" t="s">
        <v>3159</v>
      </c>
      <c r="B14" s="2914" t="s">
        <v>1945</v>
      </c>
      <c r="C14" s="2914" t="s">
        <v>3091</v>
      </c>
      <c r="D14" s="2914" t="s">
        <v>2817</v>
      </c>
      <c r="E14" s="2914" t="s">
        <v>3160</v>
      </c>
      <c r="F14" s="2914" t="s">
        <v>3093</v>
      </c>
      <c r="G14" s="2914" t="s">
        <v>3161</v>
      </c>
      <c r="H14" s="2914" t="s">
        <v>3162</v>
      </c>
      <c r="I14" s="2914">
        <v>85709</v>
      </c>
      <c r="J14" s="2914">
        <v>179122</v>
      </c>
      <c r="K14" s="2914">
        <v>2.09</v>
      </c>
      <c r="L14" s="2914" t="s">
        <v>3163</v>
      </c>
      <c r="M14" s="2914" t="s">
        <v>3161</v>
      </c>
      <c r="N14" s="2914" t="s">
        <v>3164</v>
      </c>
      <c r="O14" s="2914">
        <v>378000</v>
      </c>
      <c r="P14" s="2914">
        <v>2940.18</v>
      </c>
      <c r="Q14" s="2914">
        <v>21102.93</v>
      </c>
      <c r="R14" s="2914">
        <v>200</v>
      </c>
      <c r="S14" s="2914" t="s">
        <v>3098</v>
      </c>
      <c r="T14" s="2914" t="s">
        <v>3106</v>
      </c>
    </row>
    <row r="15" spans="1:20">
      <c r="A15" s="2914" t="s">
        <v>3165</v>
      </c>
      <c r="B15" s="2914" t="s">
        <v>1945</v>
      </c>
      <c r="C15" s="2914" t="s">
        <v>3091</v>
      </c>
      <c r="D15" s="2914" t="s">
        <v>2817</v>
      </c>
      <c r="E15" s="2914" t="s">
        <v>3166</v>
      </c>
      <c r="F15" s="2914" t="s">
        <v>3093</v>
      </c>
      <c r="G15" s="2914" t="s">
        <v>3167</v>
      </c>
      <c r="H15" s="2914" t="s">
        <v>3095</v>
      </c>
      <c r="I15" s="2914">
        <v>8466</v>
      </c>
      <c r="J15" s="2914">
        <v>21165</v>
      </c>
      <c r="K15" s="2914">
        <v>2.5</v>
      </c>
      <c r="L15" s="2914" t="s">
        <v>3168</v>
      </c>
      <c r="M15" s="2914" t="s">
        <v>3167</v>
      </c>
      <c r="N15" s="2914" t="s">
        <v>3169</v>
      </c>
      <c r="O15" s="2914">
        <v>42000</v>
      </c>
      <c r="P15" s="2914">
        <v>3307.35</v>
      </c>
      <c r="Q15" s="2914">
        <v>19844.080000000002</v>
      </c>
      <c r="R15" s="2914">
        <v>3.45</v>
      </c>
      <c r="S15" s="2914" t="s">
        <v>3098</v>
      </c>
      <c r="T15" s="2914" t="s">
        <v>3106</v>
      </c>
    </row>
    <row r="16" spans="1:20">
      <c r="A16" s="2914" t="s">
        <v>3170</v>
      </c>
      <c r="B16" s="2914" t="s">
        <v>1945</v>
      </c>
      <c r="C16" s="2914" t="s">
        <v>3091</v>
      </c>
      <c r="D16" s="2914" t="s">
        <v>2817</v>
      </c>
      <c r="E16" s="2914" t="s">
        <v>3166</v>
      </c>
      <c r="F16" s="2914" t="s">
        <v>3093</v>
      </c>
      <c r="G16" s="2914" t="s">
        <v>3171</v>
      </c>
      <c r="H16" s="2914" t="s">
        <v>3095</v>
      </c>
      <c r="I16" s="2914">
        <v>10384</v>
      </c>
      <c r="J16" s="2914">
        <v>25960</v>
      </c>
      <c r="K16" s="2914">
        <v>2.5</v>
      </c>
      <c r="L16" s="2914" t="s">
        <v>3163</v>
      </c>
      <c r="M16" s="2914" t="s">
        <v>3171</v>
      </c>
      <c r="N16" s="2914" t="s">
        <v>3172</v>
      </c>
      <c r="O16" s="2914">
        <v>51300</v>
      </c>
      <c r="P16" s="2914">
        <v>3293.53</v>
      </c>
      <c r="Q16" s="2914">
        <v>19761.16</v>
      </c>
      <c r="R16" s="2914">
        <v>0</v>
      </c>
      <c r="S16" s="2914" t="s">
        <v>3098</v>
      </c>
      <c r="T16" s="2914" t="s">
        <v>3106</v>
      </c>
    </row>
    <row r="17" spans="1:20">
      <c r="A17" s="2914" t="s">
        <v>3173</v>
      </c>
      <c r="B17" s="2914" t="s">
        <v>1945</v>
      </c>
      <c r="C17" s="2914" t="s">
        <v>3091</v>
      </c>
      <c r="D17" s="2914" t="s">
        <v>2817</v>
      </c>
      <c r="E17" s="2914" t="s">
        <v>3174</v>
      </c>
      <c r="F17" s="2914" t="s">
        <v>3093</v>
      </c>
      <c r="G17" s="2914" t="s">
        <v>3175</v>
      </c>
      <c r="H17" s="2914" t="s">
        <v>3095</v>
      </c>
      <c r="I17" s="2914">
        <v>28622.32</v>
      </c>
      <c r="J17" s="2914">
        <v>71556</v>
      </c>
      <c r="K17" s="2914">
        <v>2.5</v>
      </c>
      <c r="L17" s="2914" t="s">
        <v>3027</v>
      </c>
      <c r="M17" s="2914" t="s">
        <v>3175</v>
      </c>
      <c r="N17" s="2914" t="s">
        <v>3176</v>
      </c>
      <c r="O17" s="2914">
        <v>132000</v>
      </c>
      <c r="P17" s="2914">
        <v>3074.52</v>
      </c>
      <c r="Q17" s="2914">
        <v>18447.09</v>
      </c>
      <c r="R17" s="2914">
        <v>0</v>
      </c>
      <c r="S17" s="2914" t="s">
        <v>3098</v>
      </c>
      <c r="T17" s="2914" t="s">
        <v>3106</v>
      </c>
    </row>
    <row r="18" spans="1:20">
      <c r="A18" s="2914" t="s">
        <v>3177</v>
      </c>
      <c r="B18" s="2914" t="s">
        <v>1945</v>
      </c>
      <c r="C18" s="2914" t="s">
        <v>3091</v>
      </c>
      <c r="D18" s="2914" t="s">
        <v>2817</v>
      </c>
      <c r="E18" s="2914" t="s">
        <v>3178</v>
      </c>
      <c r="F18" s="2914" t="s">
        <v>3093</v>
      </c>
      <c r="G18" s="2914" t="s">
        <v>3179</v>
      </c>
      <c r="H18" s="2914" t="s">
        <v>3180</v>
      </c>
      <c r="I18" s="2914">
        <v>138746.29999999999</v>
      </c>
      <c r="J18" s="2914">
        <v>486596</v>
      </c>
      <c r="K18" s="2914">
        <v>3.51</v>
      </c>
      <c r="L18" s="2914" t="s">
        <v>3181</v>
      </c>
      <c r="M18" s="2914" t="s">
        <v>3179</v>
      </c>
      <c r="N18" s="2914" t="s">
        <v>3182</v>
      </c>
      <c r="O18" s="2914">
        <v>866300</v>
      </c>
      <c r="P18" s="2914">
        <v>4162.51</v>
      </c>
      <c r="Q18" s="2914">
        <v>17803.27</v>
      </c>
      <c r="R18" s="2914">
        <v>0</v>
      </c>
      <c r="S18" s="2914" t="s">
        <v>3098</v>
      </c>
      <c r="T18" s="2914" t="s">
        <v>3099</v>
      </c>
    </row>
    <row r="19" spans="1:20">
      <c r="A19" s="2914" t="s">
        <v>3183</v>
      </c>
      <c r="B19" s="2914" t="s">
        <v>1945</v>
      </c>
      <c r="C19" s="2914" t="s">
        <v>3091</v>
      </c>
      <c r="D19" s="2914" t="s">
        <v>2817</v>
      </c>
      <c r="E19" s="2914" t="s">
        <v>3184</v>
      </c>
      <c r="F19" s="2914" t="s">
        <v>3093</v>
      </c>
      <c r="G19" s="2914" t="s">
        <v>3185</v>
      </c>
      <c r="H19" s="2914" t="s">
        <v>3120</v>
      </c>
      <c r="I19" s="2914">
        <v>71916.58</v>
      </c>
      <c r="J19" s="2914">
        <v>107875</v>
      </c>
      <c r="K19" s="2914">
        <v>1.5</v>
      </c>
      <c r="L19" s="2914" t="s">
        <v>3186</v>
      </c>
      <c r="M19" s="2914" t="s">
        <v>3185</v>
      </c>
      <c r="N19" s="2914" t="s">
        <v>3187</v>
      </c>
      <c r="O19" s="2914">
        <v>181000</v>
      </c>
      <c r="P19" s="2914">
        <v>1677.87</v>
      </c>
      <c r="Q19" s="2914">
        <v>16778.68</v>
      </c>
      <c r="R19" s="2914">
        <v>101.11</v>
      </c>
      <c r="S19" s="2914" t="s">
        <v>3098</v>
      </c>
      <c r="T19" s="2914" t="s">
        <v>3188</v>
      </c>
    </row>
    <row r="20" spans="1:20">
      <c r="A20" s="2914" t="s">
        <v>3189</v>
      </c>
      <c r="B20" s="2914" t="s">
        <v>1945</v>
      </c>
      <c r="C20" s="2914" t="s">
        <v>3091</v>
      </c>
      <c r="D20" s="2914" t="s">
        <v>2817</v>
      </c>
      <c r="E20" s="2914" t="s">
        <v>3190</v>
      </c>
      <c r="F20" s="2914" t="s">
        <v>3093</v>
      </c>
      <c r="G20" s="2914" t="s">
        <v>3191</v>
      </c>
      <c r="H20" s="2914" t="s">
        <v>3192</v>
      </c>
      <c r="I20" s="2914">
        <v>31420.65</v>
      </c>
      <c r="J20" s="2914">
        <v>65983</v>
      </c>
      <c r="K20" s="2914">
        <v>2.1</v>
      </c>
      <c r="L20" s="2914" t="s">
        <v>3193</v>
      </c>
      <c r="M20" s="2914" t="s">
        <v>3191</v>
      </c>
      <c r="N20" s="2914" t="s">
        <v>3194</v>
      </c>
      <c r="O20" s="2914">
        <v>108100</v>
      </c>
      <c r="P20" s="2914">
        <v>2293.61</v>
      </c>
      <c r="Q20" s="2914">
        <v>16383.01</v>
      </c>
      <c r="R20" s="2914">
        <v>0</v>
      </c>
      <c r="S20" s="2914" t="s">
        <v>3195</v>
      </c>
      <c r="T20" s="2914" t="s">
        <v>3099</v>
      </c>
    </row>
    <row r="21" spans="1:20">
      <c r="A21" s="2914" t="s">
        <v>3196</v>
      </c>
      <c r="B21" s="2914" t="s">
        <v>1945</v>
      </c>
      <c r="C21" s="2914" t="s">
        <v>3091</v>
      </c>
      <c r="D21" s="2914" t="s">
        <v>2817</v>
      </c>
      <c r="E21" s="2914" t="s">
        <v>3190</v>
      </c>
      <c r="F21" s="2914" t="s">
        <v>3093</v>
      </c>
      <c r="G21" s="2914" t="s">
        <v>3197</v>
      </c>
      <c r="H21" s="2914" t="s">
        <v>3192</v>
      </c>
      <c r="I21" s="2914">
        <v>59747.77</v>
      </c>
      <c r="J21" s="2914">
        <v>89622</v>
      </c>
      <c r="K21" s="2914">
        <v>1.5</v>
      </c>
      <c r="L21" s="2914" t="s">
        <v>3193</v>
      </c>
      <c r="M21" s="2914" t="s">
        <v>3197</v>
      </c>
      <c r="N21" s="2914" t="s">
        <v>3198</v>
      </c>
      <c r="O21" s="2914">
        <v>146800</v>
      </c>
      <c r="P21" s="2914">
        <v>1638</v>
      </c>
      <c r="Q21" s="2914">
        <v>16379.9</v>
      </c>
      <c r="R21" s="2914">
        <v>0</v>
      </c>
      <c r="S21" s="2914" t="s">
        <v>3195</v>
      </c>
      <c r="T21" s="2914" t="s">
        <v>3099</v>
      </c>
    </row>
    <row r="22" spans="1:20">
      <c r="A22" s="2914" t="s">
        <v>3199</v>
      </c>
      <c r="B22" s="2914" t="s">
        <v>1945</v>
      </c>
      <c r="C22" s="2914" t="s">
        <v>3091</v>
      </c>
      <c r="D22" s="2914" t="s">
        <v>2817</v>
      </c>
      <c r="E22" s="2914" t="s">
        <v>3200</v>
      </c>
      <c r="F22" s="2914" t="s">
        <v>3093</v>
      </c>
      <c r="G22" s="2914" t="s">
        <v>3201</v>
      </c>
      <c r="H22" s="2914" t="s">
        <v>3192</v>
      </c>
      <c r="I22" s="2914">
        <v>69848.44</v>
      </c>
      <c r="J22" s="2914">
        <v>146863</v>
      </c>
      <c r="K22" s="2914">
        <v>2.1</v>
      </c>
      <c r="L22" s="2914" t="s">
        <v>3202</v>
      </c>
      <c r="M22" s="2914" t="s">
        <v>3201</v>
      </c>
      <c r="N22" s="2914" t="s">
        <v>3203</v>
      </c>
      <c r="O22" s="2914">
        <v>220000</v>
      </c>
      <c r="P22" s="2914">
        <v>2099.7800000000002</v>
      </c>
      <c r="Q22" s="2914">
        <v>14979.95</v>
      </c>
      <c r="R22" s="2914">
        <v>0</v>
      </c>
      <c r="S22" s="2914" t="s">
        <v>3195</v>
      </c>
      <c r="T22" s="2914" t="s">
        <v>3099</v>
      </c>
    </row>
    <row r="23" spans="1:20">
      <c r="A23" s="2914" t="s">
        <v>3204</v>
      </c>
      <c r="B23" s="2914" t="s">
        <v>1945</v>
      </c>
      <c r="C23" s="2914" t="s">
        <v>3091</v>
      </c>
      <c r="D23" s="2914" t="s">
        <v>2817</v>
      </c>
      <c r="E23" s="2914" t="s">
        <v>3204</v>
      </c>
      <c r="F23" s="2914" t="s">
        <v>3093</v>
      </c>
      <c r="G23" s="2914" t="s">
        <v>3205</v>
      </c>
      <c r="H23" s="2914" t="s">
        <v>3206</v>
      </c>
      <c r="I23" s="2914">
        <v>33071.620000000003</v>
      </c>
      <c r="J23" s="2914">
        <v>122423.9</v>
      </c>
      <c r="K23" s="2914">
        <v>3.7</v>
      </c>
      <c r="L23" s="2914" t="s">
        <v>3207</v>
      </c>
      <c r="M23" s="2914" t="s">
        <v>3205</v>
      </c>
      <c r="N23" s="2914" t="s">
        <v>3208</v>
      </c>
      <c r="O23" s="2914">
        <v>183000</v>
      </c>
      <c r="P23" s="2914">
        <v>3688.96</v>
      </c>
      <c r="Q23" s="2914">
        <v>14948.05</v>
      </c>
      <c r="R23" s="2914">
        <v>0</v>
      </c>
      <c r="S23" s="2914" t="s">
        <v>3209</v>
      </c>
      <c r="T23" s="2914" t="s">
        <v>3099</v>
      </c>
    </row>
    <row r="24" spans="1:20">
      <c r="A24" s="2914" t="s">
        <v>3210</v>
      </c>
      <c r="B24" s="2914" t="s">
        <v>1945</v>
      </c>
      <c r="C24" s="2914" t="s">
        <v>3091</v>
      </c>
      <c r="D24" s="2914" t="s">
        <v>2817</v>
      </c>
      <c r="E24" s="2914" t="s">
        <v>3211</v>
      </c>
      <c r="F24" s="2914" t="s">
        <v>3093</v>
      </c>
      <c r="G24" s="2914" t="s">
        <v>3212</v>
      </c>
      <c r="H24" s="2914" t="s">
        <v>3206</v>
      </c>
      <c r="I24" s="2914">
        <v>66237.2</v>
      </c>
      <c r="J24" s="2914">
        <v>264058.7</v>
      </c>
      <c r="K24" s="2914">
        <v>3.99</v>
      </c>
      <c r="L24" s="2914" t="s">
        <v>3213</v>
      </c>
      <c r="M24" s="2914" t="s">
        <v>3212</v>
      </c>
      <c r="N24" s="2914" t="s">
        <v>3214</v>
      </c>
      <c r="O24" s="2914">
        <v>385000</v>
      </c>
      <c r="P24" s="2914">
        <v>3874.96</v>
      </c>
      <c r="Q24" s="2914">
        <v>14580.09</v>
      </c>
      <c r="R24" s="2914">
        <v>0</v>
      </c>
      <c r="S24" s="2914" t="s">
        <v>3209</v>
      </c>
      <c r="T24" s="2914" t="s">
        <v>3106</v>
      </c>
    </row>
    <row r="25" spans="1:20">
      <c r="A25" s="2914" t="s">
        <v>3215</v>
      </c>
      <c r="B25" s="2914" t="s">
        <v>1945</v>
      </c>
      <c r="C25" s="2914" t="s">
        <v>3091</v>
      </c>
      <c r="D25" s="2914" t="s">
        <v>2817</v>
      </c>
      <c r="E25" s="2914" t="s">
        <v>3184</v>
      </c>
      <c r="F25" s="2914" t="s">
        <v>3093</v>
      </c>
      <c r="G25" s="2914" t="s">
        <v>3216</v>
      </c>
      <c r="H25" s="2914" t="s">
        <v>3120</v>
      </c>
      <c r="I25" s="2914">
        <v>29183.54</v>
      </c>
      <c r="J25" s="2914">
        <v>72959</v>
      </c>
      <c r="K25" s="2914">
        <v>2.5</v>
      </c>
      <c r="L25" s="2914" t="s">
        <v>3127</v>
      </c>
      <c r="M25" s="2914" t="s">
        <v>3216</v>
      </c>
      <c r="N25" s="2914" t="s">
        <v>3217</v>
      </c>
      <c r="O25" s="2914">
        <v>106000</v>
      </c>
      <c r="P25" s="2914">
        <v>2421.46</v>
      </c>
      <c r="Q25" s="2914">
        <v>14528.7</v>
      </c>
      <c r="R25" s="2914">
        <v>27.71</v>
      </c>
      <c r="S25" s="2914" t="s">
        <v>3098</v>
      </c>
      <c r="T25" s="2914" t="s">
        <v>3188</v>
      </c>
    </row>
    <row r="26" spans="1:20">
      <c r="A26" s="2914" t="s">
        <v>3218</v>
      </c>
      <c r="B26" s="2914" t="s">
        <v>1945</v>
      </c>
      <c r="C26" s="2914" t="s">
        <v>3091</v>
      </c>
      <c r="D26" s="2914" t="s">
        <v>2817</v>
      </c>
      <c r="E26" s="2914" t="s">
        <v>3155</v>
      </c>
      <c r="F26" s="2914" t="s">
        <v>3093</v>
      </c>
      <c r="G26" s="2914" t="s">
        <v>3219</v>
      </c>
      <c r="H26" s="2914" t="s">
        <v>3120</v>
      </c>
      <c r="I26" s="2914">
        <v>23639.39</v>
      </c>
      <c r="J26" s="2914">
        <v>75646</v>
      </c>
      <c r="K26" s="2914">
        <v>3.2</v>
      </c>
      <c r="L26" s="2914" t="s">
        <v>3220</v>
      </c>
      <c r="M26" s="2914" t="s">
        <v>3219</v>
      </c>
      <c r="N26" s="2914" t="s">
        <v>3221</v>
      </c>
      <c r="O26" s="2914">
        <v>103020</v>
      </c>
      <c r="P26" s="2914">
        <v>2905.32</v>
      </c>
      <c r="Q26" s="2914">
        <v>13618.7</v>
      </c>
      <c r="R26" s="2914">
        <v>1</v>
      </c>
      <c r="S26" s="2914" t="s">
        <v>3098</v>
      </c>
      <c r="T26" s="2914" t="s">
        <v>3106</v>
      </c>
    </row>
    <row r="27" spans="1:20">
      <c r="A27" s="2914" t="s">
        <v>3222</v>
      </c>
      <c r="B27" s="2914" t="s">
        <v>1945</v>
      </c>
      <c r="C27" s="2914" t="s">
        <v>3091</v>
      </c>
      <c r="D27" s="2914" t="s">
        <v>2817</v>
      </c>
      <c r="E27" s="2914" t="s">
        <v>3223</v>
      </c>
      <c r="F27" s="2914" t="s">
        <v>3093</v>
      </c>
      <c r="G27" s="2914" t="s">
        <v>3224</v>
      </c>
      <c r="H27" s="2914" t="s">
        <v>3110</v>
      </c>
      <c r="I27" s="2914">
        <v>5237.16</v>
      </c>
      <c r="J27" s="2914">
        <v>10474</v>
      </c>
      <c r="K27" s="2914">
        <v>2</v>
      </c>
      <c r="L27" s="2914" t="s">
        <v>3225</v>
      </c>
      <c r="M27" s="2914" t="s">
        <v>3224</v>
      </c>
      <c r="N27" s="2914" t="s">
        <v>3226</v>
      </c>
      <c r="O27" s="2914">
        <v>13700</v>
      </c>
      <c r="P27" s="2914">
        <v>1743.95</v>
      </c>
      <c r="Q27" s="2914">
        <v>13080.01</v>
      </c>
      <c r="R27" s="2914">
        <v>5.38</v>
      </c>
      <c r="S27" s="2914" t="s">
        <v>3098</v>
      </c>
      <c r="T27" s="2914" t="s">
        <v>3106</v>
      </c>
    </row>
    <row r="28" spans="1:20">
      <c r="A28" s="2914" t="s">
        <v>3227</v>
      </c>
      <c r="B28" s="2914" t="s">
        <v>1945</v>
      </c>
      <c r="C28" s="2914" t="s">
        <v>3091</v>
      </c>
      <c r="D28" s="2914" t="s">
        <v>2817</v>
      </c>
      <c r="E28" s="2914" t="s">
        <v>3200</v>
      </c>
      <c r="F28" s="2914" t="s">
        <v>3093</v>
      </c>
      <c r="G28" s="2914" t="s">
        <v>3228</v>
      </c>
      <c r="H28" s="2914" t="s">
        <v>3192</v>
      </c>
      <c r="I28" s="2914">
        <v>66079.679999999993</v>
      </c>
      <c r="J28" s="2914">
        <v>111429</v>
      </c>
      <c r="K28" s="2914">
        <v>1.69</v>
      </c>
      <c r="L28" s="2914" t="s">
        <v>3202</v>
      </c>
      <c r="M28" s="2914" t="s">
        <v>3228</v>
      </c>
      <c r="N28" s="2914" t="s">
        <v>3194</v>
      </c>
      <c r="O28" s="2914">
        <v>135000</v>
      </c>
      <c r="P28" s="2914">
        <v>1361.99</v>
      </c>
      <c r="Q28" s="2914">
        <v>12115.34</v>
      </c>
      <c r="R28" s="2914">
        <v>0</v>
      </c>
      <c r="S28" s="2914" t="s">
        <v>3195</v>
      </c>
      <c r="T28" s="2914" t="s">
        <v>3099</v>
      </c>
    </row>
    <row r="29" spans="1:20">
      <c r="A29" s="2914" t="s">
        <v>3229</v>
      </c>
      <c r="B29" s="2914" t="s">
        <v>1945</v>
      </c>
      <c r="C29" s="2914" t="s">
        <v>3091</v>
      </c>
      <c r="D29" s="2914" t="s">
        <v>2817</v>
      </c>
      <c r="E29" s="2914" t="s">
        <v>3230</v>
      </c>
      <c r="F29" s="2914" t="s">
        <v>3093</v>
      </c>
      <c r="G29" s="2914" t="s">
        <v>3231</v>
      </c>
      <c r="H29" s="2914" t="s">
        <v>3095</v>
      </c>
      <c r="I29" s="2914">
        <v>18015.060000000001</v>
      </c>
      <c r="J29" s="2914">
        <v>54046</v>
      </c>
      <c r="K29" s="2914">
        <v>3</v>
      </c>
      <c r="L29" s="2914" t="s">
        <v>3232</v>
      </c>
      <c r="M29" s="2914" t="s">
        <v>3231</v>
      </c>
      <c r="N29" s="2914" t="s">
        <v>3233</v>
      </c>
      <c r="O29" s="2914">
        <v>60000</v>
      </c>
      <c r="P29" s="2914">
        <v>2220.36</v>
      </c>
      <c r="Q29" s="2914">
        <v>11101.64</v>
      </c>
      <c r="R29" s="2914">
        <v>0</v>
      </c>
      <c r="S29" s="2914" t="s">
        <v>3098</v>
      </c>
      <c r="T29" s="2914" t="s">
        <v>3188</v>
      </c>
    </row>
    <row r="30" spans="1:20">
      <c r="A30" s="2914" t="s">
        <v>3234</v>
      </c>
      <c r="B30" s="2914" t="s">
        <v>1945</v>
      </c>
      <c r="C30" s="2914" t="s">
        <v>3091</v>
      </c>
      <c r="D30" s="2914" t="s">
        <v>2817</v>
      </c>
      <c r="E30" s="2914" t="s">
        <v>3235</v>
      </c>
      <c r="F30" s="2914" t="s">
        <v>3093</v>
      </c>
      <c r="G30" s="2914" t="s">
        <v>3236</v>
      </c>
      <c r="H30" s="2914" t="s">
        <v>3120</v>
      </c>
      <c r="I30" s="2914">
        <v>170200.2</v>
      </c>
      <c r="J30" s="2914">
        <v>255301</v>
      </c>
      <c r="K30" s="2914">
        <v>1.5</v>
      </c>
      <c r="L30" s="2914" t="s">
        <v>3237</v>
      </c>
      <c r="M30" s="2914" t="s">
        <v>3236</v>
      </c>
      <c r="N30" s="2914" t="s">
        <v>3238</v>
      </c>
      <c r="O30" s="2914">
        <v>259500</v>
      </c>
      <c r="P30" s="2914">
        <v>1016.45</v>
      </c>
      <c r="Q30" s="2914">
        <v>10164.459999999999</v>
      </c>
      <c r="R30" s="2914">
        <v>1.76</v>
      </c>
      <c r="S30" s="2914" t="s">
        <v>3123</v>
      </c>
      <c r="T30" s="2914" t="s">
        <v>3106</v>
      </c>
    </row>
    <row r="31" spans="1:20">
      <c r="A31" s="2914" t="s">
        <v>3239</v>
      </c>
      <c r="B31" s="2914" t="s">
        <v>1945</v>
      </c>
      <c r="C31" s="2914" t="s">
        <v>3091</v>
      </c>
      <c r="D31" s="2914" t="s">
        <v>2817</v>
      </c>
      <c r="E31" s="2914" t="s">
        <v>3240</v>
      </c>
      <c r="F31" s="2914" t="s">
        <v>3093</v>
      </c>
      <c r="G31" s="2914" t="s">
        <v>3241</v>
      </c>
      <c r="H31" s="2914" t="s">
        <v>3242</v>
      </c>
      <c r="I31" s="2914">
        <v>120885</v>
      </c>
      <c r="J31" s="2914">
        <v>256512</v>
      </c>
      <c r="K31" s="2914" t="s">
        <v>2817</v>
      </c>
      <c r="L31" s="2914" t="s">
        <v>3237</v>
      </c>
      <c r="M31" s="2914" t="s">
        <v>3241</v>
      </c>
      <c r="N31" s="2914" t="s">
        <v>3243</v>
      </c>
      <c r="O31" s="2914">
        <v>250000</v>
      </c>
      <c r="P31" s="2914">
        <v>1378.72</v>
      </c>
      <c r="Q31" s="2914">
        <v>9746.1200000000008</v>
      </c>
      <c r="R31" s="2914">
        <v>0</v>
      </c>
      <c r="S31" s="2914" t="s">
        <v>3123</v>
      </c>
      <c r="T31" s="2914" t="s">
        <v>3106</v>
      </c>
    </row>
    <row r="32" spans="1:20">
      <c r="A32" s="2914" t="s">
        <v>3244</v>
      </c>
      <c r="B32" s="2914" t="s">
        <v>1945</v>
      </c>
      <c r="C32" s="2914" t="s">
        <v>3091</v>
      </c>
      <c r="D32" s="2914" t="s">
        <v>2817</v>
      </c>
      <c r="E32" s="2914" t="s">
        <v>3245</v>
      </c>
      <c r="F32" s="2914" t="s">
        <v>3093</v>
      </c>
      <c r="G32" s="2914" t="s">
        <v>3246</v>
      </c>
      <c r="H32" s="2914" t="s">
        <v>3120</v>
      </c>
      <c r="I32" s="2914">
        <v>35230.230000000003</v>
      </c>
      <c r="J32" s="2914">
        <v>88076</v>
      </c>
      <c r="K32" s="2914">
        <v>2.5</v>
      </c>
      <c r="L32" s="2914" t="s">
        <v>3247</v>
      </c>
      <c r="M32" s="2914" t="s">
        <v>3246</v>
      </c>
      <c r="N32" s="2914" t="s">
        <v>3248</v>
      </c>
      <c r="O32" s="2914">
        <v>62000</v>
      </c>
      <c r="P32" s="2914">
        <v>1173.23</v>
      </c>
      <c r="Q32" s="2914">
        <v>7039.38</v>
      </c>
      <c r="R32" s="2914">
        <v>0</v>
      </c>
      <c r="S32" s="2914" t="s">
        <v>3123</v>
      </c>
      <c r="T32" s="2914" t="s">
        <v>3188</v>
      </c>
    </row>
    <row r="33" spans="1:20">
      <c r="A33" s="2914" t="s">
        <v>3249</v>
      </c>
      <c r="B33" s="2914" t="s">
        <v>1945</v>
      </c>
      <c r="C33" s="2914" t="s">
        <v>3091</v>
      </c>
      <c r="D33" s="2914" t="s">
        <v>2817</v>
      </c>
      <c r="E33" s="2914" t="s">
        <v>3250</v>
      </c>
      <c r="F33" s="2914" t="s">
        <v>3093</v>
      </c>
      <c r="G33" s="2914" t="s">
        <v>3251</v>
      </c>
      <c r="H33" s="2914" t="s">
        <v>3120</v>
      </c>
      <c r="I33" s="2914">
        <v>113768</v>
      </c>
      <c r="J33" s="2914">
        <v>119494</v>
      </c>
      <c r="K33" s="2914">
        <v>1.05</v>
      </c>
      <c r="L33" s="2914" t="s">
        <v>3252</v>
      </c>
      <c r="M33" s="2914" t="s">
        <v>3251</v>
      </c>
      <c r="N33" s="2914" t="s">
        <v>3253</v>
      </c>
      <c r="O33" s="2914">
        <v>74000</v>
      </c>
      <c r="P33" s="2914">
        <v>433.63</v>
      </c>
      <c r="Q33" s="2914">
        <v>6192.77</v>
      </c>
      <c r="R33" s="2914" t="s">
        <v>2817</v>
      </c>
      <c r="S33" s="2914" t="s">
        <v>3098</v>
      </c>
      <c r="T33" s="2914" t="s">
        <v>3254</v>
      </c>
    </row>
    <row r="34" spans="1:20">
      <c r="A34" s="2914" t="s">
        <v>3255</v>
      </c>
      <c r="B34" s="2914" t="s">
        <v>1945</v>
      </c>
      <c r="C34" s="2914" t="s">
        <v>3091</v>
      </c>
      <c r="D34" s="2914" t="s">
        <v>2817</v>
      </c>
      <c r="E34" s="2914" t="s">
        <v>3256</v>
      </c>
      <c r="F34" s="2914" t="s">
        <v>3093</v>
      </c>
      <c r="G34" s="2914" t="s">
        <v>3257</v>
      </c>
      <c r="H34" s="2914" t="s">
        <v>3142</v>
      </c>
      <c r="I34" s="2914">
        <v>176099.5</v>
      </c>
      <c r="J34" s="2914">
        <v>153071</v>
      </c>
      <c r="K34" s="2914">
        <v>0.86899999999999999</v>
      </c>
      <c r="L34" s="2914" t="s">
        <v>3258</v>
      </c>
      <c r="M34" s="2914" t="s">
        <v>3257</v>
      </c>
      <c r="N34" s="2914" t="s">
        <v>3259</v>
      </c>
      <c r="O34" s="2914">
        <v>93800</v>
      </c>
      <c r="P34" s="2914">
        <v>355.1</v>
      </c>
      <c r="Q34" s="2914">
        <v>6127.88</v>
      </c>
      <c r="R34" s="2914" t="s">
        <v>2817</v>
      </c>
      <c r="S34" s="2914" t="s">
        <v>3098</v>
      </c>
      <c r="T34" s="2914" t="s">
        <v>3254</v>
      </c>
    </row>
    <row r="35" spans="1:20">
      <c r="A35" s="2914" t="s">
        <v>3260</v>
      </c>
      <c r="B35" s="2914" t="s">
        <v>1945</v>
      </c>
      <c r="C35" s="2914" t="s">
        <v>3091</v>
      </c>
      <c r="D35" s="2914" t="s">
        <v>2817</v>
      </c>
      <c r="E35" s="2914" t="s">
        <v>3261</v>
      </c>
      <c r="F35" s="2914" t="s">
        <v>3093</v>
      </c>
      <c r="G35" s="2914" t="s">
        <v>3262</v>
      </c>
      <c r="H35" s="2914" t="s">
        <v>3263</v>
      </c>
      <c r="I35" s="2914">
        <v>2070793</v>
      </c>
      <c r="J35" s="2914">
        <v>1642730</v>
      </c>
      <c r="K35" s="2914">
        <v>0.79</v>
      </c>
      <c r="L35" s="2914" t="s">
        <v>3264</v>
      </c>
      <c r="M35" s="2914" t="s">
        <v>3262</v>
      </c>
      <c r="N35" s="2914" t="s">
        <v>3265</v>
      </c>
      <c r="O35" s="2914">
        <v>870000</v>
      </c>
      <c r="P35" s="2914">
        <v>280.08999999999997</v>
      </c>
      <c r="Q35" s="2914">
        <v>5296.06</v>
      </c>
      <c r="R35" s="2914">
        <v>0</v>
      </c>
      <c r="S35" s="2914" t="s">
        <v>3098</v>
      </c>
      <c r="T35" s="2914" t="s">
        <v>3129</v>
      </c>
    </row>
    <row r="36" spans="1:20">
      <c r="A36" s="2914" t="s">
        <v>3266</v>
      </c>
      <c r="B36" s="2914" t="s">
        <v>1945</v>
      </c>
      <c r="C36" s="2914" t="s">
        <v>3091</v>
      </c>
      <c r="D36" s="2914" t="s">
        <v>2817</v>
      </c>
      <c r="E36" s="2914" t="s">
        <v>3267</v>
      </c>
      <c r="F36" s="2914" t="s">
        <v>3102</v>
      </c>
      <c r="G36" s="2914" t="s">
        <v>3268</v>
      </c>
      <c r="H36" s="2914" t="s">
        <v>3095</v>
      </c>
      <c r="I36" s="2914">
        <v>28725.47</v>
      </c>
      <c r="J36" s="2914">
        <v>71814</v>
      </c>
      <c r="K36" s="2914">
        <v>2.5</v>
      </c>
      <c r="L36" s="2914" t="s">
        <v>3269</v>
      </c>
      <c r="M36" s="2914" t="s">
        <v>3268</v>
      </c>
      <c r="N36" s="2914" t="s">
        <v>3270</v>
      </c>
      <c r="O36" s="2914">
        <v>32000</v>
      </c>
      <c r="P36" s="2914">
        <v>742.66</v>
      </c>
      <c r="Q36" s="2914">
        <v>4455.96</v>
      </c>
      <c r="R36" s="2914" t="s">
        <v>2817</v>
      </c>
      <c r="S36" s="2914" t="s">
        <v>3098</v>
      </c>
      <c r="T36" s="2914" t="s">
        <v>3106</v>
      </c>
    </row>
    <row r="37" spans="1:20">
      <c r="A37" s="2914" t="s">
        <v>3271</v>
      </c>
      <c r="B37" s="2914" t="s">
        <v>1945</v>
      </c>
      <c r="C37" s="2914" t="s">
        <v>3091</v>
      </c>
      <c r="D37" s="2914" t="s">
        <v>2817</v>
      </c>
      <c r="E37" s="2914" t="s">
        <v>3272</v>
      </c>
      <c r="F37" s="2914" t="s">
        <v>3102</v>
      </c>
      <c r="G37" s="2914" t="s">
        <v>3273</v>
      </c>
      <c r="H37" s="2914" t="s">
        <v>3274</v>
      </c>
      <c r="I37" s="2914">
        <v>338760.2</v>
      </c>
      <c r="J37" s="2914">
        <v>232306.7</v>
      </c>
      <c r="K37" s="2914">
        <v>0.69</v>
      </c>
      <c r="L37" s="2914" t="s">
        <v>3275</v>
      </c>
      <c r="M37" s="2914" t="s">
        <v>3273</v>
      </c>
      <c r="N37" s="2914" t="s">
        <v>3276</v>
      </c>
      <c r="O37" s="2914">
        <v>89500</v>
      </c>
      <c r="P37" s="2914">
        <v>176.13</v>
      </c>
      <c r="Q37" s="2914">
        <v>3852.67</v>
      </c>
      <c r="R37" s="2914" t="s">
        <v>2817</v>
      </c>
      <c r="S37" s="2914" t="s">
        <v>3098</v>
      </c>
      <c r="T37" s="2914" t="s">
        <v>3254</v>
      </c>
    </row>
  </sheetData>
  <phoneticPr fontId="228"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206" t="str">
        <f>项目基本情况!B1</f>
        <v>北京市一区西出让国有建设用地使用权市场价格预评估</v>
      </c>
      <c r="C37" s="3206"/>
      <c r="D37" s="3206"/>
      <c r="E37" s="3206"/>
      <c r="F37" s="3206"/>
      <c r="G37" s="3206"/>
      <c r="H37" s="3206"/>
      <c r="I37" s="3206"/>
    </row>
    <row r="38" spans="1:9">
      <c r="A38" s="1654"/>
      <c r="B38" s="1654"/>
    </row>
    <row r="39" spans="1:9">
      <c r="A39" s="1652" t="s">
        <v>1901</v>
      </c>
      <c r="B39" s="1652" t="s">
        <v>2046</v>
      </c>
    </row>
    <row r="40" spans="1:9">
      <c r="A40" s="1652"/>
      <c r="B40" s="1652">
        <f>项目基本情况!B5</f>
        <v>0</v>
      </c>
    </row>
    <row r="41" spans="1:9">
      <c r="A41" s="1652"/>
      <c r="B41" s="1652"/>
    </row>
    <row r="42" spans="1:9">
      <c r="A42" s="1652" t="s">
        <v>1901</v>
      </c>
      <c r="B42" s="1652" t="s">
        <v>2047</v>
      </c>
    </row>
    <row r="43" spans="1:9">
      <c r="A43" s="1652"/>
      <c r="B43" s="1652" t="s">
        <v>1903</v>
      </c>
    </row>
    <row r="44" spans="1:9">
      <c r="A44" s="1652"/>
      <c r="B44" s="1652"/>
    </row>
    <row r="45" spans="1:9">
      <c r="A45" s="1652" t="s">
        <v>1901</v>
      </c>
      <c r="B45" s="1652" t="s">
        <v>2045</v>
      </c>
    </row>
    <row r="46" spans="1:9" s="1652" customFormat="1" ht="12.75">
      <c r="B46" s="1652" t="str">
        <f>项目基本情况!K4</f>
        <v>王鹏、郑燚</v>
      </c>
    </row>
    <row r="47" spans="1:9">
      <c r="A47" s="1652"/>
      <c r="B47" s="1652"/>
    </row>
    <row r="48" spans="1:9">
      <c r="A48" s="1652" t="s">
        <v>1901</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3" sqref="A13"/>
    </sheetView>
  </sheetViews>
  <sheetFormatPr defaultRowHeight="13.5"/>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J30" sqref="J30"/>
    </sheetView>
  </sheetViews>
  <sheetFormatPr defaultColWidth="9"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2" t="s">
        <v>467</v>
      </c>
      <c r="B2" s="507">
        <f>F68</f>
        <v>85610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1684</v>
      </c>
      <c r="B3" s="509">
        <f>ROUND(B2*10000/'数据-汇总表'!E3,0)</f>
        <v>9940</v>
      </c>
      <c r="C3" s="2059"/>
      <c r="D3" s="2546"/>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3" customFormat="1" ht="28.5" customHeight="1">
      <c r="A4" s="510" t="s">
        <v>520</v>
      </c>
      <c r="B4" s="426">
        <f>IF(B48="单位面积地价",C50,ROUND(B2*10000/'数据-汇总表'!D3,0))</f>
        <v>43679</v>
      </c>
      <c r="C4" s="2059"/>
      <c r="D4" s="2546"/>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3" customFormat="1" ht="28.5" customHeight="1" thickBot="1">
      <c r="A5" s="428"/>
      <c r="B5" s="429">
        <f>ROUND(B2/('数据-汇总表'!D3/666.67),0)</f>
        <v>2912</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521</v>
      </c>
      <c r="B6" s="512"/>
      <c r="C6" s="3399" t="s">
        <v>522</v>
      </c>
      <c r="D6" s="3400"/>
      <c r="E6" s="3399" t="s">
        <v>523</v>
      </c>
      <c r="F6" s="3400"/>
      <c r="G6" s="3399" t="s">
        <v>524</v>
      </c>
      <c r="H6" s="3400"/>
      <c r="I6" s="3399" t="s">
        <v>525</v>
      </c>
      <c r="J6" s="3400"/>
      <c r="K6" s="513" t="s">
        <v>526</v>
      </c>
      <c r="L6" s="2131"/>
      <c r="M6" s="2130"/>
      <c r="N6" s="2130"/>
      <c r="O6" s="2132"/>
      <c r="P6" s="3401" t="s">
        <v>527</v>
      </c>
      <c r="Q6" s="3402"/>
      <c r="R6" s="3387" t="s">
        <v>523</v>
      </c>
      <c r="S6" s="3388"/>
      <c r="T6" s="3387" t="s">
        <v>524</v>
      </c>
      <c r="U6" s="3388"/>
      <c r="V6" s="3407" t="s">
        <v>525</v>
      </c>
      <c r="W6" s="3407"/>
      <c r="X6" s="1565"/>
      <c r="Y6" s="3387" t="s">
        <v>527</v>
      </c>
      <c r="Z6" s="3388"/>
      <c r="AA6" s="3382" t="s">
        <v>523</v>
      </c>
      <c r="AB6" s="3383" t="s">
        <v>524</v>
      </c>
      <c r="AC6" s="3382" t="s">
        <v>525</v>
      </c>
    </row>
    <row r="7" spans="1:30" ht="45" customHeight="1">
      <c r="A7" s="514"/>
      <c r="B7" s="515"/>
      <c r="C7" s="3412"/>
      <c r="D7" s="3411"/>
      <c r="E7" s="3415" t="s">
        <v>3277</v>
      </c>
      <c r="F7" s="3416"/>
      <c r="G7" s="3410" t="s">
        <v>3281</v>
      </c>
      <c r="H7" s="3411"/>
      <c r="I7" s="3410" t="s">
        <v>3282</v>
      </c>
      <c r="J7" s="3411"/>
      <c r="K7" s="513"/>
      <c r="L7" s="2131"/>
      <c r="M7" s="2130"/>
      <c r="N7" s="2130"/>
      <c r="O7" s="2132"/>
      <c r="P7" s="3403"/>
      <c r="Q7" s="3404"/>
      <c r="R7" s="3389"/>
      <c r="S7" s="3390"/>
      <c r="T7" s="3389"/>
      <c r="U7" s="3390"/>
      <c r="V7" s="3407"/>
      <c r="W7" s="3407"/>
      <c r="X7" s="1565"/>
      <c r="Y7" s="3389"/>
      <c r="Z7" s="3390"/>
      <c r="AA7" s="3383"/>
      <c r="AB7" s="3383"/>
      <c r="AC7" s="3383"/>
    </row>
    <row r="8" spans="1:30" ht="43.5" customHeight="1" thickBot="1">
      <c r="A8" s="514"/>
      <c r="B8" s="515"/>
      <c r="C8" s="3413"/>
      <c r="D8" s="3414"/>
      <c r="E8" s="3413" t="s">
        <v>3278</v>
      </c>
      <c r="F8" s="3414"/>
      <c r="G8" s="3408"/>
      <c r="H8" s="3409"/>
      <c r="I8" s="3408"/>
      <c r="J8" s="3409"/>
      <c r="K8" s="513" t="s">
        <v>528</v>
      </c>
      <c r="L8" s="2131"/>
      <c r="M8" s="2130"/>
      <c r="N8" s="2130"/>
      <c r="O8" s="2132"/>
      <c r="P8" s="3405"/>
      <c r="Q8" s="3406"/>
      <c r="R8" s="3389"/>
      <c r="S8" s="3390"/>
      <c r="T8" s="3391"/>
      <c r="U8" s="3392"/>
      <c r="V8" s="3407"/>
      <c r="W8" s="3407"/>
      <c r="X8" s="1565"/>
      <c r="Y8" s="3391"/>
      <c r="Z8" s="3392"/>
      <c r="AA8" s="3384"/>
      <c r="AB8" s="3384"/>
      <c r="AC8" s="3384"/>
    </row>
    <row r="9" spans="1:30" s="1217" customFormat="1" ht="21" thickBot="1">
      <c r="A9" s="2887"/>
      <c r="B9" s="2894" t="s">
        <v>529</v>
      </c>
      <c r="C9" s="2886">
        <f>'数据-取费表'!B2</f>
        <v>43510</v>
      </c>
      <c r="D9" s="519">
        <v>100</v>
      </c>
      <c r="E9" s="520">
        <v>43265</v>
      </c>
      <c r="F9" s="521">
        <f>SUMIF(72:72,YEAR(E9)&amp;"-"&amp;INT((MONTH(E9)+2)/3),73:73)</f>
        <v>95.5</v>
      </c>
      <c r="G9" s="520">
        <v>42955</v>
      </c>
      <c r="H9" s="519">
        <f>SUMIF(72:72,YEAR(G9)&amp;"-"&amp;INT((MONTH(G9)+2)/3),73:73)</f>
        <v>91</v>
      </c>
      <c r="I9" s="520">
        <v>42724</v>
      </c>
      <c r="J9" s="519">
        <f>SUMIF(72:72,YEAR(I9)&amp;"-"&amp;INT((MONTH(I9)+2)/3),73:73)</f>
        <v>86.5</v>
      </c>
      <c r="K9" s="523"/>
      <c r="L9" s="2133"/>
      <c r="M9" s="2130"/>
      <c r="N9" s="2130"/>
      <c r="O9" s="2134"/>
      <c r="P9" s="3385" t="s">
        <v>530</v>
      </c>
      <c r="Q9" s="3394"/>
      <c r="R9" s="1566" t="s">
        <v>8</v>
      </c>
      <c r="S9" s="1567">
        <f t="shared" ref="S9:S17" si="0">F9</f>
        <v>95.5</v>
      </c>
      <c r="T9" s="1566" t="s">
        <v>8</v>
      </c>
      <c r="U9" s="1567">
        <f t="shared" ref="U9:U17" si="1">H9</f>
        <v>91</v>
      </c>
      <c r="V9" s="1566" t="s">
        <v>8</v>
      </c>
      <c r="W9" s="1567">
        <f t="shared" ref="W9:W17" si="2">J9</f>
        <v>86.5</v>
      </c>
      <c r="X9" s="1568"/>
      <c r="Y9" s="3385" t="s">
        <v>530</v>
      </c>
      <c r="Z9" s="3386"/>
      <c r="AA9" s="1569">
        <f>D9/F9</f>
        <v>1.0471204188481675</v>
      </c>
      <c r="AB9" s="1569">
        <f>D9/H9</f>
        <v>1.098901098901099</v>
      </c>
      <c r="AC9" s="1569">
        <f>D9/J9</f>
        <v>1.1560693641618498</v>
      </c>
    </row>
    <row r="10" spans="1:30" s="1217" customFormat="1" ht="21" thickBot="1">
      <c r="A10" s="2888"/>
      <c r="B10" s="2895" t="s">
        <v>531</v>
      </c>
      <c r="C10" s="855" t="s">
        <v>532</v>
      </c>
      <c r="D10" s="519">
        <v>100</v>
      </c>
      <c r="E10" s="524" t="s">
        <v>3035</v>
      </c>
      <c r="F10" s="521">
        <f>SUMIF(75:75,E10,76:76)-SUMIF(75:75,C10,76:76)+100</f>
        <v>100</v>
      </c>
      <c r="G10" s="524" t="s">
        <v>3035</v>
      </c>
      <c r="H10" s="519">
        <f>SUMIF(75:75,G10,76:76)-SUMIF(75:75,C10,76:76)+100</f>
        <v>100</v>
      </c>
      <c r="I10" s="524" t="s">
        <v>3035</v>
      </c>
      <c r="J10" s="519">
        <f>SUMIF(75:75,I10,76:76)-SUMIF(75:75,C10,76:76)+100</f>
        <v>100</v>
      </c>
      <c r="K10" s="523"/>
      <c r="L10" s="2133"/>
      <c r="M10" s="2130"/>
      <c r="N10" s="2130"/>
      <c r="O10" s="2134"/>
      <c r="P10" s="3385" t="s">
        <v>533</v>
      </c>
      <c r="Q10" s="3386"/>
      <c r="R10" s="1566" t="s">
        <v>8</v>
      </c>
      <c r="S10" s="1567">
        <f t="shared" si="0"/>
        <v>100</v>
      </c>
      <c r="T10" s="1566" t="s">
        <v>8</v>
      </c>
      <c r="U10" s="1567">
        <f t="shared" si="1"/>
        <v>100</v>
      </c>
      <c r="V10" s="1566" t="s">
        <v>8</v>
      </c>
      <c r="W10" s="1567">
        <f t="shared" si="2"/>
        <v>100</v>
      </c>
      <c r="X10" s="1568"/>
      <c r="Y10" s="3385" t="s">
        <v>533</v>
      </c>
      <c r="Z10" s="3386"/>
      <c r="AA10" s="1569">
        <f t="shared" ref="AA10:AA47" si="3">D10/F10</f>
        <v>1</v>
      </c>
      <c r="AB10" s="1569">
        <f t="shared" ref="AB10:AB47" si="4">D10/H10</f>
        <v>1</v>
      </c>
      <c r="AC10" s="1569">
        <f t="shared" ref="AC10:AC47" si="5">D10/J10</f>
        <v>1</v>
      </c>
    </row>
    <row r="11" spans="1:30" s="1217" customFormat="1" ht="28.5">
      <c r="A11" s="2889"/>
      <c r="B11" s="2896" t="s">
        <v>2755</v>
      </c>
      <c r="C11" s="2883" t="s">
        <v>3279</v>
      </c>
      <c r="D11" s="253">
        <v>100</v>
      </c>
      <c r="E11" s="525" t="s">
        <v>3279</v>
      </c>
      <c r="F11" s="253">
        <f>SUMIF(77:77,E11,78:78)-SUMIF(77:77,C11,78:78)+100</f>
        <v>100</v>
      </c>
      <c r="G11" s="525" t="s">
        <v>3279</v>
      </c>
      <c r="H11" s="253">
        <f>SUMIF(77:77,G11,78:78)-SUMIF(77:77,C11,78:78)+100</f>
        <v>100</v>
      </c>
      <c r="I11" s="525" t="s">
        <v>3120</v>
      </c>
      <c r="J11" s="253">
        <f>SUMIF(77:77,I11,78:78)-SUMIF(77:77,C11,78:78)+100</f>
        <v>100</v>
      </c>
      <c r="K11" s="523"/>
      <c r="L11" s="2133"/>
      <c r="M11" s="2130"/>
      <c r="N11" s="2130"/>
      <c r="O11" s="2135"/>
      <c r="P11" s="3393" t="s">
        <v>535</v>
      </c>
      <c r="Q11" s="1148" t="str">
        <f t="shared" ref="Q11:Q17" si="6">B11</f>
        <v>用途</v>
      </c>
      <c r="R11" s="1566" t="s">
        <v>8</v>
      </c>
      <c r="S11" s="1567">
        <f t="shared" si="0"/>
        <v>100</v>
      </c>
      <c r="T11" s="1566" t="s">
        <v>8</v>
      </c>
      <c r="U11" s="1567">
        <f t="shared" si="1"/>
        <v>100</v>
      </c>
      <c r="V11" s="1566" t="s">
        <v>8</v>
      </c>
      <c r="W11" s="1567">
        <f t="shared" si="2"/>
        <v>100</v>
      </c>
      <c r="X11" s="1568"/>
      <c r="Y11" s="3344" t="s">
        <v>536</v>
      </c>
      <c r="Z11" s="1147" t="str">
        <f t="shared" ref="Z11:Z17" si="7">Q11</f>
        <v>用途</v>
      </c>
      <c r="AA11" s="1569">
        <f t="shared" si="3"/>
        <v>1</v>
      </c>
      <c r="AB11" s="1569">
        <f t="shared" si="4"/>
        <v>1</v>
      </c>
      <c r="AC11" s="1569">
        <f t="shared" si="5"/>
        <v>1</v>
      </c>
    </row>
    <row r="12" spans="1:30" s="1335" customFormat="1" ht="27">
      <c r="A12" s="2890"/>
      <c r="B12" s="2895" t="s">
        <v>2756</v>
      </c>
      <c r="C12" s="3191"/>
      <c r="D12" s="254">
        <v>100</v>
      </c>
      <c r="E12" s="528"/>
      <c r="F12" s="254">
        <f>ROUND(100/'数据-取费表'!G16,0)</f>
        <v>115</v>
      </c>
      <c r="G12" s="528"/>
      <c r="H12" s="254">
        <f>ROUND(100/'数据-取费表'!G16,0)</f>
        <v>115</v>
      </c>
      <c r="I12" s="528"/>
      <c r="J12" s="254">
        <f>ROUND(100/'数据-取费表'!G16,0)</f>
        <v>115</v>
      </c>
      <c r="K12" s="530"/>
      <c r="L12" s="2136"/>
      <c r="M12" s="2130"/>
      <c r="N12" s="2130"/>
      <c r="O12" s="2137"/>
      <c r="P12" s="3393"/>
      <c r="Q12" s="1148" t="str">
        <f t="shared" si="6"/>
        <v>土地使用年限（年）</v>
      </c>
      <c r="R12" s="1566" t="s">
        <v>8</v>
      </c>
      <c r="S12" s="1567">
        <f t="shared" si="0"/>
        <v>115</v>
      </c>
      <c r="T12" s="1566" t="s">
        <v>8</v>
      </c>
      <c r="U12" s="1567">
        <f t="shared" si="1"/>
        <v>115</v>
      </c>
      <c r="V12" s="1566" t="s">
        <v>8</v>
      </c>
      <c r="W12" s="1567">
        <f t="shared" si="2"/>
        <v>115</v>
      </c>
      <c r="X12" s="1568"/>
      <c r="Y12" s="3344"/>
      <c r="Z12" s="1147" t="str">
        <f t="shared" si="7"/>
        <v>土地使用年限（年）</v>
      </c>
      <c r="AA12" s="1569">
        <f t="shared" si="3"/>
        <v>0.86956521739130432</v>
      </c>
      <c r="AB12" s="1569">
        <f t="shared" si="4"/>
        <v>0.86956521739130432</v>
      </c>
      <c r="AC12" s="1569">
        <f t="shared" si="5"/>
        <v>0.86956521739130432</v>
      </c>
    </row>
    <row r="13" spans="1:30" ht="20.25">
      <c r="A13" s="2891"/>
      <c r="B13" s="2895" t="s">
        <v>2757</v>
      </c>
      <c r="C13" s="533">
        <f>'数据-汇总表'!I6</f>
        <v>2.5</v>
      </c>
      <c r="D13" s="254">
        <v>100</v>
      </c>
      <c r="E13" s="532">
        <v>3.7</v>
      </c>
      <c r="F13" s="254">
        <f>LOOKUP(E13,82:82,83:83)-LOOKUP(C13,82:82,83:83)+100</f>
        <v>95</v>
      </c>
      <c r="G13" s="532">
        <v>3.99</v>
      </c>
      <c r="H13" s="254">
        <f>LOOKUP(G13,82:82,83:83)-LOOKUP(C13,82:82,83:83)+100</f>
        <v>95</v>
      </c>
      <c r="I13" s="532">
        <v>3.2</v>
      </c>
      <c r="J13" s="254">
        <f>LOOKUP(I13,82:82,83:83)-LOOKUP(C13,82:82,83:83)+100</f>
        <v>95</v>
      </c>
      <c r="K13" s="534">
        <v>5</v>
      </c>
      <c r="L13" s="2138"/>
      <c r="M13" s="2130"/>
      <c r="N13" s="2130"/>
      <c r="O13" s="2139"/>
      <c r="P13" s="3393"/>
      <c r="Q13" s="1148" t="str">
        <f t="shared" si="6"/>
        <v>容积率</v>
      </c>
      <c r="R13" s="1566" t="s">
        <v>8</v>
      </c>
      <c r="S13" s="1567">
        <f t="shared" si="0"/>
        <v>95</v>
      </c>
      <c r="T13" s="1566" t="s">
        <v>8</v>
      </c>
      <c r="U13" s="1567">
        <f t="shared" si="1"/>
        <v>95</v>
      </c>
      <c r="V13" s="1566" t="s">
        <v>8</v>
      </c>
      <c r="W13" s="1567">
        <f t="shared" si="2"/>
        <v>95</v>
      </c>
      <c r="X13" s="1568"/>
      <c r="Y13" s="3344"/>
      <c r="Z13" s="1147" t="str">
        <f t="shared" si="7"/>
        <v>容积率</v>
      </c>
      <c r="AA13" s="1569">
        <f t="shared" si="3"/>
        <v>1.0526315789473684</v>
      </c>
      <c r="AB13" s="1569">
        <f t="shared" si="4"/>
        <v>1.0526315789473684</v>
      </c>
      <c r="AC13" s="1569">
        <f t="shared" si="5"/>
        <v>1.0526315789473684</v>
      </c>
    </row>
    <row r="14" spans="1:30" s="1217" customFormat="1" ht="20.25">
      <c r="A14" s="2888"/>
      <c r="B14" s="2897" t="s">
        <v>2758</v>
      </c>
      <c r="C14" s="2884" t="s">
        <v>3026</v>
      </c>
      <c r="D14" s="537">
        <v>100</v>
      </c>
      <c r="E14" s="1372" t="s">
        <v>3064</v>
      </c>
      <c r="F14" s="254">
        <f>SUMIF(84:84,E14,85:85)-SUMIF(84:84,C14,85:85)+100</f>
        <v>95</v>
      </c>
      <c r="G14" s="1372" t="s">
        <v>3037</v>
      </c>
      <c r="H14" s="254">
        <f>SUMIF(84:84,G14,85:85)-SUMIF(84:84,C14,85:85)+100</f>
        <v>95</v>
      </c>
      <c r="I14" s="3180" t="s">
        <v>3057</v>
      </c>
      <c r="J14" s="254">
        <f>SUMIF(84:84,I14,85:85)-SUMIF(84:84,C14,85:85)+100</f>
        <v>100</v>
      </c>
      <c r="K14" s="530"/>
      <c r="L14" s="2133"/>
      <c r="M14" s="2130"/>
      <c r="N14" s="2130"/>
      <c r="O14" s="2135"/>
      <c r="P14" s="3393"/>
      <c r="Q14" s="1148" t="str">
        <f t="shared" si="6"/>
        <v>配建</v>
      </c>
      <c r="R14" s="1566" t="s">
        <v>8</v>
      </c>
      <c r="S14" s="1567">
        <f t="shared" si="0"/>
        <v>95</v>
      </c>
      <c r="T14" s="1566" t="s">
        <v>8</v>
      </c>
      <c r="U14" s="1567">
        <f t="shared" si="1"/>
        <v>95</v>
      </c>
      <c r="V14" s="1566" t="s">
        <v>8</v>
      </c>
      <c r="W14" s="1567">
        <f t="shared" si="2"/>
        <v>100</v>
      </c>
      <c r="X14" s="1568"/>
      <c r="Y14" s="3344"/>
      <c r="Z14" s="1147" t="str">
        <f t="shared" si="7"/>
        <v>配建</v>
      </c>
      <c r="AA14" s="1569">
        <f>D14/F14</f>
        <v>1.0526315789473684</v>
      </c>
      <c r="AB14" s="1569">
        <f>D14/H14</f>
        <v>1.0526315789473684</v>
      </c>
      <c r="AC14" s="1569">
        <f>D14/J14</f>
        <v>1</v>
      </c>
    </row>
    <row r="15" spans="1:30" ht="20.25">
      <c r="A15" s="2892"/>
      <c r="B15" s="3205" t="s">
        <v>3335</v>
      </c>
      <c r="C15" s="3193" t="s">
        <v>3333</v>
      </c>
      <c r="D15" s="539">
        <v>100</v>
      </c>
      <c r="E15" s="540" t="s">
        <v>3336</v>
      </c>
      <c r="F15" s="254">
        <f>SUMIF(86:86,E15,87:87)-SUMIF(86:86,C15,87:87)+100</f>
        <v>90</v>
      </c>
      <c r="G15" s="540" t="s">
        <v>3336</v>
      </c>
      <c r="H15" s="539">
        <f>SUMIF(86:86,G15,87:87)-SUMIF(86:86,C15,87:87)+100</f>
        <v>90</v>
      </c>
      <c r="I15" s="540" t="s">
        <v>3336</v>
      </c>
      <c r="J15" s="539">
        <f>SUMIF(86:86,I15,87:87)-SUMIF(86:86,C15,87:87)+100</f>
        <v>90</v>
      </c>
      <c r="K15" s="530"/>
      <c r="L15" s="2140"/>
      <c r="M15" s="2130"/>
      <c r="N15" s="2130"/>
      <c r="O15" s="2139"/>
      <c r="P15" s="3393"/>
      <c r="Q15" s="1148" t="str">
        <f t="shared" si="6"/>
        <v>自持</v>
      </c>
      <c r="R15" s="1566" t="s">
        <v>8</v>
      </c>
      <c r="S15" s="1567">
        <f t="shared" si="0"/>
        <v>90</v>
      </c>
      <c r="T15" s="1566" t="s">
        <v>8</v>
      </c>
      <c r="U15" s="1567">
        <f t="shared" si="1"/>
        <v>90</v>
      </c>
      <c r="V15" s="1566" t="s">
        <v>8</v>
      </c>
      <c r="W15" s="1567">
        <f t="shared" si="2"/>
        <v>90</v>
      </c>
      <c r="X15" s="1568"/>
      <c r="Y15" s="3344"/>
      <c r="Z15" s="1147" t="str">
        <f t="shared" si="7"/>
        <v>自持</v>
      </c>
      <c r="AA15" s="1569">
        <f>D15/F15</f>
        <v>1.1111111111111112</v>
      </c>
      <c r="AB15" s="1569">
        <f>D15/H15</f>
        <v>1.1111111111111112</v>
      </c>
      <c r="AC15" s="1569">
        <f>D15/J15</f>
        <v>1.1111111111111112</v>
      </c>
    </row>
    <row r="16" spans="1:30" ht="21" thickBot="1">
      <c r="A16" s="2893"/>
      <c r="B16" s="2899">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93"/>
      <c r="Q16" s="1148">
        <f t="shared" si="6"/>
        <v>111</v>
      </c>
      <c r="R16" s="1566" t="s">
        <v>8</v>
      </c>
      <c r="S16" s="1567">
        <f t="shared" si="0"/>
        <v>100</v>
      </c>
      <c r="T16" s="1566" t="s">
        <v>8</v>
      </c>
      <c r="U16" s="1567">
        <f t="shared" si="1"/>
        <v>100</v>
      </c>
      <c r="V16" s="1566" t="s">
        <v>8</v>
      </c>
      <c r="W16" s="1567">
        <f t="shared" si="2"/>
        <v>100</v>
      </c>
      <c r="X16" s="1568"/>
      <c r="Y16" s="3344"/>
      <c r="Z16" s="1147">
        <f t="shared" si="7"/>
        <v>111</v>
      </c>
      <c r="AA16" s="1569">
        <f>D16/F16</f>
        <v>1</v>
      </c>
      <c r="AB16" s="1569">
        <f>D16/H16</f>
        <v>1</v>
      </c>
      <c r="AC16" s="1569">
        <f>D16/J16</f>
        <v>1</v>
      </c>
    </row>
    <row r="17" spans="1:29" ht="99.75">
      <c r="A17" s="2885" t="s">
        <v>2753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49"/>
      <c r="J17" s="548">
        <f>SUMIF(90:90,I18,91:91)-SUMIF(90:90,C18,91:91)+100</f>
        <v>100</v>
      </c>
      <c r="K17" s="534">
        <v>0</v>
      </c>
      <c r="L17" s="2140"/>
      <c r="M17" s="2130"/>
      <c r="N17" s="2130"/>
      <c r="O17" s="2139"/>
      <c r="P17" s="3395" t="s">
        <v>540</v>
      </c>
      <c r="Q17" s="1570" t="str">
        <f t="shared" si="6"/>
        <v>居住社区成熟度</v>
      </c>
      <c r="R17" s="1571" t="s">
        <v>8</v>
      </c>
      <c r="S17" s="1572">
        <f t="shared" si="0"/>
        <v>100</v>
      </c>
      <c r="T17" s="1571" t="s">
        <v>8</v>
      </c>
      <c r="U17" s="1572">
        <f t="shared" si="1"/>
        <v>100</v>
      </c>
      <c r="V17" s="1571" t="s">
        <v>8</v>
      </c>
      <c r="W17" s="1572">
        <f t="shared" si="2"/>
        <v>100</v>
      </c>
      <c r="X17" s="1565"/>
      <c r="Y17" s="3395" t="s">
        <v>540</v>
      </c>
      <c r="Z17" s="1573" t="str">
        <f t="shared" si="7"/>
        <v>居住社区成熟度</v>
      </c>
      <c r="AA17" s="1574">
        <f t="shared" si="3"/>
        <v>1</v>
      </c>
      <c r="AB17" s="1574">
        <f t="shared" si="4"/>
        <v>1</v>
      </c>
      <c r="AC17" s="1574">
        <f t="shared" si="5"/>
        <v>1</v>
      </c>
    </row>
    <row r="18" spans="1:29" ht="20.25">
      <c r="A18" s="531"/>
      <c r="B18" s="552"/>
      <c r="C18" s="553" t="s">
        <v>2992</v>
      </c>
      <c r="D18" s="556"/>
      <c r="E18" s="557" t="s">
        <v>3025</v>
      </c>
      <c r="F18" s="554"/>
      <c r="G18" s="555" t="s">
        <v>3025</v>
      </c>
      <c r="H18" s="558"/>
      <c r="I18" s="555" t="s">
        <v>3025</v>
      </c>
      <c r="J18" s="554"/>
      <c r="K18" s="530"/>
      <c r="L18" s="2140"/>
      <c r="M18" s="2130"/>
      <c r="N18" s="2130"/>
      <c r="O18" s="2139"/>
      <c r="P18" s="3396"/>
      <c r="Q18" s="1570"/>
      <c r="R18" s="1571"/>
      <c r="S18" s="1572"/>
      <c r="T18" s="1571"/>
      <c r="U18" s="1572"/>
      <c r="V18" s="1571"/>
      <c r="W18" s="1572"/>
      <c r="X18" s="1565"/>
      <c r="Y18" s="3396"/>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97</v>
      </c>
      <c r="G19" s="563"/>
      <c r="H19" s="564">
        <f>SUMIF(92:92,G20,93:93)-SUMIF(92:92,C20,93:93)+100</f>
        <v>97</v>
      </c>
      <c r="I19" s="561"/>
      <c r="J19" s="564">
        <f>SUMIF(92:92,I20,93:93)-SUMIF(92:92,C20,93:93)+100</f>
        <v>100</v>
      </c>
      <c r="K19" s="534">
        <v>3</v>
      </c>
      <c r="L19" s="2140"/>
      <c r="M19" s="2130"/>
      <c r="N19" s="2130"/>
      <c r="O19" s="2139"/>
      <c r="P19" s="3396"/>
      <c r="Q19" s="1570" t="str">
        <f>B19</f>
        <v>商业繁华度</v>
      </c>
      <c r="R19" s="1571" t="s">
        <v>8</v>
      </c>
      <c r="S19" s="1572">
        <f>F19</f>
        <v>97</v>
      </c>
      <c r="T19" s="1571" t="s">
        <v>8</v>
      </c>
      <c r="U19" s="1572">
        <f>H19</f>
        <v>97</v>
      </c>
      <c r="V19" s="1571" t="s">
        <v>8</v>
      </c>
      <c r="W19" s="1572">
        <f>J19</f>
        <v>100</v>
      </c>
      <c r="X19" s="1565"/>
      <c r="Y19" s="3396"/>
      <c r="Z19" s="1573" t="str">
        <f>Q19</f>
        <v>商业繁华度</v>
      </c>
      <c r="AA19" s="1574">
        <f t="shared" si="3"/>
        <v>1.0309278350515463</v>
      </c>
      <c r="AB19" s="1574">
        <f t="shared" si="4"/>
        <v>1.0309278350515463</v>
      </c>
      <c r="AC19" s="1574">
        <f t="shared" si="5"/>
        <v>1</v>
      </c>
    </row>
    <row r="20" spans="1:29" ht="20.25">
      <c r="A20" s="531"/>
      <c r="B20" s="565"/>
      <c r="C20" s="566" t="s">
        <v>3025</v>
      </c>
      <c r="D20" s="562"/>
      <c r="E20" s="568" t="s">
        <v>3286</v>
      </c>
      <c r="F20" s="558"/>
      <c r="G20" s="568" t="s">
        <v>3286</v>
      </c>
      <c r="H20" s="554"/>
      <c r="I20" s="567" t="s">
        <v>3025</v>
      </c>
      <c r="J20" s="554"/>
      <c r="K20" s="530"/>
      <c r="L20" s="2140"/>
      <c r="M20" s="2130"/>
      <c r="N20" s="2130"/>
      <c r="O20" s="2139"/>
      <c r="P20" s="3396"/>
      <c r="Q20" s="1570"/>
      <c r="R20" s="1571"/>
      <c r="S20" s="1572"/>
      <c r="T20" s="1571"/>
      <c r="U20" s="1572"/>
      <c r="V20" s="1571"/>
      <c r="W20" s="1572"/>
      <c r="X20" s="1565"/>
      <c r="Y20" s="3396"/>
      <c r="Z20" s="1573"/>
      <c r="AA20" s="1574">
        <v>1</v>
      </c>
      <c r="AB20" s="1574">
        <v>1</v>
      </c>
      <c r="AC20" s="1574">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106</v>
      </c>
      <c r="G21" s="571"/>
      <c r="H21" s="558">
        <f>SUMIF(94:94,G22,95:95)-SUMIF(94:94,C22,95:95)+100</f>
        <v>106</v>
      </c>
      <c r="I21" s="569"/>
      <c r="J21" s="558">
        <f>SUMIF(94:94,I22,95:95)-SUMIF(94:94,C22,95:95)+100</f>
        <v>100</v>
      </c>
      <c r="K21" s="534">
        <v>3</v>
      </c>
      <c r="L21" s="2140"/>
      <c r="M21" s="2130"/>
      <c r="N21" s="2130"/>
      <c r="O21" s="2139"/>
      <c r="P21" s="3396"/>
      <c r="Q21" s="1570" t="str">
        <f>B21</f>
        <v>办公集聚程度</v>
      </c>
      <c r="R21" s="1571" t="s">
        <v>8</v>
      </c>
      <c r="S21" s="1572">
        <f>F21</f>
        <v>106</v>
      </c>
      <c r="T21" s="1571" t="s">
        <v>8</v>
      </c>
      <c r="U21" s="1572">
        <f>H21</f>
        <v>106</v>
      </c>
      <c r="V21" s="1571" t="s">
        <v>8</v>
      </c>
      <c r="W21" s="1572">
        <f>J21</f>
        <v>100</v>
      </c>
      <c r="X21" s="1565"/>
      <c r="Y21" s="3396"/>
      <c r="Z21" s="1573" t="str">
        <f>Q21</f>
        <v>办公集聚程度</v>
      </c>
      <c r="AA21" s="1574">
        <f t="shared" si="3"/>
        <v>0.94339622641509435</v>
      </c>
      <c r="AB21" s="1574">
        <f t="shared" si="4"/>
        <v>0.94339622641509435</v>
      </c>
      <c r="AC21" s="1574">
        <f t="shared" si="5"/>
        <v>1</v>
      </c>
    </row>
    <row r="22" spans="1:29" ht="20.25">
      <c r="A22" s="531"/>
      <c r="B22" s="565"/>
      <c r="C22" s="553" t="s">
        <v>3286</v>
      </c>
      <c r="D22" s="556"/>
      <c r="E22" s="557" t="s">
        <v>2992</v>
      </c>
      <c r="F22" s="554"/>
      <c r="G22" s="557" t="s">
        <v>2992</v>
      </c>
      <c r="H22" s="554"/>
      <c r="I22" s="555" t="s">
        <v>3286</v>
      </c>
      <c r="J22" s="554"/>
      <c r="K22" s="530"/>
      <c r="L22" s="2140"/>
      <c r="M22" s="2130"/>
      <c r="N22" s="2130"/>
      <c r="O22" s="2139"/>
      <c r="P22" s="3396"/>
      <c r="Q22" s="1570"/>
      <c r="R22" s="1571"/>
      <c r="S22" s="1572"/>
      <c r="T22" s="1571"/>
      <c r="U22" s="1572"/>
      <c r="V22" s="1571"/>
      <c r="W22" s="1572"/>
      <c r="X22" s="1565"/>
      <c r="Y22" s="3396"/>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103</v>
      </c>
      <c r="G23" s="563"/>
      <c r="H23" s="558">
        <f>SUMIF(96:96,G24,97:97)-SUMIF(96:96,C24,97:97)+100</f>
        <v>103</v>
      </c>
      <c r="I23" s="561"/>
      <c r="J23" s="558">
        <f>SUMIF(96:96,I24,97:97)-SUMIF(96:96,C24,97:97)+100</f>
        <v>103</v>
      </c>
      <c r="K23" s="534">
        <v>3</v>
      </c>
      <c r="L23" s="2140"/>
      <c r="M23" s="2130"/>
      <c r="N23" s="2130"/>
      <c r="O23" s="2139"/>
      <c r="P23" s="3396"/>
      <c r="Q23" s="1570" t="str">
        <f>B23</f>
        <v>交通便捷度</v>
      </c>
      <c r="R23" s="1571" t="s">
        <v>8</v>
      </c>
      <c r="S23" s="1572">
        <f>F23</f>
        <v>103</v>
      </c>
      <c r="T23" s="1571" t="s">
        <v>8</v>
      </c>
      <c r="U23" s="1572">
        <f>H23</f>
        <v>103</v>
      </c>
      <c r="V23" s="1571" t="s">
        <v>8</v>
      </c>
      <c r="W23" s="1572">
        <f>J23</f>
        <v>103</v>
      </c>
      <c r="X23" s="1565"/>
      <c r="Y23" s="3396"/>
      <c r="Z23" s="1573" t="str">
        <f>Q23</f>
        <v>交通便捷度</v>
      </c>
      <c r="AA23" s="1574">
        <f t="shared" si="3"/>
        <v>0.970873786407767</v>
      </c>
      <c r="AB23" s="1574">
        <f t="shared" si="4"/>
        <v>0.970873786407767</v>
      </c>
      <c r="AC23" s="1574">
        <f t="shared" si="5"/>
        <v>0.970873786407767</v>
      </c>
    </row>
    <row r="24" spans="1:29" ht="20.25">
      <c r="A24" s="531"/>
      <c r="B24" s="577"/>
      <c r="C24" s="553" t="s">
        <v>3025</v>
      </c>
      <c r="D24" s="556"/>
      <c r="E24" s="557" t="s">
        <v>2992</v>
      </c>
      <c r="F24" s="554"/>
      <c r="G24" s="557" t="s">
        <v>2992</v>
      </c>
      <c r="H24" s="554"/>
      <c r="I24" s="555" t="s">
        <v>2992</v>
      </c>
      <c r="J24" s="554"/>
      <c r="K24" s="530"/>
      <c r="L24" s="2140"/>
      <c r="M24" s="2130"/>
      <c r="N24" s="2130"/>
      <c r="O24" s="2139"/>
      <c r="P24" s="3396"/>
      <c r="Q24" s="1570"/>
      <c r="R24" s="1571"/>
      <c r="S24" s="1572"/>
      <c r="T24" s="1571"/>
      <c r="U24" s="1572"/>
      <c r="V24" s="1571"/>
      <c r="W24" s="1572"/>
      <c r="X24" s="1565"/>
      <c r="Y24" s="3396"/>
      <c r="Z24" s="1573"/>
      <c r="AA24" s="1574">
        <v>1</v>
      </c>
      <c r="AB24" s="1574">
        <v>1</v>
      </c>
      <c r="AC24" s="1574">
        <v>1</v>
      </c>
    </row>
    <row r="25" spans="1:29" ht="27">
      <c r="A25" s="514"/>
      <c r="B25" s="258" t="s">
        <v>544</v>
      </c>
      <c r="C25" s="572">
        <f>估价对象房地状况!C19</f>
        <v>0</v>
      </c>
      <c r="D25" s="562">
        <v>100</v>
      </c>
      <c r="E25" s="563"/>
      <c r="F25" s="564">
        <f>SUMIF(98:98,E26,99:99)-SUMIF(98:98,C26,99:99)+100</f>
        <v>100</v>
      </c>
      <c r="G25" s="563"/>
      <c r="H25" s="558">
        <f>SUMIF(98:98,G26,99:99)-SUMIF(98:98,C26,99:99)+100</f>
        <v>100</v>
      </c>
      <c r="I25" s="561"/>
      <c r="J25" s="558">
        <f>SUMIF(98:98,I26,99:99)-SUMIF(98:98,C26,99:99)+100</f>
        <v>100</v>
      </c>
      <c r="K25" s="534">
        <v>5</v>
      </c>
      <c r="L25" s="2140"/>
      <c r="M25" s="2130"/>
      <c r="N25" s="2130"/>
      <c r="O25" s="2139"/>
      <c r="P25" s="3396"/>
      <c r="Q25" s="1570" t="str">
        <f t="shared" ref="Q25:Q39" si="8">B25</f>
        <v>区域土地利用方向</v>
      </c>
      <c r="R25" s="1571" t="s">
        <v>8</v>
      </c>
      <c r="S25" s="1572">
        <f>F25</f>
        <v>100</v>
      </c>
      <c r="T25" s="1571" t="s">
        <v>8</v>
      </c>
      <c r="U25" s="1572">
        <f>H25</f>
        <v>100</v>
      </c>
      <c r="V25" s="1571" t="s">
        <v>8</v>
      </c>
      <c r="W25" s="1572">
        <f>J25</f>
        <v>100</v>
      </c>
      <c r="X25" s="1565"/>
      <c r="Y25" s="3396"/>
      <c r="Z25" s="1573" t="str">
        <f>Q25</f>
        <v>区域土地利用方向</v>
      </c>
      <c r="AA25" s="1574">
        <f t="shared" si="3"/>
        <v>1</v>
      </c>
      <c r="AB25" s="1574">
        <f t="shared" si="4"/>
        <v>1</v>
      </c>
      <c r="AC25" s="1574">
        <f t="shared" si="5"/>
        <v>1</v>
      </c>
    </row>
    <row r="26" spans="1:29" ht="20.25">
      <c r="A26" s="514"/>
      <c r="B26" s="1004"/>
      <c r="C26" s="553" t="s">
        <v>2992</v>
      </c>
      <c r="D26" s="556"/>
      <c r="E26" s="557" t="s">
        <v>2992</v>
      </c>
      <c r="F26" s="554"/>
      <c r="G26" s="557" t="s">
        <v>2992</v>
      </c>
      <c r="H26" s="554"/>
      <c r="I26" s="555" t="s">
        <v>2992</v>
      </c>
      <c r="J26" s="554"/>
      <c r="K26" s="530"/>
      <c r="L26" s="2140"/>
      <c r="M26" s="2130"/>
      <c r="N26" s="2130"/>
      <c r="O26" s="2139"/>
      <c r="P26" s="3396"/>
      <c r="Q26" s="1570"/>
      <c r="R26" s="1571"/>
      <c r="S26" s="1572"/>
      <c r="T26" s="1571"/>
      <c r="U26" s="1572"/>
      <c r="V26" s="1571"/>
      <c r="W26" s="1572"/>
      <c r="X26" s="1565"/>
      <c r="Y26" s="3396"/>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3"/>
      <c r="H27" s="558">
        <f>SUMIF(100:100,G28,101:101)-SUMIF(100:100,C28,101:101)+100</f>
        <v>100</v>
      </c>
      <c r="I27" s="561"/>
      <c r="J27" s="558">
        <f>SUMIF(100:100,I28,101:101)-SUMIF(100:100,C28,101:101)+100</f>
        <v>100</v>
      </c>
      <c r="K27" s="534">
        <v>3</v>
      </c>
      <c r="L27" s="2140"/>
      <c r="M27" s="2130"/>
      <c r="N27" s="2130"/>
      <c r="O27" s="2139"/>
      <c r="P27" s="3396"/>
      <c r="Q27" s="1570" t="str">
        <f t="shared" si="8"/>
        <v>自然及人文环境状况</v>
      </c>
      <c r="R27" s="1571" t="s">
        <v>8</v>
      </c>
      <c r="S27" s="1572">
        <f>F27</f>
        <v>100</v>
      </c>
      <c r="T27" s="1571" t="s">
        <v>8</v>
      </c>
      <c r="U27" s="1572">
        <f>H27</f>
        <v>100</v>
      </c>
      <c r="V27" s="1571" t="s">
        <v>8</v>
      </c>
      <c r="W27" s="1572">
        <f>J27</f>
        <v>100</v>
      </c>
      <c r="X27" s="1565"/>
      <c r="Y27" s="3396"/>
      <c r="Z27" s="1573" t="str">
        <f>Q27</f>
        <v>自然及人文环境状况</v>
      </c>
      <c r="AA27" s="1574">
        <f t="shared" si="3"/>
        <v>1</v>
      </c>
      <c r="AB27" s="1574">
        <f t="shared" si="4"/>
        <v>1</v>
      </c>
      <c r="AC27" s="1574">
        <f t="shared" si="5"/>
        <v>1</v>
      </c>
    </row>
    <row r="28" spans="1:29" ht="20.25">
      <c r="A28" s="514"/>
      <c r="B28" s="565"/>
      <c r="C28" s="553" t="s">
        <v>3025</v>
      </c>
      <c r="D28" s="556"/>
      <c r="E28" s="575" t="s">
        <v>3025</v>
      </c>
      <c r="F28" s="554"/>
      <c r="G28" s="575" t="s">
        <v>3025</v>
      </c>
      <c r="H28" s="554"/>
      <c r="I28" s="553" t="s">
        <v>3025</v>
      </c>
      <c r="J28" s="554"/>
      <c r="K28" s="530"/>
      <c r="L28" s="2140"/>
      <c r="M28" s="2130"/>
      <c r="N28" s="2130"/>
      <c r="O28" s="2139"/>
      <c r="P28" s="3396"/>
      <c r="Q28" s="1570"/>
      <c r="R28" s="1571"/>
      <c r="S28" s="1572"/>
      <c r="T28" s="1571"/>
      <c r="U28" s="1572"/>
      <c r="V28" s="1571"/>
      <c r="W28" s="1572"/>
      <c r="X28" s="1565"/>
      <c r="Y28" s="3396"/>
      <c r="Z28" s="1573"/>
      <c r="AA28" s="1574">
        <v>1</v>
      </c>
      <c r="AB28" s="1574">
        <v>1</v>
      </c>
      <c r="AC28" s="1574">
        <v>1</v>
      </c>
    </row>
    <row r="29" spans="1:29" s="1217" customFormat="1" ht="42.75">
      <c r="A29" s="576"/>
      <c r="B29" s="2567" t="s">
        <v>2548</v>
      </c>
      <c r="C29" s="572" t="str">
        <f>估价对象房地状况!C21</f>
        <v>估价对象所在区域公共配套设施齐备情况</v>
      </c>
      <c r="D29" s="562">
        <v>100</v>
      </c>
      <c r="E29" s="563"/>
      <c r="F29" s="558">
        <f>SUMIF(102:102,E30,103:103)-SUMIF(102:102,C30,103:103)+100</f>
        <v>97</v>
      </c>
      <c r="G29" s="561"/>
      <c r="H29" s="558">
        <f>SUMIF(102:102,G30,103:103)-SUMIF(102:102,C30,103:103)+100</f>
        <v>97</v>
      </c>
      <c r="I29" s="561"/>
      <c r="J29" s="558">
        <f>SUMIF(102:102,I30,103:103)-SUMIF(102:102,C30,103:103)+100</f>
        <v>100</v>
      </c>
      <c r="K29" s="534">
        <v>3</v>
      </c>
      <c r="L29" s="2133"/>
      <c r="M29" s="2130"/>
      <c r="N29" s="2130"/>
      <c r="O29" s="2135"/>
      <c r="P29" s="3396"/>
      <c r="Q29" s="1148" t="str">
        <f t="shared" si="8"/>
        <v>公共配套设施</v>
      </c>
      <c r="R29" s="1566" t="s">
        <v>8</v>
      </c>
      <c r="S29" s="1567">
        <f>F29</f>
        <v>97</v>
      </c>
      <c r="T29" s="1566" t="s">
        <v>8</v>
      </c>
      <c r="U29" s="1567">
        <f>H29</f>
        <v>97</v>
      </c>
      <c r="V29" s="1566" t="s">
        <v>8</v>
      </c>
      <c r="W29" s="1567">
        <f>J29</f>
        <v>100</v>
      </c>
      <c r="X29" s="1568"/>
      <c r="Y29" s="3396"/>
      <c r="Z29" s="1147" t="str">
        <f>Q29</f>
        <v>公共配套设施</v>
      </c>
      <c r="AA29" s="1574">
        <f>D29/F29</f>
        <v>1.0309278350515463</v>
      </c>
      <c r="AB29" s="1574">
        <f>D29/H29</f>
        <v>1.0309278350515463</v>
      </c>
      <c r="AC29" s="1574">
        <f>D29/J29</f>
        <v>1</v>
      </c>
    </row>
    <row r="30" spans="1:29" s="1217" customFormat="1" ht="20.25">
      <c r="A30" s="576"/>
      <c r="B30" s="565"/>
      <c r="C30" s="578" t="s">
        <v>3025</v>
      </c>
      <c r="D30" s="556"/>
      <c r="E30" s="575" t="s">
        <v>3286</v>
      </c>
      <c r="F30" s="554"/>
      <c r="G30" s="553" t="s">
        <v>3286</v>
      </c>
      <c r="H30" s="554"/>
      <c r="I30" s="553" t="s">
        <v>3025</v>
      </c>
      <c r="J30" s="554"/>
      <c r="K30" s="530"/>
      <c r="L30" s="2133"/>
      <c r="M30" s="2130"/>
      <c r="N30" s="2130"/>
      <c r="O30" s="2135"/>
      <c r="P30" s="3396"/>
      <c r="Q30" s="1148"/>
      <c r="R30" s="1566"/>
      <c r="S30" s="1567"/>
      <c r="T30" s="1566"/>
      <c r="U30" s="1567"/>
      <c r="V30" s="1566"/>
      <c r="W30" s="1567"/>
      <c r="X30" s="1568"/>
      <c r="Y30" s="3396"/>
      <c r="Z30" s="1147"/>
      <c r="AA30" s="1574">
        <v>1</v>
      </c>
      <c r="AB30" s="1574">
        <v>1</v>
      </c>
      <c r="AC30" s="1574">
        <v>1</v>
      </c>
    </row>
    <row r="31" spans="1:29" s="1217" customFormat="1" ht="28.5">
      <c r="A31" s="576"/>
      <c r="B31" s="2567"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1"/>
      <c r="J31" s="558">
        <f>SUMIF(104:104,I32,105:105)-SUMIF(104:104,C32,105:105)+100</f>
        <v>100</v>
      </c>
      <c r="K31" s="534">
        <v>1</v>
      </c>
      <c r="L31" s="2133"/>
      <c r="M31" s="2130"/>
      <c r="N31" s="2130"/>
      <c r="O31" s="2135"/>
      <c r="P31" s="3396"/>
      <c r="Q31" s="2554" t="str">
        <f t="shared" ref="Q31" si="9">B31</f>
        <v>基础设施水平</v>
      </c>
      <c r="R31" s="1566" t="s">
        <v>8</v>
      </c>
      <c r="S31" s="1567">
        <f>F31</f>
        <v>100</v>
      </c>
      <c r="T31" s="1566" t="s">
        <v>8</v>
      </c>
      <c r="U31" s="1567">
        <f>H31</f>
        <v>100</v>
      </c>
      <c r="V31" s="1566" t="s">
        <v>8</v>
      </c>
      <c r="W31" s="1567">
        <f>J31</f>
        <v>100</v>
      </c>
      <c r="X31" s="1568"/>
      <c r="Y31" s="3396"/>
      <c r="Z31" s="2551" t="str">
        <f>Q31</f>
        <v>基础设施水平</v>
      </c>
      <c r="AA31" s="1574">
        <f>D31/F31</f>
        <v>1</v>
      </c>
      <c r="AB31" s="1574">
        <f>D31/H31</f>
        <v>1</v>
      </c>
      <c r="AC31" s="1574">
        <f>D31/J31</f>
        <v>1</v>
      </c>
    </row>
    <row r="32" spans="1:29" s="1217" customFormat="1" ht="20.25">
      <c r="A32" s="576"/>
      <c r="B32" s="565"/>
      <c r="C32" s="578" t="s">
        <v>3028</v>
      </c>
      <c r="D32" s="556"/>
      <c r="E32" s="2568" t="s">
        <v>3028</v>
      </c>
      <c r="F32" s="554"/>
      <c r="G32" s="578" t="s">
        <v>3028</v>
      </c>
      <c r="H32" s="554"/>
      <c r="I32" s="578" t="s">
        <v>3028</v>
      </c>
      <c r="J32" s="554"/>
      <c r="K32" s="530"/>
      <c r="L32" s="2133"/>
      <c r="M32" s="2130"/>
      <c r="N32" s="2130"/>
      <c r="O32" s="2135"/>
      <c r="P32" s="3396"/>
      <c r="Q32" s="2554"/>
      <c r="R32" s="1566"/>
      <c r="S32" s="1567"/>
      <c r="T32" s="1566"/>
      <c r="U32" s="1567"/>
      <c r="V32" s="1566"/>
      <c r="W32" s="1567"/>
      <c r="X32" s="1568"/>
      <c r="Y32" s="3396"/>
      <c r="Z32" s="2551"/>
      <c r="AA32" s="1574">
        <v>1</v>
      </c>
      <c r="AB32" s="1574">
        <v>1</v>
      </c>
      <c r="AC32" s="1574">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1</v>
      </c>
      <c r="L33" s="2140"/>
      <c r="M33" s="2130"/>
      <c r="N33" s="2130"/>
      <c r="O33" s="2139"/>
      <c r="P33" s="3396"/>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6"/>
      <c r="Z33" s="1573" t="str">
        <f t="shared" ref="Z33:Z47" si="13">Q33</f>
        <v>临街状况</v>
      </c>
      <c r="AA33" s="1574">
        <f t="shared" si="3"/>
        <v>1</v>
      </c>
      <c r="AB33" s="1574">
        <f t="shared" si="4"/>
        <v>1</v>
      </c>
      <c r="AC33" s="1574">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1"/>
      <c r="J34" s="558">
        <f>SUMIF(108:108,I35,109:109)-SUMIF(108:108,C35,109:109)+100</f>
        <v>100</v>
      </c>
      <c r="K34" s="534">
        <v>1</v>
      </c>
      <c r="L34" s="2140"/>
      <c r="M34" s="2130"/>
      <c r="N34" s="2130"/>
      <c r="O34" s="2139"/>
      <c r="P34" s="3396"/>
      <c r="Q34" s="1570" t="str">
        <f t="shared" si="8"/>
        <v>毗邻道路的类型与等级</v>
      </c>
      <c r="R34" s="1571" t="s">
        <v>8</v>
      </c>
      <c r="S34" s="1572">
        <f t="shared" si="10"/>
        <v>100</v>
      </c>
      <c r="T34" s="1571" t="s">
        <v>8</v>
      </c>
      <c r="U34" s="1572">
        <f t="shared" si="11"/>
        <v>100</v>
      </c>
      <c r="V34" s="1571" t="s">
        <v>8</v>
      </c>
      <c r="W34" s="1572">
        <f t="shared" si="12"/>
        <v>100</v>
      </c>
      <c r="X34" s="1565"/>
      <c r="Y34" s="3396"/>
      <c r="Z34" s="1573" t="str">
        <f t="shared" si="13"/>
        <v>毗邻道路的类型与等级</v>
      </c>
      <c r="AA34" s="1574">
        <f t="shared" si="3"/>
        <v>1</v>
      </c>
      <c r="AB34" s="1574">
        <f t="shared" si="4"/>
        <v>1</v>
      </c>
      <c r="AC34" s="1574">
        <f t="shared" si="5"/>
        <v>1</v>
      </c>
    </row>
    <row r="35" spans="1:29" ht="21" thickBot="1">
      <c r="A35" s="531"/>
      <c r="B35" s="565"/>
      <c r="C35" s="553" t="s">
        <v>3032</v>
      </c>
      <c r="D35" s="556"/>
      <c r="E35" s="575" t="s">
        <v>3032</v>
      </c>
      <c r="F35" s="554"/>
      <c r="G35" s="553" t="s">
        <v>3032</v>
      </c>
      <c r="H35" s="554"/>
      <c r="I35" s="553" t="s">
        <v>3032</v>
      </c>
      <c r="J35" s="554"/>
      <c r="K35" s="580"/>
      <c r="L35" s="2140"/>
      <c r="M35" s="2130"/>
      <c r="N35" s="2130"/>
      <c r="O35" s="2139"/>
      <c r="P35" s="3396"/>
      <c r="Q35" s="1570"/>
      <c r="R35" s="1571"/>
      <c r="S35" s="1572"/>
      <c r="T35" s="1571"/>
      <c r="U35" s="1572"/>
      <c r="V35" s="1571"/>
      <c r="W35" s="1572"/>
      <c r="X35" s="1565"/>
      <c r="Y35" s="3396"/>
      <c r="Z35" s="1573"/>
      <c r="AA35" s="1574">
        <v>1</v>
      </c>
      <c r="AB35" s="1574">
        <v>1</v>
      </c>
      <c r="AC35" s="1574">
        <v>1</v>
      </c>
    </row>
    <row r="36" spans="1:29" ht="20.25" hidden="1">
      <c r="A36" s="531"/>
      <c r="B36" s="581" t="s">
        <v>549</v>
      </c>
      <c r="C36" s="579" t="s">
        <v>3013</v>
      </c>
      <c r="D36" s="574">
        <v>100</v>
      </c>
      <c r="E36" s="582" t="s">
        <v>3013</v>
      </c>
      <c r="F36" s="539">
        <f>SUMIF(110:110,E36,111:111)-SUMIF(110:110,C36,111:111)+100</f>
        <v>100</v>
      </c>
      <c r="G36" s="579" t="s">
        <v>3013</v>
      </c>
      <c r="H36" s="539">
        <f>SUMIF(110:110,G36,111:111)-SUMIF(110:110,C36,111:111)+100</f>
        <v>100</v>
      </c>
      <c r="I36" s="579" t="s">
        <v>3013</v>
      </c>
      <c r="J36" s="539">
        <f>SUMIF(110:110,I36,111:111)-SUMIF(110:110,C36,111:111)+100</f>
        <v>100</v>
      </c>
      <c r="K36" s="583">
        <v>10</v>
      </c>
      <c r="L36" s="2140"/>
      <c r="M36" s="2130"/>
      <c r="N36" s="2130"/>
      <c r="O36" s="2139"/>
      <c r="P36" s="3396"/>
      <c r="Q36" s="1570" t="str">
        <f t="shared" si="8"/>
        <v>土地级别</v>
      </c>
      <c r="R36" s="1571" t="s">
        <v>8</v>
      </c>
      <c r="S36" s="1572">
        <f t="shared" si="10"/>
        <v>100</v>
      </c>
      <c r="T36" s="1571" t="s">
        <v>8</v>
      </c>
      <c r="U36" s="1572">
        <f t="shared" si="11"/>
        <v>100</v>
      </c>
      <c r="V36" s="1571" t="s">
        <v>8</v>
      </c>
      <c r="W36" s="1572">
        <f t="shared" si="12"/>
        <v>100</v>
      </c>
      <c r="X36" s="1565"/>
      <c r="Y36" s="3396"/>
      <c r="Z36" s="1573" t="str">
        <f t="shared" si="13"/>
        <v>土地级别</v>
      </c>
      <c r="AA36" s="1574">
        <f t="shared" si="3"/>
        <v>1</v>
      </c>
      <c r="AB36" s="1574">
        <f t="shared" si="4"/>
        <v>1</v>
      </c>
      <c r="AC36" s="1574">
        <f t="shared" si="5"/>
        <v>1</v>
      </c>
    </row>
    <row r="37" spans="1:29" ht="20.25" hidden="1">
      <c r="A37" s="514"/>
      <c r="B37" s="584">
        <v>111</v>
      </c>
      <c r="C37" s="3177" t="s">
        <v>3029</v>
      </c>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96"/>
      <c r="Q37" s="1570">
        <f t="shared" si="8"/>
        <v>111</v>
      </c>
      <c r="R37" s="1571" t="s">
        <v>8</v>
      </c>
      <c r="S37" s="1572">
        <f t="shared" si="10"/>
        <v>100</v>
      </c>
      <c r="T37" s="1571" t="s">
        <v>8</v>
      </c>
      <c r="U37" s="1572">
        <f t="shared" si="11"/>
        <v>100</v>
      </c>
      <c r="V37" s="1571" t="s">
        <v>8</v>
      </c>
      <c r="W37" s="1572">
        <f t="shared" si="12"/>
        <v>100</v>
      </c>
      <c r="X37" s="1565"/>
      <c r="Y37" s="3396"/>
      <c r="Z37" s="1573">
        <f t="shared" si="13"/>
        <v>111</v>
      </c>
      <c r="AA37" s="1574">
        <f t="shared" si="3"/>
        <v>1</v>
      </c>
      <c r="AB37" s="1574">
        <f t="shared" si="4"/>
        <v>1</v>
      </c>
      <c r="AC37" s="1574">
        <f t="shared" si="5"/>
        <v>1</v>
      </c>
    </row>
    <row r="38" spans="1:29" ht="20.25" hidden="1">
      <c r="A38" s="586"/>
      <c r="B38" s="587">
        <v>111</v>
      </c>
      <c r="C38" s="585" t="s">
        <v>3030</v>
      </c>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97" t="s">
        <v>550</v>
      </c>
      <c r="Q38" s="1570">
        <f t="shared" si="8"/>
        <v>111</v>
      </c>
      <c r="R38" s="1571" t="s">
        <v>8</v>
      </c>
      <c r="S38" s="1572">
        <f t="shared" si="10"/>
        <v>100</v>
      </c>
      <c r="T38" s="1571" t="s">
        <v>8</v>
      </c>
      <c r="U38" s="1572">
        <f t="shared" si="11"/>
        <v>100</v>
      </c>
      <c r="V38" s="1571" t="s">
        <v>8</v>
      </c>
      <c r="W38" s="1572">
        <f t="shared" si="12"/>
        <v>100</v>
      </c>
      <c r="X38" s="1565"/>
      <c r="Y38" s="3398" t="s">
        <v>550</v>
      </c>
      <c r="Z38" s="1573">
        <f t="shared" si="13"/>
        <v>111</v>
      </c>
      <c r="AA38" s="1574">
        <f t="shared" si="3"/>
        <v>1</v>
      </c>
      <c r="AB38" s="1574">
        <f t="shared" si="4"/>
        <v>1</v>
      </c>
      <c r="AC38" s="1574">
        <f t="shared" si="5"/>
        <v>1</v>
      </c>
    </row>
    <row r="39" spans="1:29" s="1336"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98"/>
      <c r="Q39" s="1570">
        <f t="shared" si="8"/>
        <v>111</v>
      </c>
      <c r="R39" s="1575" t="s">
        <v>8</v>
      </c>
      <c r="S39" s="1576">
        <f t="shared" si="10"/>
        <v>100</v>
      </c>
      <c r="T39" s="1575" t="s">
        <v>8</v>
      </c>
      <c r="U39" s="1576">
        <f t="shared" si="11"/>
        <v>100</v>
      </c>
      <c r="V39" s="1575" t="s">
        <v>8</v>
      </c>
      <c r="W39" s="1576">
        <f t="shared" si="12"/>
        <v>100</v>
      </c>
      <c r="X39" s="1577"/>
      <c r="Y39" s="3398"/>
      <c r="Z39" s="1578">
        <f t="shared" si="13"/>
        <v>111</v>
      </c>
      <c r="AA39" s="1574">
        <f t="shared" si="3"/>
        <v>1</v>
      </c>
      <c r="AB39" s="1574">
        <f t="shared" si="4"/>
        <v>1</v>
      </c>
      <c r="AC39" s="1574">
        <f t="shared" si="5"/>
        <v>1</v>
      </c>
    </row>
    <row r="40" spans="1:29" ht="20.25">
      <c r="A40" s="2882" t="s">
        <v>2754</v>
      </c>
      <c r="B40" s="594" t="s">
        <v>552</v>
      </c>
      <c r="C40" s="595">
        <f>'数据-汇总表'!D3</f>
        <v>19600</v>
      </c>
      <c r="D40" s="596">
        <v>100</v>
      </c>
      <c r="E40" s="595">
        <v>33071.620000000003</v>
      </c>
      <c r="F40" s="596">
        <f>LOOKUP(E40,119:119,120:120)-LOOKUP(C40,119:119,120:120)+100</f>
        <v>100</v>
      </c>
      <c r="G40" s="595">
        <v>66237.2</v>
      </c>
      <c r="H40" s="596">
        <f>LOOKUP(G40,119:119,120:120)-LOOKUP(C40,119:119,120:120)+100</f>
        <v>102</v>
      </c>
      <c r="I40" s="597">
        <v>23639.39</v>
      </c>
      <c r="J40" s="596">
        <f>LOOKUP(I40,119:119,120:120)-LOOKUP(C40,119:119,120:120)+100</f>
        <v>100</v>
      </c>
      <c r="K40" s="580"/>
      <c r="L40" s="2140"/>
      <c r="M40" s="2130"/>
      <c r="N40" s="2130"/>
      <c r="O40" s="2139"/>
      <c r="P40" s="3398"/>
      <c r="Q40" s="1570" t="str">
        <f>B40</f>
        <v>宗地面积</v>
      </c>
      <c r="R40" s="1571" t="s">
        <v>8</v>
      </c>
      <c r="S40" s="1572">
        <f t="shared" si="10"/>
        <v>100</v>
      </c>
      <c r="T40" s="1571" t="s">
        <v>8</v>
      </c>
      <c r="U40" s="1572">
        <f t="shared" si="11"/>
        <v>102</v>
      </c>
      <c r="V40" s="1571" t="s">
        <v>8</v>
      </c>
      <c r="W40" s="1572">
        <f t="shared" si="12"/>
        <v>100</v>
      </c>
      <c r="X40" s="1565"/>
      <c r="Y40" s="3398"/>
      <c r="Z40" s="1573" t="str">
        <f t="shared" si="13"/>
        <v>宗地面积</v>
      </c>
      <c r="AA40" s="1574">
        <f t="shared" si="3"/>
        <v>1</v>
      </c>
      <c r="AB40" s="1574">
        <f t="shared" si="4"/>
        <v>0.98039215686274506</v>
      </c>
      <c r="AC40" s="1574">
        <f t="shared" si="5"/>
        <v>1</v>
      </c>
    </row>
    <row r="41" spans="1:29" ht="20.25">
      <c r="A41" s="593"/>
      <c r="B41" s="526" t="s">
        <v>553</v>
      </c>
      <c r="C41" s="598" t="s">
        <v>3017</v>
      </c>
      <c r="D41" s="539">
        <v>100</v>
      </c>
      <c r="E41" s="598" t="s">
        <v>3017</v>
      </c>
      <c r="F41" s="539">
        <f>SUMIF(121:121,E41,122:122)-SUMIF(121:121,C41,122:122)+100</f>
        <v>100</v>
      </c>
      <c r="G41" s="598" t="s">
        <v>3017</v>
      </c>
      <c r="H41" s="539">
        <f>SUMIF(121:121,G41,122:122)-SUMIF(121:121,C41,122:122)+100</f>
        <v>100</v>
      </c>
      <c r="I41" s="598" t="s">
        <v>3017</v>
      </c>
      <c r="J41" s="539">
        <f>SUMIF(121:121,I41,122:122)-SUMIF(121:121,C41,122:122)+100</f>
        <v>100</v>
      </c>
      <c r="K41" s="583">
        <v>3</v>
      </c>
      <c r="L41" s="2140"/>
      <c r="M41" s="2130"/>
      <c r="N41" s="2130"/>
      <c r="O41" s="2139"/>
      <c r="P41" s="3398"/>
      <c r="Q41" s="1570" t="str">
        <f t="shared" ref="Q41:Q47" si="14">B41</f>
        <v>宗地形状</v>
      </c>
      <c r="R41" s="1571" t="s">
        <v>8</v>
      </c>
      <c r="S41" s="1572">
        <f t="shared" si="10"/>
        <v>100</v>
      </c>
      <c r="T41" s="1571" t="s">
        <v>8</v>
      </c>
      <c r="U41" s="1572">
        <f t="shared" si="11"/>
        <v>100</v>
      </c>
      <c r="V41" s="1571" t="s">
        <v>8</v>
      </c>
      <c r="W41" s="1572">
        <f t="shared" si="12"/>
        <v>100</v>
      </c>
      <c r="X41" s="1565"/>
      <c r="Y41" s="3398"/>
      <c r="Z41" s="1573" t="str">
        <f t="shared" si="13"/>
        <v>宗地形状</v>
      </c>
      <c r="AA41" s="1574">
        <f t="shared" si="3"/>
        <v>1</v>
      </c>
      <c r="AB41" s="1574">
        <f t="shared" si="4"/>
        <v>1</v>
      </c>
      <c r="AC41" s="1574">
        <f t="shared" si="5"/>
        <v>1</v>
      </c>
    </row>
    <row r="42" spans="1:29" ht="20.25">
      <c r="A42" s="593"/>
      <c r="B42" s="526" t="s">
        <v>554</v>
      </c>
      <c r="C42" s="598" t="s">
        <v>3058</v>
      </c>
      <c r="D42" s="539">
        <v>100</v>
      </c>
      <c r="E42" s="598" t="s">
        <v>3058</v>
      </c>
      <c r="F42" s="539">
        <f>SUMIF(123:123,E42,124:124)-SUMIF(123:123,C42,124:124)+100</f>
        <v>100</v>
      </c>
      <c r="G42" s="598" t="s">
        <v>3058</v>
      </c>
      <c r="H42" s="539">
        <f>SUMIF(123:123,G42,124:124)-SUMIF(123:123,C42,124:124)+100</f>
        <v>100</v>
      </c>
      <c r="I42" s="598" t="s">
        <v>3058</v>
      </c>
      <c r="J42" s="539">
        <f>SUMIF(123:123,I42,124:124)-SUMIF(123:123,C42,124:124)+100</f>
        <v>100</v>
      </c>
      <c r="K42" s="583">
        <v>1</v>
      </c>
      <c r="L42" s="2140"/>
      <c r="M42" s="2130"/>
      <c r="N42" s="2130"/>
      <c r="O42" s="2139"/>
      <c r="P42" s="3398"/>
      <c r="Q42" s="1570" t="str">
        <f t="shared" si="14"/>
        <v>临街宽度及深度</v>
      </c>
      <c r="R42" s="1571" t="s">
        <v>8</v>
      </c>
      <c r="S42" s="1572">
        <f t="shared" si="10"/>
        <v>100</v>
      </c>
      <c r="T42" s="1571" t="s">
        <v>8</v>
      </c>
      <c r="U42" s="1572">
        <f t="shared" si="11"/>
        <v>100</v>
      </c>
      <c r="V42" s="1571" t="s">
        <v>8</v>
      </c>
      <c r="W42" s="1572">
        <f t="shared" si="12"/>
        <v>100</v>
      </c>
      <c r="X42" s="1565"/>
      <c r="Y42" s="3398"/>
      <c r="Z42" s="1573" t="str">
        <f t="shared" si="13"/>
        <v>临街宽度及深度</v>
      </c>
      <c r="AA42" s="1574">
        <f t="shared" si="3"/>
        <v>1</v>
      </c>
      <c r="AB42" s="1574">
        <f t="shared" si="4"/>
        <v>1</v>
      </c>
      <c r="AC42" s="1574">
        <f t="shared" si="5"/>
        <v>1</v>
      </c>
    </row>
    <row r="43" spans="1:29" s="1217" customFormat="1" ht="20.25">
      <c r="A43" s="599"/>
      <c r="B43" s="1893" t="s">
        <v>2424</v>
      </c>
      <c r="C43" s="600" t="s">
        <v>3059</v>
      </c>
      <c r="D43" s="254">
        <v>100</v>
      </c>
      <c r="E43" s="600" t="s">
        <v>3059</v>
      </c>
      <c r="F43" s="539">
        <f>SUMIF(125:125,E43,126:126)-SUMIF(125:125,C43,126:126)+100</f>
        <v>100</v>
      </c>
      <c r="G43" s="600" t="s">
        <v>3059</v>
      </c>
      <c r="H43" s="539">
        <f>SUMIF(125:125,G43,126:126)-SUMIF(125:125,C43,126:126)+100</f>
        <v>100</v>
      </c>
      <c r="I43" s="600" t="s">
        <v>3284</v>
      </c>
      <c r="J43" s="539">
        <f>SUMIF(125:125,I43,126:126)-SUMIF(125:125,C43,126:126)+100</f>
        <v>96</v>
      </c>
      <c r="K43" s="583">
        <v>1</v>
      </c>
      <c r="L43" s="2133"/>
      <c r="M43" s="2130"/>
      <c r="N43" s="2130"/>
      <c r="O43" s="2135"/>
      <c r="P43" s="3398"/>
      <c r="Q43" s="1570" t="str">
        <f t="shared" si="14"/>
        <v>宗地开发程度</v>
      </c>
      <c r="R43" s="1566" t="s">
        <v>8</v>
      </c>
      <c r="S43" s="1567">
        <f t="shared" si="10"/>
        <v>100</v>
      </c>
      <c r="T43" s="1566" t="s">
        <v>8</v>
      </c>
      <c r="U43" s="1567">
        <f t="shared" si="11"/>
        <v>100</v>
      </c>
      <c r="V43" s="1566" t="s">
        <v>8</v>
      </c>
      <c r="W43" s="1567">
        <f t="shared" si="12"/>
        <v>96</v>
      </c>
      <c r="X43" s="1568"/>
      <c r="Y43" s="3398"/>
      <c r="Z43" s="1147" t="str">
        <f t="shared" si="13"/>
        <v>宗地开发程度</v>
      </c>
      <c r="AA43" s="1569">
        <f t="shared" si="3"/>
        <v>1</v>
      </c>
      <c r="AB43" s="1569">
        <f t="shared" si="4"/>
        <v>1</v>
      </c>
      <c r="AC43" s="1569">
        <f t="shared" si="5"/>
        <v>1.0416666666666667</v>
      </c>
    </row>
    <row r="44" spans="1:29" ht="21" thickBot="1">
      <c r="A44" s="593"/>
      <c r="B44" s="526" t="s">
        <v>555</v>
      </c>
      <c r="C44" s="598" t="s">
        <v>2992</v>
      </c>
      <c r="D44" s="539">
        <v>100</v>
      </c>
      <c r="E44" s="598" t="s">
        <v>2992</v>
      </c>
      <c r="F44" s="539">
        <f>SUMIF(127:127,E44,128:128)-SUMIF(127:127,C44,128:128)+100</f>
        <v>100</v>
      </c>
      <c r="G44" s="598" t="s">
        <v>2992</v>
      </c>
      <c r="H44" s="539">
        <f>SUMIF(127:127,G44,128:128)-SUMIF(127:127,C44,128:128)+100</f>
        <v>100</v>
      </c>
      <c r="I44" s="598" t="s">
        <v>2992</v>
      </c>
      <c r="J44" s="539">
        <f>SUMIF(127:127,I44,128:128)-SUMIF(127:127,C44,128:128)+100</f>
        <v>100</v>
      </c>
      <c r="K44" s="583">
        <v>1</v>
      </c>
      <c r="L44" s="2140"/>
      <c r="M44" s="2130"/>
      <c r="N44" s="2130"/>
      <c r="O44" s="2139"/>
      <c r="P44" s="3398" t="s">
        <v>550</v>
      </c>
      <c r="Q44" s="1570" t="str">
        <f t="shared" si="14"/>
        <v>工程地质条件</v>
      </c>
      <c r="R44" s="1571" t="s">
        <v>8</v>
      </c>
      <c r="S44" s="1572">
        <f t="shared" si="10"/>
        <v>100</v>
      </c>
      <c r="T44" s="1571" t="s">
        <v>8</v>
      </c>
      <c r="U44" s="1572">
        <f t="shared" si="11"/>
        <v>100</v>
      </c>
      <c r="V44" s="1571" t="s">
        <v>8</v>
      </c>
      <c r="W44" s="1572">
        <f t="shared" si="12"/>
        <v>100</v>
      </c>
      <c r="X44" s="1565"/>
      <c r="Y44" s="3398" t="s">
        <v>550</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98"/>
      <c r="Q45" s="1570">
        <f t="shared" si="14"/>
        <v>111</v>
      </c>
      <c r="R45" s="1571" t="s">
        <v>8</v>
      </c>
      <c r="S45" s="1572">
        <f t="shared" si="10"/>
        <v>100</v>
      </c>
      <c r="T45" s="1571" t="s">
        <v>8</v>
      </c>
      <c r="U45" s="1572">
        <f t="shared" si="11"/>
        <v>100</v>
      </c>
      <c r="V45" s="1571" t="s">
        <v>8</v>
      </c>
      <c r="W45" s="1572">
        <f t="shared" si="12"/>
        <v>100</v>
      </c>
      <c r="X45" s="1565"/>
      <c r="Y45" s="3398"/>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98"/>
      <c r="Q46" s="1570">
        <f t="shared" si="14"/>
        <v>111</v>
      </c>
      <c r="R46" s="1571" t="s">
        <v>8</v>
      </c>
      <c r="S46" s="1572">
        <f t="shared" si="10"/>
        <v>100</v>
      </c>
      <c r="T46" s="1571" t="s">
        <v>8</v>
      </c>
      <c r="U46" s="1572">
        <f t="shared" si="11"/>
        <v>100</v>
      </c>
      <c r="V46" s="1571" t="s">
        <v>8</v>
      </c>
      <c r="W46" s="1572">
        <f t="shared" si="12"/>
        <v>100</v>
      </c>
      <c r="X46" s="1565"/>
      <c r="Y46" s="3398"/>
      <c r="Z46" s="1573">
        <f t="shared" si="13"/>
        <v>111</v>
      </c>
      <c r="AA46" s="1574">
        <f t="shared" si="3"/>
        <v>1</v>
      </c>
      <c r="AB46" s="1574">
        <f t="shared" si="4"/>
        <v>1</v>
      </c>
      <c r="AC46" s="1574">
        <f t="shared" si="5"/>
        <v>1</v>
      </c>
    </row>
    <row r="47" spans="1:29" s="1336"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98"/>
      <c r="Q47" s="1570">
        <f t="shared" si="14"/>
        <v>111</v>
      </c>
      <c r="R47" s="1575" t="s">
        <v>8</v>
      </c>
      <c r="S47" s="1576">
        <f t="shared" si="10"/>
        <v>100</v>
      </c>
      <c r="T47" s="1575" t="s">
        <v>8</v>
      </c>
      <c r="U47" s="1576">
        <f t="shared" si="11"/>
        <v>100</v>
      </c>
      <c r="V47" s="1575" t="s">
        <v>8</v>
      </c>
      <c r="W47" s="1576">
        <f t="shared" si="12"/>
        <v>100</v>
      </c>
      <c r="X47" s="1577"/>
      <c r="Y47" s="3398"/>
      <c r="Z47" s="1578">
        <f t="shared" si="13"/>
        <v>111</v>
      </c>
      <c r="AA47" s="1574">
        <f t="shared" si="3"/>
        <v>1</v>
      </c>
      <c r="AB47" s="1574">
        <f t="shared" si="4"/>
        <v>1</v>
      </c>
      <c r="AC47" s="1574">
        <f t="shared" si="5"/>
        <v>1</v>
      </c>
    </row>
    <row r="48" spans="1:29" ht="20.25">
      <c r="A48" s="606" t="s">
        <v>556</v>
      </c>
      <c r="B48" s="607" t="s">
        <v>3034</v>
      </c>
      <c r="C48" s="608" t="s">
        <v>1</v>
      </c>
      <c r="D48" s="609"/>
      <c r="E48" s="610">
        <f>ROUND(14948.06,0)</f>
        <v>14948</v>
      </c>
      <c r="F48" s="611"/>
      <c r="G48" s="612">
        <f>ROUND(14580.09,0)</f>
        <v>14580</v>
      </c>
      <c r="H48" s="613"/>
      <c r="I48" s="610">
        <f>ROUND(13618.7,0)</f>
        <v>13619</v>
      </c>
      <c r="J48" s="613"/>
      <c r="K48" s="1337"/>
      <c r="L48" s="2142"/>
      <c r="M48" s="2130"/>
      <c r="N48" s="2130"/>
      <c r="O48" s="2143"/>
      <c r="P48" s="3393" t="str">
        <f>A48</f>
        <v>成交单价</v>
      </c>
      <c r="Q48" s="3393"/>
      <c r="R48" s="3407">
        <f>E48</f>
        <v>14948</v>
      </c>
      <c r="S48" s="3407"/>
      <c r="T48" s="3407">
        <f>G48</f>
        <v>14580</v>
      </c>
      <c r="U48" s="3407"/>
      <c r="V48" s="3407">
        <f>I48</f>
        <v>13619</v>
      </c>
      <c r="W48" s="3407"/>
      <c r="X48" s="1557"/>
      <c r="Y48" s="1579"/>
      <c r="Z48" s="1557"/>
      <c r="AA48" s="1557"/>
      <c r="AB48" s="1557"/>
      <c r="AC48" s="1557"/>
    </row>
    <row r="49" spans="1:29" ht="21" thickBot="1">
      <c r="A49" s="614" t="s">
        <v>2692</v>
      </c>
      <c r="B49" s="615"/>
      <c r="C49" s="616">
        <f>R50</f>
        <v>16292</v>
      </c>
      <c r="D49" s="617"/>
      <c r="E49" s="616">
        <f>R49</f>
        <v>16312</v>
      </c>
      <c r="F49" s="618"/>
      <c r="G49" s="619">
        <f>T49</f>
        <v>16370</v>
      </c>
      <c r="H49" s="617"/>
      <c r="I49" s="616">
        <f>V49</f>
        <v>16194</v>
      </c>
      <c r="J49" s="617"/>
      <c r="K49" s="1338"/>
      <c r="L49" s="2142"/>
      <c r="M49" s="2130"/>
      <c r="N49" s="2130"/>
      <c r="O49" s="2143"/>
      <c r="P49" s="3393" t="str">
        <f>A49</f>
        <v>比较价格（元/平方米）</v>
      </c>
      <c r="Q49" s="3393"/>
      <c r="R49" s="3420">
        <f>ROUND(PRODUCT(R48,AA9:AA47),0)</f>
        <v>16312</v>
      </c>
      <c r="S49" s="3420"/>
      <c r="T49" s="3420">
        <f>ROUND(PRODUCT(T48,AB9:AB47),0)</f>
        <v>16370</v>
      </c>
      <c r="U49" s="3420"/>
      <c r="V49" s="3420">
        <f>ROUND(PRODUCT(V48,AC9:AC47),0)</f>
        <v>16194</v>
      </c>
      <c r="W49" s="3420"/>
      <c r="X49" s="1557"/>
      <c r="Y49" s="1557"/>
      <c r="Z49" s="1557"/>
      <c r="AA49" s="1557"/>
      <c r="AB49" s="1557"/>
      <c r="AC49" s="1557"/>
    </row>
    <row r="50" spans="1:29" ht="21" thickBot="1">
      <c r="A50" s="620" t="s">
        <v>2934</v>
      </c>
      <c r="B50" s="621"/>
      <c r="C50" s="622">
        <f>R50</f>
        <v>16292</v>
      </c>
      <c r="D50" s="622"/>
      <c r="E50" s="622"/>
      <c r="F50" s="622"/>
      <c r="G50" s="622"/>
      <c r="H50" s="622"/>
      <c r="I50" s="622"/>
      <c r="J50" s="622"/>
      <c r="K50" s="1339"/>
      <c r="L50" s="2142"/>
      <c r="M50" s="2130"/>
      <c r="N50" s="2130"/>
      <c r="O50" s="2143"/>
      <c r="P50" s="3417" t="str">
        <f>A50</f>
        <v>估价对象XX用房的比较价格（楼面单价，元/平方米）</v>
      </c>
      <c r="Q50" s="3418"/>
      <c r="R50" s="3419">
        <f>ROUND(AVERAGE(R49:V49),0)</f>
        <v>16292</v>
      </c>
      <c r="S50" s="3419"/>
      <c r="T50" s="3419"/>
      <c r="U50" s="3419"/>
      <c r="V50" s="3419"/>
      <c r="W50" s="3419"/>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9.1249665507091349E-2</v>
      </c>
      <c r="F53" s="626" t="str">
        <f>IF(OR(E53&gt;=0.3,E53&lt;=-0.3),"超过30%","")</f>
        <v/>
      </c>
      <c r="G53" s="625">
        <f>IF(G48&lt;G49,G49/G48-1,G48/G49-1)</f>
        <v>0.12277091906721527</v>
      </c>
      <c r="H53" s="626" t="str">
        <f>IF(OR(G53&gt;=0.3,G53&lt;=-0.3),"超过30%","")</f>
        <v/>
      </c>
      <c r="I53" s="625">
        <f>IF(I48&lt;I49,I49/I48-1,I48/I49-1)</f>
        <v>0.18907408767163525</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3.5556645414418497E-3</v>
      </c>
      <c r="F54" s="626" t="str">
        <f>IF(OR(E54&gt;=0.2,E54&lt;=-0.2),"超过20%","")</f>
        <v/>
      </c>
      <c r="G54" s="625">
        <f>IF(G49&lt;I49,I49/G49-1,G49/I49-1)</f>
        <v>1.0868222798567473E-2</v>
      </c>
      <c r="H54" s="626" t="str">
        <f>IF(OR(G54&gt;=0.2,G54&lt;=-0.2),"超过20%","")</f>
        <v/>
      </c>
      <c r="I54" s="625">
        <f>IF(I49&lt;E49,E49/I49-1,I49/E49-1)</f>
        <v>7.286649376312182E-3</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3" t="s">
        <v>559</v>
      </c>
      <c r="D55" s="627"/>
      <c r="E55" s="625">
        <f>IF(E48&lt;G48,G48/E48-1,E48/G48-1)</f>
        <v>2.5240054869684503E-2</v>
      </c>
      <c r="F55" s="626" t="str">
        <f>IF(OR(E55&gt;=0.3,E55&lt;=-0.3),"超过30%","")</f>
        <v/>
      </c>
      <c r="G55" s="625">
        <f>IF(G48&lt;I48,I48/G48-1,G48/I48-1)</f>
        <v>7.0563183787355932E-2</v>
      </c>
      <c r="H55" s="626" t="str">
        <f>IF(OR(G55&gt;=0.3,G55&lt;=-0.3),"超过30%","")</f>
        <v/>
      </c>
      <c r="I55" s="625">
        <f>IF(I48&lt;E48,E48/I48-1,I48/E48-1)</f>
        <v>9.7584257287612886E-2</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3287</v>
      </c>
      <c r="D57" s="2225" t="s">
        <v>3288</v>
      </c>
      <c r="E57" s="630" t="s">
        <v>562</v>
      </c>
      <c r="F57" s="631" t="s">
        <v>563</v>
      </c>
      <c r="G57" s="3377" t="s">
        <v>2281</v>
      </c>
      <c r="H57" s="3378"/>
      <c r="I57" s="1553" t="s">
        <v>1722</v>
      </c>
      <c r="J57" s="1553">
        <f>项目基本情况!F41</f>
        <v>0</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2" t="s">
        <v>564</v>
      </c>
      <c r="B58" s="633">
        <f>C50</f>
        <v>16292</v>
      </c>
      <c r="C58" s="634">
        <v>1</v>
      </c>
      <c r="D58" s="2226">
        <v>1</v>
      </c>
      <c r="E58" s="634">
        <f>'数据-汇总表'!E8+'数据-汇总表'!E9</f>
        <v>47430</v>
      </c>
      <c r="F58" s="635">
        <f t="shared" ref="F58:F67" si="15">ROUND(B58*E58/10000,0)</f>
        <v>77273</v>
      </c>
      <c r="G58" s="3379"/>
      <c r="H58" s="3380"/>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565</v>
      </c>
      <c r="B59" s="637">
        <f>ROUND($C$50*C59*D59,0)</f>
        <v>2851</v>
      </c>
      <c r="C59" s="377">
        <f t="shared" ref="C59:C67" si="16">IF($C$57="北京市系数",I59,J59)</f>
        <v>0.7</v>
      </c>
      <c r="D59" s="2227">
        <v>0.25</v>
      </c>
      <c r="E59" s="638">
        <f>'数据-汇总表'!G19</f>
        <v>26050.879999999997</v>
      </c>
      <c r="F59" s="635">
        <f t="shared" si="15"/>
        <v>7427</v>
      </c>
      <c r="G59" s="3381" t="s">
        <v>2282</v>
      </c>
      <c r="H59" s="1946">
        <f>项目基本情况!B43</f>
        <v>0</v>
      </c>
      <c r="I59" s="1554">
        <f>SUMIF(修正!$A$45:$A$56,H59,修正!B45:B56)</f>
        <v>0</v>
      </c>
      <c r="J59" s="1556">
        <v>0.7</v>
      </c>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566</v>
      </c>
      <c r="B60" s="637">
        <f t="shared" ref="B60:B67" si="17">ROUND($C$50*C60*D60,0)</f>
        <v>0</v>
      </c>
      <c r="C60" s="377">
        <f t="shared" si="16"/>
        <v>0</v>
      </c>
      <c r="D60" s="2227">
        <v>0.25</v>
      </c>
      <c r="E60" s="638">
        <v>0</v>
      </c>
      <c r="F60" s="635">
        <f t="shared" si="15"/>
        <v>0</v>
      </c>
      <c r="G60" s="3381"/>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567</v>
      </c>
      <c r="B61" s="637">
        <f t="shared" si="17"/>
        <v>0</v>
      </c>
      <c r="C61" s="377">
        <f t="shared" si="16"/>
        <v>0</v>
      </c>
      <c r="D61" s="2227">
        <v>0.25</v>
      </c>
      <c r="E61" s="638">
        <v>0</v>
      </c>
      <c r="F61" s="635">
        <f t="shared" si="15"/>
        <v>0</v>
      </c>
      <c r="G61" s="3381"/>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6" t="s">
        <v>568</v>
      </c>
      <c r="B62" s="637">
        <f t="shared" si="17"/>
        <v>0</v>
      </c>
      <c r="C62" s="377">
        <f t="shared" si="16"/>
        <v>0</v>
      </c>
      <c r="D62" s="2227">
        <v>0.25</v>
      </c>
      <c r="E62" s="638">
        <v>0</v>
      </c>
      <c r="F62" s="635">
        <f t="shared" si="15"/>
        <v>0</v>
      </c>
      <c r="G62" s="3381"/>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2328</v>
      </c>
      <c r="B63" s="637">
        <f t="shared" si="17"/>
        <v>0</v>
      </c>
      <c r="C63" s="377">
        <f t="shared" si="16"/>
        <v>0</v>
      </c>
      <c r="D63" s="2227">
        <v>0.25</v>
      </c>
      <c r="E63" s="640">
        <f>'数据-汇总表'!E11</f>
        <v>0</v>
      </c>
      <c r="F63" s="635">
        <f t="shared" si="15"/>
        <v>0</v>
      </c>
      <c r="G63" s="1943" t="s">
        <v>2283</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6" t="s">
        <v>569</v>
      </c>
      <c r="B64" s="637">
        <f t="shared" si="17"/>
        <v>0</v>
      </c>
      <c r="C64" s="377">
        <f t="shared" si="16"/>
        <v>0</v>
      </c>
      <c r="D64" s="2227">
        <v>0.25</v>
      </c>
      <c r="E64" s="640">
        <f>'数据-汇总表'!E12</f>
        <v>0</v>
      </c>
      <c r="F64" s="635">
        <f t="shared" si="15"/>
        <v>0</v>
      </c>
      <c r="G64" s="1944" t="s">
        <v>1677</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6" t="s">
        <v>570</v>
      </c>
      <c r="B65" s="637">
        <f t="shared" si="17"/>
        <v>0</v>
      </c>
      <c r="C65" s="377">
        <f t="shared" si="16"/>
        <v>0</v>
      </c>
      <c r="D65" s="2227">
        <v>0.25</v>
      </c>
      <c r="E65" s="640">
        <f>'数据-汇总表'!E13</f>
        <v>0</v>
      </c>
      <c r="F65" s="635">
        <f t="shared" si="15"/>
        <v>0</v>
      </c>
      <c r="G65" s="1944" t="s">
        <v>922</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6" t="s">
        <v>571</v>
      </c>
      <c r="B66" s="637">
        <f t="shared" si="17"/>
        <v>815</v>
      </c>
      <c r="C66" s="377">
        <f t="shared" si="16"/>
        <v>0.2</v>
      </c>
      <c r="D66" s="2227">
        <v>0.25</v>
      </c>
      <c r="E66" s="640">
        <f>'数据-汇总表'!E14</f>
        <v>11165</v>
      </c>
      <c r="F66" s="635">
        <f t="shared" si="15"/>
        <v>910</v>
      </c>
      <c r="G66" s="1943" t="s">
        <v>2282</v>
      </c>
      <c r="H66" s="1946">
        <f>项目基本情况!B43</f>
        <v>0</v>
      </c>
      <c r="I66" s="1554">
        <f>SUMIF(修正!$A$45:$A$56,H66,修正!H45:H56)</f>
        <v>0</v>
      </c>
      <c r="J66" s="1556">
        <v>0.2</v>
      </c>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6" t="s">
        <v>572</v>
      </c>
      <c r="B67" s="637">
        <f t="shared" si="17"/>
        <v>0</v>
      </c>
      <c r="C67" s="377">
        <f t="shared" si="16"/>
        <v>0</v>
      </c>
      <c r="D67" s="2227">
        <v>0.25</v>
      </c>
      <c r="E67" s="640">
        <f>'数据-汇总表'!E15</f>
        <v>0</v>
      </c>
      <c r="F67" s="635">
        <f t="shared" si="15"/>
        <v>0</v>
      </c>
      <c r="G67" s="1945" t="s">
        <v>2283</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1" t="s">
        <v>573</v>
      </c>
      <c r="B68" s="642" t="s">
        <v>17</v>
      </c>
      <c r="C68" s="642" t="s">
        <v>18</v>
      </c>
      <c r="D68" s="642" t="s">
        <v>2294</v>
      </c>
      <c r="E68" s="642">
        <f>IF(B48="楼面地价",SUM(E58:E67),'数据-汇总表'!D3)</f>
        <v>84645.88</v>
      </c>
      <c r="F68" s="643">
        <f>IF(B48="楼面地价",SUM(F58:F67),ROUND(C50*E68/10000,0))</f>
        <v>85610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4" t="str">
        <f>YEAR(C9)&amp;"-"&amp;MONTH(C9)&amp;"-1"</f>
        <v>2019-2-1</v>
      </c>
      <c r="D70" s="2774">
        <f>EDATE(C70,-3)</f>
        <v>43405</v>
      </c>
      <c r="E70" s="2774">
        <f t="shared" ref="E70:N70" si="18">EDATE(D70,-3)</f>
        <v>43313</v>
      </c>
      <c r="F70" s="2774">
        <f t="shared" si="18"/>
        <v>43221</v>
      </c>
      <c r="G70" s="2774">
        <f t="shared" si="18"/>
        <v>43132</v>
      </c>
      <c r="H70" s="2774">
        <f t="shared" si="18"/>
        <v>43040</v>
      </c>
      <c r="I70" s="2774">
        <f t="shared" si="18"/>
        <v>42948</v>
      </c>
      <c r="J70" s="2774">
        <f t="shared" si="18"/>
        <v>42856</v>
      </c>
      <c r="K70" s="2774">
        <f t="shared" si="18"/>
        <v>42767</v>
      </c>
      <c r="L70" s="2774">
        <f t="shared" si="18"/>
        <v>42675</v>
      </c>
      <c r="M70" s="2774">
        <f t="shared" si="18"/>
        <v>42583</v>
      </c>
      <c r="N70" s="2774">
        <f t="shared" si="18"/>
        <v>42491</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44" t="s">
        <v>2532</v>
      </c>
      <c r="B72" s="2545"/>
      <c r="C72" s="2769" t="str">
        <f>YEAR(C70)&amp;"-"&amp;ROUNDUP(MONTH(C70)/3,0)</f>
        <v>2019-1</v>
      </c>
      <c r="D72" s="2776" t="str">
        <f>YEAR(D70)&amp;"-"&amp;ROUNDUP(MONTH(D70)/3,0)</f>
        <v>2018-4</v>
      </c>
      <c r="E72" s="2776" t="str">
        <f t="shared" ref="E72:N72" si="19">YEAR(E70)&amp;"-"&amp;ROUNDUP(MONTH(E70)/3,0)</f>
        <v>2018-3</v>
      </c>
      <c r="F72" s="2776" t="str">
        <f t="shared" si="19"/>
        <v>2018-2</v>
      </c>
      <c r="G72" s="2776" t="str">
        <f t="shared" si="19"/>
        <v>2018-1</v>
      </c>
      <c r="H72" s="2776" t="str">
        <f t="shared" si="19"/>
        <v>2017-4</v>
      </c>
      <c r="I72" s="2776" t="str">
        <f t="shared" si="19"/>
        <v>2017-3</v>
      </c>
      <c r="J72" s="2776" t="str">
        <f t="shared" si="19"/>
        <v>2017-2</v>
      </c>
      <c r="K72" s="2776" t="str">
        <f t="shared" si="19"/>
        <v>2017-1</v>
      </c>
      <c r="L72" s="2776" t="str">
        <f t="shared" si="19"/>
        <v>2016-4</v>
      </c>
      <c r="M72" s="2776" t="str">
        <f t="shared" si="19"/>
        <v>2016-3</v>
      </c>
      <c r="N72" s="2776" t="str">
        <f t="shared" si="19"/>
        <v>2016-2</v>
      </c>
      <c r="O72" s="2157"/>
      <c r="P72" s="2158"/>
      <c r="Q72" s="2159"/>
      <c r="R72" s="2159"/>
      <c r="S72" s="2159"/>
      <c r="T72" s="2159"/>
      <c r="U72" s="2159"/>
      <c r="V72" s="2159"/>
      <c r="W72" s="2159"/>
      <c r="X72" s="2159"/>
      <c r="Y72" s="2159"/>
      <c r="Z72" s="2159"/>
      <c r="AA72" s="2159"/>
      <c r="AB72" s="2159"/>
      <c r="AC72" s="2159"/>
    </row>
    <row r="73" spans="1:29" s="1217" customFormat="1" ht="27" customHeight="1">
      <c r="A73" s="2781" t="s">
        <v>3065</v>
      </c>
      <c r="B73" s="478" t="str">
        <f>"北京市平均增长率"&amp;TEXT(SUMIF(基准地价!N21:N25,A73,基准地价!P21:P25),"0.00%")</f>
        <v>北京市平均增长率1.51%</v>
      </c>
      <c r="C73" s="893">
        <v>100</v>
      </c>
      <c r="D73" s="729">
        <v>98.5</v>
      </c>
      <c r="E73" s="729">
        <v>97</v>
      </c>
      <c r="F73" s="729">
        <v>95.5</v>
      </c>
      <c r="G73" s="729">
        <v>94</v>
      </c>
      <c r="H73" s="729">
        <v>92.5</v>
      </c>
      <c r="I73" s="729">
        <v>91</v>
      </c>
      <c r="J73" s="729">
        <v>89.5</v>
      </c>
      <c r="K73" s="729">
        <v>88</v>
      </c>
      <c r="L73" s="729">
        <v>86.5</v>
      </c>
      <c r="M73" s="729"/>
      <c r="N73" s="729"/>
      <c r="O73" s="729"/>
      <c r="P73" s="729"/>
      <c r="Q73" s="1991"/>
      <c r="R73" s="1991"/>
      <c r="S73" s="1991"/>
      <c r="T73" s="1991"/>
      <c r="U73" s="1991"/>
      <c r="V73" s="1991"/>
      <c r="W73" s="1991"/>
      <c r="X73" s="1991"/>
      <c r="Y73" s="1991"/>
      <c r="Z73" s="1991"/>
      <c r="AA73" s="1991"/>
      <c r="AB73" s="1991"/>
      <c r="AC73" s="1991"/>
    </row>
    <row r="74" spans="1:29" s="1217" customFormat="1" ht="15" customHeight="1" thickBot="1">
      <c r="A74" s="2771" t="s">
        <v>2646</v>
      </c>
      <c r="B74" s="2780"/>
      <c r="C74" s="2765"/>
      <c r="D74" s="729">
        <v>1.03</v>
      </c>
      <c r="E74" s="729">
        <v>1.41</v>
      </c>
      <c r="F74" s="729">
        <v>0.96</v>
      </c>
      <c r="G74" s="729">
        <v>1.92</v>
      </c>
      <c r="H74" s="729">
        <v>1.78</v>
      </c>
      <c r="I74" s="729">
        <v>2.11</v>
      </c>
      <c r="J74" s="729">
        <v>2</v>
      </c>
      <c r="K74" s="729">
        <v>1.92</v>
      </c>
      <c r="L74" s="729">
        <v>2.15</v>
      </c>
      <c r="M74" s="2766"/>
      <c r="N74" s="2766"/>
      <c r="O74" s="2160"/>
      <c r="P74" s="2156"/>
      <c r="Q74" s="2156"/>
      <c r="R74" s="1991"/>
      <c r="S74" s="1991"/>
      <c r="T74" s="1991"/>
      <c r="U74" s="1991"/>
      <c r="V74" s="1991"/>
      <c r="W74" s="1991"/>
      <c r="X74" s="1991"/>
      <c r="Y74" s="1991"/>
      <c r="Z74" s="1991"/>
      <c r="AA74" s="1991"/>
      <c r="AB74" s="1991"/>
      <c r="AC74" s="1991"/>
    </row>
    <row r="75" spans="1:29" s="1217"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7.75">
      <c r="A77" s="663" t="s">
        <v>577</v>
      </c>
      <c r="B77" s="664" t="s">
        <v>534</v>
      </c>
      <c r="C77" s="3174" t="s">
        <v>3280</v>
      </c>
      <c r="D77" s="597" t="s">
        <v>3283</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1（含）-2</v>
      </c>
      <c r="D81" s="681" t="str">
        <f t="shared" ref="D81:L81" si="20">D82&amp;"（含）"&amp;"-"&amp;E82</f>
        <v>2（含）-3</v>
      </c>
      <c r="E81" s="681" t="str">
        <f t="shared" si="20"/>
        <v>3（含）-4</v>
      </c>
      <c r="F81" s="681" t="str">
        <f t="shared" si="20"/>
        <v>4（含）-5</v>
      </c>
      <c r="G81" s="681" t="str">
        <f t="shared" si="20"/>
        <v>5（含）-6</v>
      </c>
      <c r="H81" s="681" t="str">
        <f t="shared" si="20"/>
        <v>6（含）-7</v>
      </c>
      <c r="I81" s="681" t="str">
        <f t="shared" si="20"/>
        <v>7（含）-8</v>
      </c>
      <c r="J81" s="681" t="str">
        <f t="shared" si="20"/>
        <v>8（含）-9</v>
      </c>
      <c r="K81" s="681" t="str">
        <f t="shared" si="20"/>
        <v>9（含）-10</v>
      </c>
      <c r="L81" s="681" t="str">
        <f t="shared" si="20"/>
        <v>10（含）-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1</v>
      </c>
      <c r="D82" s="540">
        <v>2</v>
      </c>
      <c r="E82" s="540">
        <v>3</v>
      </c>
      <c r="F82" s="540">
        <v>4</v>
      </c>
      <c r="G82" s="540">
        <v>5</v>
      </c>
      <c r="H82" s="540">
        <v>6</v>
      </c>
      <c r="I82" s="540">
        <v>7</v>
      </c>
      <c r="J82" s="540">
        <v>8</v>
      </c>
      <c r="K82" s="540">
        <v>9</v>
      </c>
      <c r="L82" s="540">
        <v>10</v>
      </c>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6"/>
      <c r="B84" s="672" t="str">
        <f>B14</f>
        <v>配建</v>
      </c>
      <c r="C84" s="3176" t="s">
        <v>3036</v>
      </c>
      <c r="D84" s="1373" t="s">
        <v>3037</v>
      </c>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v>100</v>
      </c>
      <c r="D85" s="670">
        <v>95</v>
      </c>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6"/>
      <c r="B86" s="672" t="str">
        <f>B15</f>
        <v>自持</v>
      </c>
      <c r="C86" s="3176" t="s">
        <v>3333</v>
      </c>
      <c r="D86" s="3176" t="s">
        <v>3334</v>
      </c>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6"/>
      <c r="B87" s="677"/>
      <c r="C87" s="691">
        <v>100</v>
      </c>
      <c r="D87" s="691">
        <v>90</v>
      </c>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97</v>
      </c>
      <c r="E95" s="678">
        <f>D95-$K21</f>
        <v>94</v>
      </c>
      <c r="F95" s="678">
        <f>E95-$K21</f>
        <v>91</v>
      </c>
      <c r="G95" s="678">
        <f>F95-$K21</f>
        <v>88</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6"/>
      <c r="B102" s="1894" t="s">
        <v>2548</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6"/>
      <c r="B104" s="2573" t="s">
        <v>2550</v>
      </c>
      <c r="C104" s="2574" t="s">
        <v>2551</v>
      </c>
      <c r="D104" s="2574" t="s">
        <v>2552</v>
      </c>
      <c r="E104" s="2574" t="s">
        <v>2553</v>
      </c>
      <c r="F104" s="2574" t="s">
        <v>2554</v>
      </c>
      <c r="G104" s="2574"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6"/>
      <c r="B105" s="680"/>
      <c r="C105" s="678">
        <v>100</v>
      </c>
      <c r="D105" s="678">
        <f>C105-$K31</f>
        <v>99</v>
      </c>
      <c r="E105" s="678">
        <f>D105-$K31</f>
        <v>98</v>
      </c>
      <c r="F105" s="678">
        <f>E105-$K31</f>
        <v>97</v>
      </c>
      <c r="G105" s="678">
        <f>F105-$K31</f>
        <v>96</v>
      </c>
      <c r="H105" s="682"/>
      <c r="I105" s="682"/>
      <c r="J105" s="682"/>
      <c r="K105" s="682"/>
      <c r="L105" s="682"/>
      <c r="M105" s="2566"/>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687"/>
      <c r="D108" s="3176" t="s">
        <v>3033</v>
      </c>
      <c r="E108" s="3176" t="s">
        <v>3031</v>
      </c>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3175" t="s">
        <v>3008</v>
      </c>
      <c r="D110" s="3175" t="s">
        <v>3009</v>
      </c>
      <c r="E110" s="3175" t="s">
        <v>3010</v>
      </c>
      <c r="F110" s="3175" t="s">
        <v>3011</v>
      </c>
      <c r="G110" s="3175" t="s">
        <v>3012</v>
      </c>
      <c r="H110" s="3175" t="s">
        <v>3013</v>
      </c>
      <c r="I110" s="3175" t="s">
        <v>3014</v>
      </c>
      <c r="J110" s="3175" t="s">
        <v>3015</v>
      </c>
      <c r="K110" s="3175" t="s">
        <v>3016</v>
      </c>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90</v>
      </c>
      <c r="E111" s="678">
        <f t="shared" ref="E111:M111" si="24">D111-$K36</f>
        <v>80</v>
      </c>
      <c r="F111" s="678">
        <f t="shared" si="24"/>
        <v>70</v>
      </c>
      <c r="G111" s="678">
        <f t="shared" si="24"/>
        <v>60</v>
      </c>
      <c r="H111" s="678">
        <f t="shared" si="24"/>
        <v>50</v>
      </c>
      <c r="I111" s="678">
        <f t="shared" si="24"/>
        <v>40</v>
      </c>
      <c r="J111" s="678">
        <f t="shared" si="24"/>
        <v>30</v>
      </c>
      <c r="K111" s="678">
        <f t="shared" si="24"/>
        <v>20</v>
      </c>
      <c r="L111" s="678">
        <f t="shared" si="24"/>
        <v>10</v>
      </c>
      <c r="M111" s="678">
        <f t="shared" si="24"/>
        <v>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0(含)-40000</v>
      </c>
      <c r="D118" s="703" t="str">
        <f t="shared" si="25"/>
        <v>40000(含)-80000</v>
      </c>
      <c r="E118" s="703" t="str">
        <f t="shared" si="25"/>
        <v>80000(含)-120000</v>
      </c>
      <c r="F118" s="703" t="str">
        <f t="shared" si="25"/>
        <v>120000(含)-160000</v>
      </c>
      <c r="G118" s="703" t="str">
        <f t="shared" si="25"/>
        <v>160000(含)-200000</v>
      </c>
      <c r="H118" s="703" t="str">
        <f t="shared" si="25"/>
        <v>200000(含)-240000</v>
      </c>
      <c r="I118" s="703" t="str">
        <f t="shared" si="25"/>
        <v>240000(含)-280000</v>
      </c>
      <c r="J118" s="3065" t="str">
        <f t="shared" si="25"/>
        <v>280000(含)-320000</v>
      </c>
      <c r="K118" s="3065" t="str">
        <f t="shared" si="25"/>
        <v>320000(含)-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40000</v>
      </c>
      <c r="E119" s="729">
        <v>80000</v>
      </c>
      <c r="F119" s="729">
        <v>120000</v>
      </c>
      <c r="G119" s="729">
        <v>160000</v>
      </c>
      <c r="H119" s="729">
        <v>200000</v>
      </c>
      <c r="I119" s="729">
        <v>240000</v>
      </c>
      <c r="J119" s="729">
        <v>280000</v>
      </c>
      <c r="K119" s="729">
        <v>320000</v>
      </c>
      <c r="L119" s="2344"/>
      <c r="M119" s="2345"/>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102</v>
      </c>
      <c r="E120" s="699">
        <v>104</v>
      </c>
      <c r="F120" s="725">
        <v>106</v>
      </c>
      <c r="G120" s="699">
        <v>108</v>
      </c>
      <c r="H120" s="725">
        <v>110</v>
      </c>
      <c r="I120" s="699">
        <v>112</v>
      </c>
      <c r="J120" s="725">
        <v>114</v>
      </c>
      <c r="K120" s="699">
        <v>116</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75" t="s">
        <v>3018</v>
      </c>
      <c r="D121" s="3175" t="s">
        <v>3019</v>
      </c>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3176" t="s">
        <v>3020</v>
      </c>
      <c r="D123" s="3176" t="s">
        <v>3021</v>
      </c>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7"/>
      <c r="B125" s="1894" t="s">
        <v>2425</v>
      </c>
      <c r="C125" s="1373" t="s">
        <v>3022</v>
      </c>
      <c r="D125" s="1373" t="s">
        <v>3023</v>
      </c>
      <c r="E125" s="1373"/>
      <c r="F125" s="1373"/>
      <c r="G125" s="1373" t="s">
        <v>3285</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76" t="s">
        <v>3024</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D33" sqref="D3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4"/>
      <c r="C1" s="2102"/>
      <c r="D1" s="2102"/>
      <c r="E1" s="2102"/>
      <c r="F1" s="2102"/>
      <c r="G1" s="2102"/>
      <c r="H1" s="2102"/>
      <c r="I1" s="2102"/>
      <c r="J1" s="2102"/>
      <c r="K1" s="421">
        <f>MATCH(B1,'数据-取费表'!A6:A16,0)+5</f>
        <v>8</v>
      </c>
    </row>
    <row r="2" spans="1:31" s="2039" customFormat="1" ht="18" customHeight="1">
      <c r="A2" s="2099" t="s">
        <v>467</v>
      </c>
      <c r="B2" s="2103">
        <f ca="1">C36</f>
        <v>89195</v>
      </c>
      <c r="C2" s="2102"/>
      <c r="D2" s="2102"/>
      <c r="E2" s="2102"/>
      <c r="F2" s="2102"/>
      <c r="G2" s="2102"/>
      <c r="H2" s="2102"/>
      <c r="I2" s="2102"/>
      <c r="J2" s="2102"/>
      <c r="K2" s="2102"/>
    </row>
    <row r="3" spans="1:31" s="2039" customFormat="1" ht="18" customHeight="1">
      <c r="A3" s="2104" t="s">
        <v>1684</v>
      </c>
      <c r="B3" s="2105">
        <f ca="1">ROUND(B2*10000/IF(B1="",'数据-汇总表'!E3,INDIRECT("'数据-取费表'!K"&amp;$K$1)),0)</f>
        <v>10356</v>
      </c>
      <c r="C3" s="2102"/>
      <c r="D3" s="2102"/>
      <c r="E3" s="2102"/>
      <c r="F3" s="2102"/>
      <c r="G3" s="2102"/>
      <c r="H3" s="2102"/>
      <c r="I3" s="2102"/>
      <c r="J3" s="2102"/>
      <c r="K3" s="2102"/>
    </row>
    <row r="4" spans="1:31" s="2039" customFormat="1" ht="18" customHeight="1">
      <c r="A4" s="425" t="s">
        <v>468</v>
      </c>
      <c r="B4" s="426">
        <f ca="1">ROUND(B2*10000/IF(B1="",'数据-汇总表'!D3,INDIRECT("'数据-取费表'!R"&amp;$K$1)),0)</f>
        <v>45508</v>
      </c>
      <c r="C4" s="427"/>
      <c r="D4" s="421"/>
      <c r="E4" s="421"/>
      <c r="F4" s="421"/>
      <c r="G4" s="421"/>
      <c r="H4" s="421"/>
      <c r="I4" s="421"/>
      <c r="J4" s="421"/>
      <c r="K4" s="421"/>
    </row>
    <row r="5" spans="1:31" s="2039" customFormat="1" ht="18" customHeight="1" thickBot="1">
      <c r="A5" s="428"/>
      <c r="B5" s="429">
        <f ca="1">ROUND(B2/(IF(B1="",'数据-汇总表'!D3,INDIRECT("'数据-取费表'!R"&amp;$K$1))/666.67),0)</f>
        <v>3034</v>
      </c>
      <c r="C5" s="430" t="s">
        <v>469</v>
      </c>
      <c r="D5" s="421"/>
      <c r="E5" s="421"/>
      <c r="F5" s="421"/>
      <c r="G5" s="421"/>
      <c r="H5" s="421"/>
      <c r="I5" s="421"/>
      <c r="J5" s="421"/>
      <c r="K5" s="421"/>
    </row>
    <row r="6" spans="1:31" s="2109" customFormat="1" ht="16.5" customHeight="1">
      <c r="A6" s="2803" t="s">
        <v>1842</v>
      </c>
      <c r="B6" s="2804"/>
      <c r="C6" s="2805">
        <f ca="1">SUM(C10:K10)</f>
        <v>165207</v>
      </c>
      <c r="D6" s="2804"/>
      <c r="E6" s="2804"/>
      <c r="F6" s="2804"/>
      <c r="G6" s="2804"/>
      <c r="H6" s="2804"/>
      <c r="I6" s="2804"/>
      <c r="J6" s="2804"/>
      <c r="K6" s="2806"/>
    </row>
    <row r="7" spans="1:31" s="2111" customFormat="1" ht="15">
      <c r="A7" s="2807" t="s">
        <v>470</v>
      </c>
      <c r="B7" s="2808" t="s">
        <v>471</v>
      </c>
      <c r="C7" s="435" t="s">
        <v>3066</v>
      </c>
      <c r="D7" s="435" t="s">
        <v>3067</v>
      </c>
      <c r="E7" s="435" t="s">
        <v>3070</v>
      </c>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1845</v>
      </c>
      <c r="B8" s="260" t="s">
        <v>472</v>
      </c>
      <c r="C8" s="2809">
        <f ca="1">不动产收益法!B3</f>
        <v>21886</v>
      </c>
      <c r="D8" s="2809">
        <f ca="1">不动产收益法写字楼!B3</f>
        <v>20997</v>
      </c>
      <c r="E8" s="2809">
        <f ca="1">不动产收益法车库!B3</f>
        <v>6221</v>
      </c>
      <c r="F8" s="2809"/>
      <c r="G8" s="2809"/>
      <c r="H8" s="2809"/>
      <c r="I8" s="2809"/>
      <c r="J8" s="2809"/>
      <c r="K8" s="2810"/>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1846</v>
      </c>
      <c r="B9" s="260" t="s">
        <v>473</v>
      </c>
      <c r="C9" s="440">
        <f>SUMIF('数据-汇总表'!$C19:$C33,'剩余法-待开发'!C7,'数据-汇总表'!$E19:$E33)</f>
        <v>44722.86</v>
      </c>
      <c r="D9" s="440">
        <f>SUMIF('数据-汇总表'!$C19:$C33,'剩余法-待开发'!D7,'数据-汇总表'!$E19:$E33)</f>
        <v>28758.02</v>
      </c>
      <c r="E9" s="440">
        <f>SUMIF('数据-汇总表'!$C19:$C33,'剩余法-待开发'!E7,'数据-汇总表'!$E19:$E33)</f>
        <v>11165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1" t="s">
        <v>1847</v>
      </c>
      <c r="B10" s="2797" t="s">
        <v>474</v>
      </c>
      <c r="C10" s="3001">
        <f ca="1">不动产收益法!B2</f>
        <v>97879</v>
      </c>
      <c r="D10" s="3001">
        <f ca="1">不动产收益法写字楼!B2</f>
        <v>60382</v>
      </c>
      <c r="E10" s="3001">
        <f ca="1">不动产收益法车库!B2</f>
        <v>6946</v>
      </c>
      <c r="F10" s="2812"/>
      <c r="G10" s="2812"/>
      <c r="H10" s="2812"/>
      <c r="I10" s="2812"/>
      <c r="J10" s="2812"/>
      <c r="K10" s="2813"/>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4" t="s">
        <v>1843</v>
      </c>
      <c r="B11" s="2804"/>
      <c r="C11" s="2804"/>
      <c r="D11" s="2804"/>
      <c r="E11" s="2804"/>
      <c r="F11" s="2804"/>
      <c r="G11" s="2804"/>
      <c r="H11" s="2804"/>
      <c r="I11" s="2804"/>
      <c r="J11" s="2804"/>
      <c r="K11" s="2806"/>
    </row>
    <row r="12" spans="1:31" s="2083" customFormat="1" ht="13.5" customHeight="1">
      <c r="A12" s="2815" t="s">
        <v>470</v>
      </c>
      <c r="B12" s="2787" t="s">
        <v>471</v>
      </c>
      <c r="C12" s="2816" t="s">
        <v>475</v>
      </c>
      <c r="D12" s="2783" t="s">
        <v>476</v>
      </c>
      <c r="E12" s="2783" t="s">
        <v>477</v>
      </c>
      <c r="F12" s="2783" t="s">
        <v>478</v>
      </c>
      <c r="G12" s="2787"/>
      <c r="H12" s="2788"/>
      <c r="I12" s="2788"/>
      <c r="J12" s="2788"/>
      <c r="K12" s="2789"/>
    </row>
    <row r="13" spans="1:31" s="2114" customFormat="1" ht="13.5" customHeight="1">
      <c r="A13" s="2817" t="s">
        <v>1848</v>
      </c>
      <c r="B13" s="2818" t="s">
        <v>479</v>
      </c>
      <c r="C13" s="449">
        <f ca="1">IF(B1="",'数据-取费表'!P16,INDIRECT("'数据-取费表'!p"&amp;$K$1)+INDIRECT("'数据-取费表'!t"&amp;$K$1))</f>
        <v>31750</v>
      </c>
      <c r="D13" s="2819"/>
      <c r="E13" s="2820"/>
      <c r="F13" s="2821"/>
      <c r="G13" s="2787"/>
      <c r="H13" s="2788"/>
      <c r="I13" s="2788"/>
      <c r="J13" s="2788"/>
      <c r="K13" s="2789"/>
    </row>
    <row r="14" spans="1:31" s="2114" customFormat="1" ht="13.5" customHeight="1">
      <c r="A14" s="2817" t="s">
        <v>1849</v>
      </c>
      <c r="B14" s="2818" t="s">
        <v>480</v>
      </c>
      <c r="C14" s="53">
        <f ca="1">ROUND(C13*F14,0)</f>
        <v>953</v>
      </c>
      <c r="D14" s="2819"/>
      <c r="E14" s="2820"/>
      <c r="F14" s="2822">
        <f>'数据-取费表'!B33</f>
        <v>0.03</v>
      </c>
      <c r="G14" s="2787" t="s">
        <v>481</v>
      </c>
      <c r="H14" s="2788"/>
      <c r="I14" s="2788"/>
      <c r="J14" s="2788"/>
      <c r="K14" s="2789"/>
    </row>
    <row r="15" spans="1:31" s="2114" customFormat="1" ht="13.5" customHeight="1">
      <c r="A15" s="2817" t="s">
        <v>1850</v>
      </c>
      <c r="B15" s="2818" t="s">
        <v>482</v>
      </c>
      <c r="C15" s="53">
        <f ca="1">ROUND(IF(B1="",SUMIF('数据-取费表'!C:C,"住宅",'数据-取费表'!P:P)*F15,IF(INDIRECT("'数据-取费表'!c"&amp;$K$1)="住宅",INDIRECT("'数据-取费表'!P"&amp;$K$1)*F15,0)),0)</f>
        <v>0</v>
      </c>
      <c r="D15" s="2819"/>
      <c r="E15" s="2820"/>
      <c r="F15" s="2822">
        <f>'数据-取费表'!B34</f>
        <v>0</v>
      </c>
      <c r="G15" s="2787" t="s">
        <v>483</v>
      </c>
      <c r="H15" s="2788"/>
      <c r="I15" s="2788"/>
      <c r="J15" s="2788"/>
      <c r="K15" s="2789"/>
    </row>
    <row r="16" spans="1:31" s="2115" customFormat="1" ht="13.5" customHeight="1">
      <c r="A16" s="2817" t="s">
        <v>1851</v>
      </c>
      <c r="B16" s="2818" t="s">
        <v>484</v>
      </c>
      <c r="C16" s="53">
        <f ca="1">ROUND(D16*E16/10000,0)</f>
        <v>1723</v>
      </c>
      <c r="D16" s="2819">
        <f ca="1">IF(B1="",'数据-汇总表'!E3,INDIRECT("'数据-取费表'!K"&amp;$K$1)+INDIRECT("'数据-取费表'!S"&amp;$K$1))</f>
        <v>86130.880000000005</v>
      </c>
      <c r="E16" s="53">
        <f>'数据-取费表'!B35</f>
        <v>200</v>
      </c>
      <c r="F16" s="2822"/>
      <c r="G16" s="2787"/>
      <c r="H16" s="2788"/>
      <c r="I16" s="2788"/>
      <c r="J16" s="2788"/>
      <c r="K16" s="2789"/>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7" t="s">
        <v>1852</v>
      </c>
      <c r="B17" s="2818" t="s">
        <v>485</v>
      </c>
      <c r="C17" s="2823">
        <f ca="1">ROUND(C13*F17,0)</f>
        <v>476</v>
      </c>
      <c r="D17" s="474"/>
      <c r="E17" s="2823"/>
      <c r="F17" s="2824">
        <f>'数据-取费表'!B36</f>
        <v>1.4999999999999999E-2</v>
      </c>
      <c r="G17" s="260" t="s">
        <v>486</v>
      </c>
      <c r="H17" s="2790"/>
      <c r="I17" s="2790"/>
      <c r="J17" s="2790"/>
      <c r="K17" s="278"/>
    </row>
    <row r="18" spans="1:14" s="2114" customFormat="1" ht="13.5" customHeight="1">
      <c r="A18" s="2825" t="s">
        <v>1853</v>
      </c>
      <c r="B18" s="2826" t="s">
        <v>487</v>
      </c>
      <c r="C18" s="2827">
        <f ca="1">SUM(C13:C17)</f>
        <v>34902</v>
      </c>
      <c r="D18" s="2828"/>
      <c r="E18" s="467"/>
      <c r="F18" s="467"/>
      <c r="G18" s="2791" t="s">
        <v>2430</v>
      </c>
      <c r="H18" s="2792"/>
      <c r="I18" s="2792"/>
      <c r="J18" s="2792"/>
      <c r="K18" s="2793"/>
    </row>
    <row r="19" spans="1:14" s="2114" customFormat="1" ht="13.5" customHeight="1">
      <c r="A19" s="2825" t="s">
        <v>1854</v>
      </c>
      <c r="B19" s="2826" t="s">
        <v>488</v>
      </c>
      <c r="C19" s="2783">
        <f ca="1">ROUND(D19*E19/10000,0)</f>
        <v>0</v>
      </c>
      <c r="D19" s="2829">
        <f ca="1">D16</f>
        <v>86130.880000000005</v>
      </c>
      <c r="E19" s="2783">
        <f>'数据-取费表'!B32</f>
        <v>0</v>
      </c>
      <c r="F19" s="467"/>
      <c r="G19" s="2787" t="s">
        <v>489</v>
      </c>
      <c r="H19" s="2788"/>
      <c r="I19" s="2792"/>
      <c r="J19" s="2792"/>
      <c r="K19" s="2793"/>
    </row>
    <row r="20" spans="1:14" s="2114" customFormat="1" ht="13.5" customHeight="1">
      <c r="A20" s="2825" t="s">
        <v>1855</v>
      </c>
      <c r="B20" s="2826" t="s">
        <v>490</v>
      </c>
      <c r="C20" s="2783">
        <f ca="1">C21+C22-IF(B1="",'数据-取费表'!B29,IF(G20="已全部缴纳",C21+C22,H20))</f>
        <v>1723</v>
      </c>
      <c r="D20" s="2829"/>
      <c r="E20" s="2783"/>
      <c r="F20" s="2830"/>
      <c r="G20" s="3061"/>
      <c r="H20" s="2785"/>
      <c r="I20" s="2786" t="s">
        <v>2650</v>
      </c>
      <c r="J20" s="2792"/>
      <c r="K20" s="2793"/>
    </row>
    <row r="21" spans="1:14" s="2114" customFormat="1" ht="13.5" customHeight="1">
      <c r="A21" s="2817" t="s">
        <v>1856</v>
      </c>
      <c r="B21" s="2818" t="s">
        <v>491</v>
      </c>
      <c r="C21" s="53">
        <f ca="1">ROUND(D21*E21/10000,0)</f>
        <v>0</v>
      </c>
      <c r="D21" s="2819">
        <f ca="1">IF(B1="",'数据-汇总表'!E5,IF(INDIRECT("'数据-取费表'!c"&amp;$K$1)="住宅",INDIRECT("'数据-取费表'!k"&amp;$K$1),0))</f>
        <v>0</v>
      </c>
      <c r="E21" s="53">
        <f>'数据-取费表'!B27</f>
        <v>160</v>
      </c>
      <c r="F21" s="2822"/>
      <c r="G21" s="26"/>
      <c r="H21" s="51"/>
      <c r="I21" s="51"/>
      <c r="J21" s="51"/>
      <c r="K21" s="2794"/>
    </row>
    <row r="22" spans="1:14" s="2114" customFormat="1" ht="13.5" customHeight="1">
      <c r="A22" s="2817" t="s">
        <v>1857</v>
      </c>
      <c r="B22" s="2818" t="s">
        <v>492</v>
      </c>
      <c r="C22" s="53">
        <f ca="1">ROUND(D22*E22/10000,0)</f>
        <v>1723</v>
      </c>
      <c r="D22" s="2819">
        <f ca="1">IF(B1="",'数据-汇总表'!E6,IF(INDIRECT("'数据-取费表'!c"&amp;$K$1)="住宅",INDIRECT("'数据-取费表'!s"&amp;$K$1),INDIRECT("'数据-取费表'!k"&amp;$K$1)+INDIRECT("'数据-取费表'!s"&amp;$K$1)))</f>
        <v>86130.880000000005</v>
      </c>
      <c r="E22" s="53">
        <f>'数据-取费表'!B28</f>
        <v>200</v>
      </c>
      <c r="F22" s="2822"/>
      <c r="G22" s="26"/>
      <c r="H22" s="51"/>
      <c r="I22" s="51"/>
      <c r="J22" s="51"/>
      <c r="K22" s="2794"/>
    </row>
    <row r="23" spans="1:14" s="2114" customFormat="1" ht="13.5" customHeight="1">
      <c r="A23" s="2825" t="s">
        <v>1858</v>
      </c>
      <c r="B23" s="3007" t="s">
        <v>2833</v>
      </c>
      <c r="C23" s="2827">
        <f ca="1">ROUND((C18+C19+C20)*F23,0)</f>
        <v>733</v>
      </c>
      <c r="D23" s="467"/>
      <c r="E23" s="467"/>
      <c r="F23" s="2831">
        <f>'数据-取费表'!B37</f>
        <v>0.02</v>
      </c>
      <c r="G23" s="2787" t="s">
        <v>2431</v>
      </c>
      <c r="H23" s="2788"/>
      <c r="I23" s="2788"/>
      <c r="J23" s="2788"/>
      <c r="K23" s="2789"/>
      <c r="L23" s="2116"/>
      <c r="M23" s="2116"/>
      <c r="N23" s="2116"/>
    </row>
    <row r="24" spans="1:14" s="2114" customFormat="1" ht="13.5" customHeight="1">
      <c r="A24" s="2825" t="s">
        <v>1859</v>
      </c>
      <c r="B24" s="3007" t="s">
        <v>2836</v>
      </c>
      <c r="C24" s="2827">
        <f ca="1">ROUND(C6*F24,0)</f>
        <v>3304</v>
      </c>
      <c r="D24" s="474"/>
      <c r="E24" s="472"/>
      <c r="F24" s="2831">
        <f>'数据-取费表'!B38</f>
        <v>0.02</v>
      </c>
      <c r="G24" s="2796" t="s">
        <v>499</v>
      </c>
      <c r="H24" s="2790"/>
      <c r="I24" s="2790"/>
      <c r="J24" s="2790"/>
      <c r="K24" s="278"/>
      <c r="L24" s="2116"/>
      <c r="M24" s="2116"/>
      <c r="N24" s="2116"/>
    </row>
    <row r="25" spans="1:14" s="2117" customFormat="1" ht="13.5" customHeight="1">
      <c r="A25" s="2825" t="s">
        <v>1860</v>
      </c>
      <c r="B25" s="3007" t="s">
        <v>2834</v>
      </c>
      <c r="C25" s="466">
        <f>ROUND(F25/(1+'数据-取费表'!C42),4)</f>
        <v>2.9000000000000001E-2</v>
      </c>
      <c r="D25" s="461" t="s">
        <v>2828</v>
      </c>
      <c r="E25" s="468"/>
      <c r="F25" s="2831">
        <f>'数据-取费表'!B48+'数据-取费表'!B49</f>
        <v>3.0499999999999999E-2</v>
      </c>
      <c r="G25" s="2795" t="s">
        <v>2289</v>
      </c>
      <c r="H25" s="2788"/>
      <c r="I25" s="2788"/>
      <c r="J25" s="2788"/>
      <c r="K25" s="2789"/>
    </row>
    <row r="26" spans="1:14" s="2116" customFormat="1" ht="13.5" customHeight="1">
      <c r="A26" s="2825" t="s">
        <v>1861</v>
      </c>
      <c r="B26" s="3008" t="s">
        <v>2835</v>
      </c>
      <c r="C26" s="2832">
        <f ca="1">C28</f>
        <v>1440</v>
      </c>
      <c r="D26" s="466">
        <f ca="1">C27</f>
        <v>7.4200000000000002E-2</v>
      </c>
      <c r="E26" s="468" t="s">
        <v>495</v>
      </c>
      <c r="F26" s="470">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8" customFormat="1" ht="13.5" customHeight="1">
      <c r="A27" s="802" t="s">
        <v>1856</v>
      </c>
      <c r="B27" s="2833" t="s">
        <v>496</v>
      </c>
      <c r="C27" s="2834">
        <f ca="1">ROUND(IF('数据-取费表'!B22&lt;=1,(1+C25)*F26*'数据-取费表'!B24,(1+C25)*(POWER((1+F26),'数据-取费表'!B24)-1)),4)</f>
        <v>7.4200000000000002E-2</v>
      </c>
      <c r="D27" s="471"/>
      <c r="E27" s="472"/>
      <c r="F27" s="473"/>
      <c r="G27" s="2548" t="str">
        <f>IF('数据-取费表'!B22&lt;=1,"（1+取得税费率/(1+5%)）×年利率×建设期","（1+取得税费率）/(1+5%)×((1+年利率)^建设期-1)")</f>
        <v>（1+取得税费率）/(1+5%)×((1+年利率)^建设期-1)</v>
      </c>
      <c r="H27" s="2790"/>
      <c r="I27" s="2790"/>
      <c r="J27" s="2790"/>
      <c r="K27" s="278"/>
    </row>
    <row r="28" spans="1:14" s="2118" customFormat="1" ht="13.5" customHeight="1">
      <c r="A28" s="802" t="s">
        <v>1857</v>
      </c>
      <c r="B28" s="2833" t="s">
        <v>2837</v>
      </c>
      <c r="C28" s="2835">
        <f ca="1">ROUND(IF('数据-取费表'!B22&lt;=1,(C18+C19+C20+C23+C24)*F26*'数据-取费表'!B24/2,(C18+C19+C20+C23+C24)*(POWER((1+F26),'数据-取费表'!B24/2)-1)),0)</f>
        <v>1440</v>
      </c>
      <c r="D28" s="471"/>
      <c r="E28" s="472"/>
      <c r="F28" s="473"/>
      <c r="G28" s="2548" t="str">
        <f>IF('数据-取费表'!B22&lt;=1,"（1）-（4）项×年利率×建设期÷2","（1）-（4）项×((1+年利率)^(建设期÷2)-1)")</f>
        <v>（1）-（4）项×((1+年利率)^(建设期÷2)-1)</v>
      </c>
      <c r="H28" s="2790"/>
      <c r="I28" s="2790"/>
      <c r="J28" s="2790"/>
      <c r="K28" s="278"/>
    </row>
    <row r="29" spans="1:14" s="2118" customFormat="1" ht="13.5" customHeight="1">
      <c r="A29" s="2836" t="s">
        <v>1862</v>
      </c>
      <c r="B29" s="2826" t="s">
        <v>497</v>
      </c>
      <c r="C29" s="2827">
        <f ca="1">ROUND(C6*F29/(1+'数据-取费表'!C42),0)</f>
        <v>8811</v>
      </c>
      <c r="D29" s="467"/>
      <c r="E29" s="467"/>
      <c r="F29" s="3009">
        <f>'数据-取费表'!B41</f>
        <v>5.6000000000000001E-2</v>
      </c>
      <c r="G29" s="2796" t="s">
        <v>498</v>
      </c>
      <c r="H29" s="2788"/>
      <c r="I29" s="2788"/>
      <c r="J29" s="2788"/>
      <c r="K29" s="2789"/>
    </row>
    <row r="30" spans="1:14" s="2119" customFormat="1" ht="13.5" customHeight="1">
      <c r="A30" s="1633" t="s">
        <v>1863</v>
      </c>
      <c r="B30" s="2837" t="s">
        <v>500</v>
      </c>
      <c r="C30" s="2832">
        <f ca="1">C31</f>
        <v>50913</v>
      </c>
      <c r="D30" s="476">
        <f ca="1">C32</f>
        <v>0.1032</v>
      </c>
      <c r="E30" s="468" t="s">
        <v>495</v>
      </c>
      <c r="F30" s="470"/>
      <c r="G30" s="2795" t="s">
        <v>2973</v>
      </c>
      <c r="H30" s="2788"/>
      <c r="I30" s="2788"/>
      <c r="J30" s="2788"/>
      <c r="K30" s="2789"/>
    </row>
    <row r="31" spans="1:14" s="2118" customFormat="1" ht="13.5" customHeight="1">
      <c r="A31" s="802" t="s">
        <v>1856</v>
      </c>
      <c r="B31" s="2833"/>
      <c r="C31" s="449">
        <f ca="1">C18+C19+C20+C23+C24+C26+C29</f>
        <v>50913</v>
      </c>
      <c r="D31" s="471"/>
      <c r="E31" s="472"/>
      <c r="F31" s="473"/>
      <c r="G31" s="260"/>
      <c r="H31" s="2790"/>
      <c r="I31" s="2790"/>
      <c r="J31" s="2790"/>
      <c r="K31" s="278"/>
    </row>
    <row r="32" spans="1:14" s="2118" customFormat="1" ht="13.5" customHeight="1">
      <c r="A32" s="802" t="s">
        <v>1857</v>
      </c>
      <c r="B32" s="2833"/>
      <c r="C32" s="53">
        <f ca="1">ROUND(C25+D26,4)</f>
        <v>0.1032</v>
      </c>
      <c r="D32" s="471"/>
      <c r="E32" s="472"/>
      <c r="F32" s="473"/>
      <c r="G32" s="260"/>
      <c r="H32" s="2790"/>
      <c r="I32" s="2790"/>
      <c r="J32" s="2790"/>
      <c r="K32" s="278"/>
    </row>
    <row r="33" spans="1:11" s="2120" customFormat="1" ht="13.5" customHeight="1">
      <c r="A33" s="3006" t="s">
        <v>2832</v>
      </c>
      <c r="B33" s="3004" t="s">
        <v>2830</v>
      </c>
      <c r="C33" s="477">
        <f ca="1">C35</f>
        <v>4879</v>
      </c>
      <c r="D33" s="466">
        <f ca="1">C34</f>
        <v>0.1235</v>
      </c>
      <c r="E33" s="468" t="s">
        <v>495</v>
      </c>
      <c r="F33" s="478">
        <f ca="1">IF(B1="",'数据-取费表'!Q16,INDIRECT("'数据-取费表'!q"&amp;$K$1))</f>
        <v>0.12</v>
      </c>
      <c r="G33" s="2791"/>
      <c r="H33" s="2792"/>
      <c r="I33" s="2792"/>
      <c r="J33" s="2792"/>
      <c r="K33" s="2793"/>
    </row>
    <row r="34" spans="1:11" s="2121" customFormat="1" ht="13.5" customHeight="1">
      <c r="A34" s="374" t="s">
        <v>1856</v>
      </c>
      <c r="B34" s="2838" t="s">
        <v>501</v>
      </c>
      <c r="C34" s="471">
        <f ca="1">ROUND((1+C25)*F33,4)</f>
        <v>0.1235</v>
      </c>
      <c r="D34" s="471"/>
      <c r="E34" s="472"/>
      <c r="F34" s="479"/>
      <c r="G34" s="260" t="s">
        <v>2290</v>
      </c>
      <c r="H34" s="2790"/>
      <c r="I34" s="2790"/>
      <c r="J34" s="2790"/>
      <c r="K34" s="278"/>
    </row>
    <row r="35" spans="1:11" s="2121" customFormat="1" ht="13.5" customHeight="1" thickBot="1">
      <c r="A35" s="1634" t="s">
        <v>1857</v>
      </c>
      <c r="B35" s="3005" t="s">
        <v>2838</v>
      </c>
      <c r="C35" s="1626">
        <f ca="1">ROUND((C18+C19+C20+C23+C24)*F33,0)</f>
        <v>4879</v>
      </c>
      <c r="D35" s="1627"/>
      <c r="E35" s="2839"/>
      <c r="F35" s="1628"/>
      <c r="G35" s="2797"/>
      <c r="H35" s="2798"/>
      <c r="I35" s="2798"/>
      <c r="J35" s="2798"/>
      <c r="K35" s="2799"/>
    </row>
    <row r="36" spans="1:11" s="2083" customFormat="1" ht="13.5" customHeight="1" thickBot="1">
      <c r="A36" s="283" t="s">
        <v>1844</v>
      </c>
      <c r="B36" s="2801"/>
      <c r="C36" s="2840">
        <f ca="1">ROUND((C6-C30-C33)/(1+D30+D33),0)</f>
        <v>89195</v>
      </c>
      <c r="D36" s="2801"/>
      <c r="E36" s="2801"/>
      <c r="F36" s="2801"/>
      <c r="G36" s="2800" t="s">
        <v>2839</v>
      </c>
      <c r="H36" s="2801"/>
      <c r="I36" s="2801"/>
      <c r="J36" s="2801"/>
      <c r="K36" s="280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4"/>
      <c r="C1" s="2102"/>
      <c r="D1" s="2102"/>
      <c r="E1" s="2102"/>
      <c r="F1" s="2102"/>
      <c r="G1" s="2102"/>
      <c r="H1" s="2102"/>
      <c r="I1" s="2102"/>
      <c r="J1" s="2102"/>
      <c r="K1" s="421">
        <f>MATCH(B1,'数据-取费表'!A6:A16,0)+5</f>
        <v>8</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1684</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2651</v>
      </c>
      <c r="B6" s="432"/>
      <c r="C6" s="1621">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1845</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1847</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1864</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1848</v>
      </c>
      <c r="B13" s="448" t="s">
        <v>479</v>
      </c>
      <c r="C13" s="449">
        <f ca="1">IF(B1="",'数据-取费表'!M16,INDIRECT("'数据-取费表'!M"&amp;$K$1)+INDIRECT("'数据-取费表'!t"&amp;$K$1))</f>
        <v>31750</v>
      </c>
      <c r="D13" s="450"/>
      <c r="E13" s="364"/>
      <c r="F13" s="451"/>
      <c r="G13" s="443"/>
      <c r="H13" s="446"/>
      <c r="I13" s="446"/>
      <c r="J13" s="446"/>
      <c r="K13" s="447"/>
    </row>
    <row r="14" spans="1:41" s="2114" customFormat="1" ht="13.5" customHeight="1">
      <c r="A14" s="1631" t="s">
        <v>1849</v>
      </c>
      <c r="B14" s="448" t="s">
        <v>480</v>
      </c>
      <c r="C14" s="53">
        <f ca="1">ROUND(C13*F14,0)</f>
        <v>953</v>
      </c>
      <c r="D14" s="450"/>
      <c r="E14" s="364"/>
      <c r="F14" s="452">
        <f>'数据-取费表'!B33</f>
        <v>0.03</v>
      </c>
      <c r="G14" s="443" t="s">
        <v>502</v>
      </c>
      <c r="H14" s="446"/>
      <c r="I14" s="446"/>
      <c r="J14" s="446"/>
      <c r="K14" s="447"/>
    </row>
    <row r="15" spans="1:41" s="2114" customFormat="1" ht="13.5" customHeight="1">
      <c r="A15" s="1631"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1" t="s">
        <v>1851</v>
      </c>
      <c r="B16" s="448" t="s">
        <v>484</v>
      </c>
      <c r="C16" s="53">
        <f ca="1">ROUND(D16*E16/10000,0)</f>
        <v>1723</v>
      </c>
      <c r="D16" s="450">
        <f ca="1">IF(B1="",'数据-汇总表'!E3,INDIRECT("'数据-取费表'!K"&amp;$K$1)+INDIRECT("'数据-取费表'!S"&amp;$K$1))</f>
        <v>86130.880000000005</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1852</v>
      </c>
      <c r="B17" s="448" t="s">
        <v>485</v>
      </c>
      <c r="C17" s="453">
        <f ca="1">ROUND(C13*F17,0)</f>
        <v>476</v>
      </c>
      <c r="D17" s="454"/>
      <c r="E17" s="453"/>
      <c r="F17" s="455">
        <f>'数据-取费表'!B36</f>
        <v>1.4999999999999999E-2</v>
      </c>
      <c r="G17" s="443" t="s">
        <v>502</v>
      </c>
      <c r="H17" s="456"/>
      <c r="I17" s="456"/>
      <c r="J17" s="456"/>
      <c r="K17" s="457"/>
    </row>
    <row r="18" spans="1:14" s="2117" customFormat="1" ht="13.5" customHeight="1">
      <c r="A18" s="1632" t="s">
        <v>1853</v>
      </c>
      <c r="B18" s="458" t="s">
        <v>487</v>
      </c>
      <c r="C18" s="459">
        <f ca="1">SUM(C13:C17)</f>
        <v>34902</v>
      </c>
      <c r="D18" s="460"/>
      <c r="E18" s="461"/>
      <c r="F18" s="461"/>
      <c r="G18" s="1324" t="s">
        <v>2432</v>
      </c>
      <c r="H18" s="446"/>
      <c r="I18" s="446"/>
      <c r="J18" s="446"/>
      <c r="K18" s="447"/>
    </row>
    <row r="19" spans="1:14" s="2117" customFormat="1" ht="13.5" customHeight="1">
      <c r="A19" s="1632" t="s">
        <v>1854</v>
      </c>
      <c r="B19" s="458" t="s">
        <v>493</v>
      </c>
      <c r="C19" s="459">
        <f ca="1">ROUND(C18*F19,0)</f>
        <v>698</v>
      </c>
      <c r="D19" s="461"/>
      <c r="E19" s="461"/>
      <c r="F19" s="465">
        <f>'数据-取费表'!B37</f>
        <v>0.02</v>
      </c>
      <c r="G19" s="443" t="s">
        <v>503</v>
      </c>
      <c r="H19" s="446"/>
      <c r="I19" s="446"/>
      <c r="J19" s="446"/>
      <c r="K19" s="447"/>
      <c r="L19" s="2119"/>
      <c r="M19" s="2119"/>
      <c r="N19" s="2119"/>
    </row>
    <row r="20" spans="1:14" s="2117" customFormat="1" ht="13.5" customHeight="1">
      <c r="A20" s="1632" t="s">
        <v>1855</v>
      </c>
      <c r="B20" s="458" t="s">
        <v>504</v>
      </c>
      <c r="C20" s="3002">
        <f>F20</f>
        <v>0.02</v>
      </c>
      <c r="D20" s="468" t="s">
        <v>505</v>
      </c>
      <c r="E20" s="468"/>
      <c r="F20" s="485">
        <f>'数据-取费表'!B38</f>
        <v>0.02</v>
      </c>
      <c r="G20" s="1324" t="s">
        <v>506</v>
      </c>
      <c r="H20" s="446"/>
      <c r="I20" s="446"/>
      <c r="J20" s="446"/>
      <c r="K20" s="447"/>
      <c r="L20" s="2119"/>
      <c r="M20" s="2119"/>
      <c r="N20" s="2119"/>
    </row>
    <row r="21" spans="1:14" s="2119" customFormat="1" ht="13.5" customHeight="1">
      <c r="A21" s="1632" t="s">
        <v>1858</v>
      </c>
      <c r="B21" s="460" t="s">
        <v>494</v>
      </c>
      <c r="C21" s="469">
        <f ca="1">C22</f>
        <v>1261</v>
      </c>
      <c r="D21" s="466">
        <f ca="1">C23</f>
        <v>6.9999999999999999E-4</v>
      </c>
      <c r="E21" s="468" t="s">
        <v>507</v>
      </c>
      <c r="F21" s="470">
        <f ca="1">'数据-取费表'!B40</f>
        <v>4.7500000000000001E-2</v>
      </c>
      <c r="G21" s="1324"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1" t="s">
        <v>1848</v>
      </c>
      <c r="B22" s="1325" t="s">
        <v>2435</v>
      </c>
      <c r="C22" s="486">
        <f ca="1">ROUND(IF('数据-取费表'!B22&lt;=1,(C18+C19)*F21*'数据-取费表'!B20/2,(C18+C19)*(POWER((1+F21),'数据-取费表'!B20/2)-1)),0)</f>
        <v>1261</v>
      </c>
      <c r="D22" s="471"/>
      <c r="E22" s="472"/>
      <c r="F22" s="473"/>
      <c r="G22" s="2543" t="str">
        <f>IF('数据-取费表'!B22&lt;=1,"((1)+(2))×年利率×建设期÷2","((1)+(2))×((1+年利率)^(建设期÷2)-1)")</f>
        <v>((1)+(2))×((1+年利率)^(建设期÷2)-1)</v>
      </c>
      <c r="H22" s="456"/>
      <c r="I22" s="456"/>
      <c r="J22" s="456"/>
      <c r="K22" s="457"/>
    </row>
    <row r="23" spans="1:14" s="2118" customFormat="1" ht="13.5" customHeight="1">
      <c r="A23" s="1631" t="s">
        <v>1849</v>
      </c>
      <c r="B23" s="1325" t="s">
        <v>508</v>
      </c>
      <c r="C23" s="487">
        <f ca="1">ROUND(IF('数据-取费表'!B22&lt;=1,F20*F21*'数据-取费表'!B20/2,F20*(POWER((1+F21),'数据-取费表'!B20/2)-1)),4)</f>
        <v>6.9999999999999999E-4</v>
      </c>
      <c r="D23" s="471"/>
      <c r="E23" s="472"/>
      <c r="F23" s="473"/>
      <c r="G23" s="2543" t="str">
        <f>IF('数据-取费表'!B22&lt;=1,"销售费用率×年利率×建设期÷2","销售费用率×((1+年利率)^(建设期÷2)-1)")</f>
        <v>销售费用率×((1+年利率)^(建设期÷2)-1)</v>
      </c>
      <c r="H23" s="456"/>
      <c r="I23" s="456"/>
      <c r="J23" s="456"/>
      <c r="K23" s="457"/>
    </row>
    <row r="24" spans="1:14" s="2118" customFormat="1" ht="13.5" customHeight="1">
      <c r="A24" s="1632" t="s">
        <v>1859</v>
      </c>
      <c r="B24" s="3004" t="s">
        <v>2831</v>
      </c>
      <c r="C24" s="477">
        <f ca="1">C25</f>
        <v>4272</v>
      </c>
      <c r="D24" s="488">
        <f ca="1">C26</f>
        <v>2.3999999999999998E-3</v>
      </c>
      <c r="E24" s="468" t="s">
        <v>507</v>
      </c>
      <c r="F24" s="478">
        <f ca="1">IF(B1="",'数据-取费表'!Q16,INDIRECT("'数据-取费表'!q"&amp;$K$1))</f>
        <v>0.12</v>
      </c>
      <c r="G24" s="443"/>
      <c r="H24" s="446"/>
      <c r="I24" s="446"/>
      <c r="J24" s="446"/>
      <c r="K24" s="447"/>
    </row>
    <row r="25" spans="1:14" s="2118" customFormat="1" ht="13.5" customHeight="1">
      <c r="A25" s="1631" t="s">
        <v>1848</v>
      </c>
      <c r="B25" s="1325" t="s">
        <v>2436</v>
      </c>
      <c r="C25" s="489">
        <f ca="1">ROUND((C18+C19)*F24,0)</f>
        <v>4272</v>
      </c>
      <c r="D25" s="471"/>
      <c r="E25" s="472"/>
      <c r="F25" s="479"/>
      <c r="G25" s="1323" t="s">
        <v>2433</v>
      </c>
      <c r="H25" s="456"/>
      <c r="I25" s="456"/>
      <c r="J25" s="456"/>
      <c r="K25" s="457"/>
    </row>
    <row r="26" spans="1:14" s="2118" customFormat="1" ht="13.5" customHeight="1">
      <c r="A26" s="1631" t="s">
        <v>1849</v>
      </c>
      <c r="B26" s="1325" t="s">
        <v>509</v>
      </c>
      <c r="C26" s="490">
        <f ca="1">ROUND(F20*F24,4)</f>
        <v>2.3999999999999998E-3</v>
      </c>
      <c r="D26" s="471"/>
      <c r="E26" s="480"/>
      <c r="F26" s="479"/>
      <c r="G26" s="1323" t="s">
        <v>510</v>
      </c>
      <c r="H26" s="456"/>
      <c r="I26" s="456"/>
      <c r="J26" s="456"/>
      <c r="K26" s="457"/>
    </row>
    <row r="27" spans="1:14" s="2118" customFormat="1" ht="13.5" customHeight="1">
      <c r="A27" s="1635" t="s">
        <v>1867</v>
      </c>
      <c r="B27" s="458" t="s">
        <v>511</v>
      </c>
      <c r="C27" s="3003">
        <f>ROUND(F27/(1+'数据-取费表'!C42),4)</f>
        <v>5.33E-2</v>
      </c>
      <c r="D27" s="461" t="s">
        <v>2829</v>
      </c>
      <c r="E27" s="461"/>
      <c r="F27" s="465">
        <f>'数据-取费表'!B41</f>
        <v>5.6000000000000001E-2</v>
      </c>
      <c r="G27" s="1958" t="s">
        <v>2291</v>
      </c>
      <c r="H27" s="446"/>
      <c r="I27" s="446"/>
      <c r="J27" s="446"/>
      <c r="K27" s="447"/>
    </row>
    <row r="28" spans="1:14" s="2119" customFormat="1" ht="13.5" customHeight="1">
      <c r="A28" s="1635" t="s">
        <v>1868</v>
      </c>
      <c r="B28" s="475" t="s">
        <v>512</v>
      </c>
      <c r="C28" s="469">
        <f ca="1">ROUND((C18+C19+C21+C24)/(1-C20-D21-D24-C27),0)</f>
        <v>44536</v>
      </c>
      <c r="D28" s="476"/>
      <c r="E28" s="468"/>
      <c r="F28" s="470"/>
      <c r="G28" s="1324" t="s">
        <v>2434</v>
      </c>
      <c r="H28" s="446"/>
      <c r="I28" s="446"/>
      <c r="J28" s="446"/>
      <c r="K28" s="447"/>
    </row>
    <row r="29" spans="1:14" s="2119" customFormat="1" ht="13.5" customHeight="1">
      <c r="A29" s="1635" t="s">
        <v>1869</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6" t="s">
        <v>515</v>
      </c>
      <c r="H30" s="495"/>
      <c r="I30" s="495"/>
      <c r="J30" s="446"/>
      <c r="K30" s="447"/>
    </row>
    <row r="31" spans="1:14" s="2124" customFormat="1" ht="13.5" customHeight="1">
      <c r="A31" s="2458" t="s">
        <v>1865</v>
      </c>
      <c r="B31" s="1327"/>
      <c r="C31" s="499">
        <f>ROUND(C6*F31/(1+'数据-取费表'!C42),0)</f>
        <v>0</v>
      </c>
      <c r="D31" s="1328"/>
      <c r="E31" s="1328"/>
      <c r="F31" s="500">
        <f>'数据-取费表'!B41</f>
        <v>5.6000000000000001E-2</v>
      </c>
      <c r="G31" s="1329"/>
      <c r="H31" s="1329"/>
      <c r="I31" s="1329"/>
      <c r="J31" s="1330"/>
      <c r="K31" s="1331"/>
    </row>
    <row r="32" spans="1:14" s="2083"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59"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1685</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3"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3"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521</v>
      </c>
      <c r="B6" s="512"/>
      <c r="C6" s="3399" t="s">
        <v>522</v>
      </c>
      <c r="D6" s="3400"/>
      <c r="E6" s="3426" t="s">
        <v>523</v>
      </c>
      <c r="F6" s="3427"/>
      <c r="G6" s="3399" t="s">
        <v>524</v>
      </c>
      <c r="H6" s="3400"/>
      <c r="I6" s="3399" t="s">
        <v>525</v>
      </c>
      <c r="J6" s="3400"/>
      <c r="K6" s="513" t="s">
        <v>526</v>
      </c>
      <c r="L6" s="2131"/>
      <c r="M6" s="2132"/>
      <c r="N6" s="2132"/>
      <c r="O6" s="2132"/>
      <c r="P6" s="3401" t="s">
        <v>527</v>
      </c>
      <c r="Q6" s="3402"/>
      <c r="R6" s="3387" t="s">
        <v>523</v>
      </c>
      <c r="S6" s="3388"/>
      <c r="T6" s="3387" t="s">
        <v>524</v>
      </c>
      <c r="U6" s="3388"/>
      <c r="V6" s="3407" t="s">
        <v>525</v>
      </c>
      <c r="W6" s="3407"/>
      <c r="X6" s="1565"/>
      <c r="Y6" s="3387" t="s">
        <v>527</v>
      </c>
      <c r="Z6" s="3388"/>
      <c r="AA6" s="3382" t="s">
        <v>523</v>
      </c>
      <c r="AB6" s="3383" t="s">
        <v>524</v>
      </c>
      <c r="AC6" s="3382" t="s">
        <v>525</v>
      </c>
    </row>
    <row r="7" spans="1:29" ht="15">
      <c r="A7" s="514"/>
      <c r="B7" s="515"/>
      <c r="C7" s="3410" t="s">
        <v>2928</v>
      </c>
      <c r="D7" s="3411"/>
      <c r="E7" s="3428" t="s">
        <v>2929</v>
      </c>
      <c r="F7" s="3416"/>
      <c r="G7" s="3410" t="s">
        <v>2930</v>
      </c>
      <c r="H7" s="3411"/>
      <c r="I7" s="3410" t="s">
        <v>2931</v>
      </c>
      <c r="J7" s="3411"/>
      <c r="K7" s="513"/>
      <c r="L7" s="2131"/>
      <c r="M7" s="2132"/>
      <c r="N7" s="2132"/>
      <c r="O7" s="2132"/>
      <c r="P7" s="3403"/>
      <c r="Q7" s="3404"/>
      <c r="R7" s="3389"/>
      <c r="S7" s="3390"/>
      <c r="T7" s="3389"/>
      <c r="U7" s="3390"/>
      <c r="V7" s="3407"/>
      <c r="W7" s="3407"/>
      <c r="X7" s="1565"/>
      <c r="Y7" s="3389"/>
      <c r="Z7" s="3390"/>
      <c r="AA7" s="3383"/>
      <c r="AB7" s="3383"/>
      <c r="AC7" s="3383"/>
    </row>
    <row r="8" spans="1:29" ht="15.75" thickBot="1">
      <c r="A8" s="516"/>
      <c r="B8" s="517"/>
      <c r="C8" s="3408" t="s">
        <v>2932</v>
      </c>
      <c r="D8" s="3409"/>
      <c r="E8" s="3429" t="s">
        <v>2932</v>
      </c>
      <c r="F8" s="3430"/>
      <c r="G8" s="3408" t="s">
        <v>2932</v>
      </c>
      <c r="H8" s="3409"/>
      <c r="I8" s="3408" t="s">
        <v>2932</v>
      </c>
      <c r="J8" s="3409"/>
      <c r="K8" s="513" t="s">
        <v>528</v>
      </c>
      <c r="L8" s="2131"/>
      <c r="M8" s="2132"/>
      <c r="N8" s="2132"/>
      <c r="O8" s="2132"/>
      <c r="P8" s="3405"/>
      <c r="Q8" s="3406"/>
      <c r="R8" s="3389"/>
      <c r="S8" s="3390"/>
      <c r="T8" s="3391"/>
      <c r="U8" s="3392"/>
      <c r="V8" s="3407"/>
      <c r="W8" s="3407"/>
      <c r="X8" s="1565"/>
      <c r="Y8" s="3391"/>
      <c r="Z8" s="3392"/>
      <c r="AA8" s="3384"/>
      <c r="AB8" s="3384"/>
      <c r="AC8" s="3384"/>
    </row>
    <row r="9" spans="1:29" s="1217" customFormat="1" ht="15.75" thickBot="1">
      <c r="A9" s="2887"/>
      <c r="B9" s="2894" t="s">
        <v>529</v>
      </c>
      <c r="C9" s="518">
        <f>'数据-取费表'!B2</f>
        <v>43510</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85" t="s">
        <v>530</v>
      </c>
      <c r="Q9" s="3394"/>
      <c r="R9" s="1566" t="s">
        <v>8</v>
      </c>
      <c r="S9" s="1567">
        <f t="shared" ref="S9:S17" si="0">F9</f>
        <v>0</v>
      </c>
      <c r="T9" s="1566" t="s">
        <v>8</v>
      </c>
      <c r="U9" s="1567">
        <f t="shared" ref="U9:U17" si="1">H9</f>
        <v>0</v>
      </c>
      <c r="V9" s="1566" t="s">
        <v>8</v>
      </c>
      <c r="W9" s="1567">
        <f t="shared" ref="W9:W17" si="2">J9</f>
        <v>0</v>
      </c>
      <c r="X9" s="1568"/>
      <c r="Y9" s="3385" t="s">
        <v>530</v>
      </c>
      <c r="Z9" s="3386"/>
      <c r="AA9" s="1569" t="e">
        <f>D9/F9</f>
        <v>#DIV/0!</v>
      </c>
      <c r="AB9" s="1569" t="e">
        <f>D9/H9</f>
        <v>#DIV/0!</v>
      </c>
      <c r="AC9" s="1569" t="e">
        <f>D9/J9</f>
        <v>#DIV/0!</v>
      </c>
    </row>
    <row r="10" spans="1:29" s="1217" customFormat="1" ht="15.75" thickBot="1">
      <c r="A10" s="2888"/>
      <c r="B10" s="289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85" t="s">
        <v>533</v>
      </c>
      <c r="Q10" s="3386"/>
      <c r="R10" s="1566" t="s">
        <v>8</v>
      </c>
      <c r="S10" s="1567">
        <f t="shared" si="0"/>
        <v>0</v>
      </c>
      <c r="T10" s="1566" t="s">
        <v>8</v>
      </c>
      <c r="U10" s="1567">
        <f t="shared" si="1"/>
        <v>0</v>
      </c>
      <c r="V10" s="1566" t="s">
        <v>8</v>
      </c>
      <c r="W10" s="1567">
        <f t="shared" si="2"/>
        <v>0</v>
      </c>
      <c r="X10" s="1568"/>
      <c r="Y10" s="3385" t="s">
        <v>533</v>
      </c>
      <c r="Z10" s="3386"/>
      <c r="AA10" s="1569" t="e">
        <f t="shared" ref="AA10:AA42" si="3">D10/F10</f>
        <v>#DIV/0!</v>
      </c>
      <c r="AB10" s="1569" t="e">
        <f t="shared" ref="AB10:AB42" si="4">D10/H10</f>
        <v>#DIV/0!</v>
      </c>
      <c r="AC10" s="1569" t="e">
        <f t="shared" ref="AC10:AC42" si="5">D10/J10</f>
        <v>#DIV/0!</v>
      </c>
    </row>
    <row r="11" spans="1:29" s="1217" customFormat="1" ht="15">
      <c r="A11" s="2889"/>
      <c r="B11" s="2896" t="s">
        <v>2755</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93" t="s">
        <v>535</v>
      </c>
      <c r="Q11" s="1148" t="str">
        <f t="shared" ref="Q11:Q17" si="6">B11</f>
        <v>用途</v>
      </c>
      <c r="R11" s="1566" t="s">
        <v>8</v>
      </c>
      <c r="S11" s="1567">
        <f t="shared" si="0"/>
        <v>100</v>
      </c>
      <c r="T11" s="1566" t="s">
        <v>8</v>
      </c>
      <c r="U11" s="1567">
        <f t="shared" si="1"/>
        <v>100</v>
      </c>
      <c r="V11" s="1566" t="s">
        <v>8</v>
      </c>
      <c r="W11" s="1567">
        <f t="shared" si="2"/>
        <v>100</v>
      </c>
      <c r="X11" s="1568"/>
      <c r="Y11" s="3344" t="s">
        <v>536</v>
      </c>
      <c r="Z11" s="1147" t="str">
        <f t="shared" ref="Z11:Z17" si="7">Q11</f>
        <v>用途</v>
      </c>
      <c r="AA11" s="1569">
        <f t="shared" si="3"/>
        <v>1</v>
      </c>
      <c r="AB11" s="1569">
        <f t="shared" si="4"/>
        <v>1</v>
      </c>
      <c r="AC11" s="1569">
        <f t="shared" si="5"/>
        <v>1</v>
      </c>
    </row>
    <row r="12" spans="1:29" s="1335" customFormat="1" ht="27">
      <c r="A12" s="2890"/>
      <c r="B12" s="2895" t="s">
        <v>2756</v>
      </c>
      <c r="C12" s="527"/>
      <c r="D12" s="254">
        <v>100</v>
      </c>
      <c r="E12" s="527"/>
      <c r="F12" s="254">
        <f>ROUND(100/'数据-取费表'!G16,0)</f>
        <v>115</v>
      </c>
      <c r="G12" s="527"/>
      <c r="H12" s="254">
        <f>ROUND(100/'数据-取费表'!G16,0)</f>
        <v>115</v>
      </c>
      <c r="I12" s="527"/>
      <c r="J12" s="254">
        <f>ROUND(100/'数据-取费表'!G16,0)</f>
        <v>115</v>
      </c>
      <c r="K12" s="530"/>
      <c r="L12" s="2136"/>
      <c r="M12" s="2176"/>
      <c r="N12" s="2176"/>
      <c r="O12" s="2137"/>
      <c r="P12" s="3393"/>
      <c r="Q12" s="1148" t="str">
        <f t="shared" si="6"/>
        <v>土地使用年限（年）</v>
      </c>
      <c r="R12" s="1566" t="s">
        <v>8</v>
      </c>
      <c r="S12" s="1567">
        <f t="shared" si="0"/>
        <v>115</v>
      </c>
      <c r="T12" s="1566" t="s">
        <v>8</v>
      </c>
      <c r="U12" s="1567">
        <f t="shared" si="1"/>
        <v>115</v>
      </c>
      <c r="V12" s="1566" t="s">
        <v>8</v>
      </c>
      <c r="W12" s="1567">
        <f t="shared" si="2"/>
        <v>115</v>
      </c>
      <c r="X12" s="1568"/>
      <c r="Y12" s="3344"/>
      <c r="Z12" s="1147" t="str">
        <f t="shared" si="7"/>
        <v>土地使用年限（年）</v>
      </c>
      <c r="AA12" s="1569">
        <f t="shared" si="3"/>
        <v>0.86956521739130432</v>
      </c>
      <c r="AB12" s="1569">
        <f t="shared" si="4"/>
        <v>0.86956521739130432</v>
      </c>
      <c r="AC12" s="1569">
        <f t="shared" si="5"/>
        <v>0.86956521739130432</v>
      </c>
    </row>
    <row r="13" spans="1:29" ht="15">
      <c r="A13" s="2891"/>
      <c r="B13" s="2895"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93"/>
      <c r="Q13" s="1148" t="str">
        <f t="shared" si="6"/>
        <v>容积率</v>
      </c>
      <c r="R13" s="1566" t="s">
        <v>8</v>
      </c>
      <c r="S13" s="1567" t="e">
        <f t="shared" si="0"/>
        <v>#N/A</v>
      </c>
      <c r="T13" s="1566" t="s">
        <v>8</v>
      </c>
      <c r="U13" s="1567" t="e">
        <f t="shared" si="1"/>
        <v>#N/A</v>
      </c>
      <c r="V13" s="1566" t="s">
        <v>8</v>
      </c>
      <c r="W13" s="1567" t="e">
        <f t="shared" si="2"/>
        <v>#N/A</v>
      </c>
      <c r="X13" s="1568"/>
      <c r="Y13" s="3344"/>
      <c r="Z13" s="1147" t="str">
        <f t="shared" si="7"/>
        <v>容积率</v>
      </c>
      <c r="AA13" s="1569" t="e">
        <f t="shared" si="3"/>
        <v>#N/A</v>
      </c>
      <c r="AB13" s="1569" t="e">
        <f t="shared" si="4"/>
        <v>#N/A</v>
      </c>
      <c r="AC13" s="1569" t="e">
        <f t="shared" si="5"/>
        <v>#N/A</v>
      </c>
    </row>
    <row r="14" spans="1:29" s="1217" customFormat="1" ht="15">
      <c r="A14" s="2892"/>
      <c r="B14" s="2898">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93"/>
      <c r="Q14" s="1148">
        <f t="shared" si="6"/>
        <v>111</v>
      </c>
      <c r="R14" s="1566" t="s">
        <v>8</v>
      </c>
      <c r="S14" s="1567">
        <f t="shared" si="0"/>
        <v>100</v>
      </c>
      <c r="T14" s="1566" t="s">
        <v>8</v>
      </c>
      <c r="U14" s="1567">
        <f t="shared" si="1"/>
        <v>100</v>
      </c>
      <c r="V14" s="1566" t="s">
        <v>8</v>
      </c>
      <c r="W14" s="1567">
        <f t="shared" si="2"/>
        <v>100</v>
      </c>
      <c r="X14" s="1568"/>
      <c r="Y14" s="3344"/>
      <c r="Z14" s="1147">
        <f t="shared" si="7"/>
        <v>111</v>
      </c>
      <c r="AA14" s="1569">
        <f>D14/F14</f>
        <v>1</v>
      </c>
      <c r="AB14" s="1569">
        <f>D14/H14</f>
        <v>1</v>
      </c>
      <c r="AC14" s="1569">
        <f>D14/J14</f>
        <v>1</v>
      </c>
    </row>
    <row r="15" spans="1:29" ht="15">
      <c r="A15" s="2892"/>
      <c r="B15" s="2898">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93"/>
      <c r="Q15" s="1148">
        <f t="shared" si="6"/>
        <v>111</v>
      </c>
      <c r="R15" s="1566" t="s">
        <v>8</v>
      </c>
      <c r="S15" s="1567">
        <f t="shared" si="0"/>
        <v>100</v>
      </c>
      <c r="T15" s="1566" t="s">
        <v>8</v>
      </c>
      <c r="U15" s="1567">
        <f t="shared" si="1"/>
        <v>100</v>
      </c>
      <c r="V15" s="1566" t="s">
        <v>8</v>
      </c>
      <c r="W15" s="1567">
        <f t="shared" si="2"/>
        <v>100</v>
      </c>
      <c r="X15" s="1568"/>
      <c r="Y15" s="3344"/>
      <c r="Z15" s="1147">
        <f t="shared" si="7"/>
        <v>111</v>
      </c>
      <c r="AA15" s="1569">
        <f t="shared" si="3"/>
        <v>1</v>
      </c>
      <c r="AB15" s="1569">
        <f t="shared" si="4"/>
        <v>1</v>
      </c>
      <c r="AC15" s="1569">
        <f t="shared" si="5"/>
        <v>1</v>
      </c>
    </row>
    <row r="16" spans="1:29" ht="15.75" thickBot="1">
      <c r="A16" s="2893"/>
      <c r="B16" s="2899">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93"/>
      <c r="Q16" s="1148">
        <f t="shared" si="6"/>
        <v>111</v>
      </c>
      <c r="R16" s="1566" t="s">
        <v>8</v>
      </c>
      <c r="S16" s="1567">
        <f t="shared" si="0"/>
        <v>100</v>
      </c>
      <c r="T16" s="1566" t="s">
        <v>8</v>
      </c>
      <c r="U16" s="1567">
        <f t="shared" si="1"/>
        <v>100</v>
      </c>
      <c r="V16" s="1566" t="s">
        <v>8</v>
      </c>
      <c r="W16" s="1567">
        <f t="shared" si="2"/>
        <v>100</v>
      </c>
      <c r="X16" s="1568"/>
      <c r="Y16" s="3344"/>
      <c r="Z16" s="1147">
        <f t="shared" si="7"/>
        <v>111</v>
      </c>
      <c r="AA16" s="1569">
        <f t="shared" si="3"/>
        <v>1</v>
      </c>
      <c r="AB16" s="1569">
        <f t="shared" si="4"/>
        <v>1</v>
      </c>
      <c r="AC16" s="1569">
        <f t="shared" si="5"/>
        <v>1</v>
      </c>
    </row>
    <row r="17" spans="1:29" ht="57">
      <c r="A17" s="2885"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95" t="s">
        <v>540</v>
      </c>
      <c r="Q17" s="1570" t="str">
        <f t="shared" si="6"/>
        <v>产业集聚程度</v>
      </c>
      <c r="R17" s="1571" t="s">
        <v>8</v>
      </c>
      <c r="S17" s="1572">
        <f t="shared" si="0"/>
        <v>100</v>
      </c>
      <c r="T17" s="1571" t="s">
        <v>8</v>
      </c>
      <c r="U17" s="1572">
        <f t="shared" si="1"/>
        <v>100</v>
      </c>
      <c r="V17" s="1571" t="s">
        <v>8</v>
      </c>
      <c r="W17" s="1572">
        <f t="shared" si="2"/>
        <v>100</v>
      </c>
      <c r="X17" s="1565"/>
      <c r="Y17" s="3395"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396"/>
      <c r="Q18" s="1570"/>
      <c r="R18" s="1571"/>
      <c r="S18" s="1572"/>
      <c r="T18" s="1571"/>
      <c r="U18" s="1572"/>
      <c r="V18" s="1571"/>
      <c r="W18" s="1572"/>
      <c r="X18" s="1565"/>
      <c r="Y18" s="3396"/>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96"/>
      <c r="Q19" s="1570" t="str">
        <f>B19</f>
        <v>交通便捷度</v>
      </c>
      <c r="R19" s="1571" t="s">
        <v>8</v>
      </c>
      <c r="S19" s="1572">
        <f>F19</f>
        <v>100</v>
      </c>
      <c r="T19" s="1571" t="s">
        <v>8</v>
      </c>
      <c r="U19" s="1572">
        <f>H19</f>
        <v>100</v>
      </c>
      <c r="V19" s="1571" t="s">
        <v>8</v>
      </c>
      <c r="W19" s="1572">
        <f>J19</f>
        <v>100</v>
      </c>
      <c r="X19" s="1565"/>
      <c r="Y19" s="3396"/>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0"/>
      <c r="M20" s="2132"/>
      <c r="N20" s="2132"/>
      <c r="O20" s="2139"/>
      <c r="P20" s="3396"/>
      <c r="Q20" s="1570"/>
      <c r="R20" s="1571"/>
      <c r="S20" s="1572"/>
      <c r="T20" s="1571"/>
      <c r="U20" s="1572"/>
      <c r="V20" s="1571"/>
      <c r="W20" s="1572"/>
      <c r="X20" s="1565"/>
      <c r="Y20" s="3396"/>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40"/>
      <c r="M21" s="2132"/>
      <c r="N21" s="2132"/>
      <c r="O21" s="2139"/>
      <c r="P21" s="3396"/>
      <c r="Q21" s="1570" t="str">
        <f t="shared" ref="Q21:Q35" si="8">B21</f>
        <v>区域土地利用方向</v>
      </c>
      <c r="R21" s="1571" t="s">
        <v>8</v>
      </c>
      <c r="S21" s="1572">
        <f>F21</f>
        <v>100</v>
      </c>
      <c r="T21" s="1571" t="s">
        <v>8</v>
      </c>
      <c r="U21" s="1572">
        <f>H21</f>
        <v>100</v>
      </c>
      <c r="V21" s="1571" t="s">
        <v>8</v>
      </c>
      <c r="W21" s="1572">
        <f>J21</f>
        <v>100</v>
      </c>
      <c r="X21" s="1565"/>
      <c r="Y21" s="3396"/>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5"/>
      <c r="L22" s="2140"/>
      <c r="M22" s="2132"/>
      <c r="N22" s="2132"/>
      <c r="O22" s="2139"/>
      <c r="P22" s="3396"/>
      <c r="Q22" s="1570"/>
      <c r="R22" s="1571"/>
      <c r="S22" s="1572"/>
      <c r="T22" s="1571"/>
      <c r="U22" s="1572"/>
      <c r="V22" s="1571"/>
      <c r="W22" s="1572"/>
      <c r="X22" s="1565"/>
      <c r="Y22" s="3396"/>
      <c r="Z22" s="1573"/>
      <c r="AA22" s="1574"/>
      <c r="AB22" s="1574"/>
      <c r="AC22" s="1574"/>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96"/>
      <c r="Q23" s="1570" t="str">
        <f t="shared" si="8"/>
        <v>环境状况</v>
      </c>
      <c r="R23" s="1571" t="s">
        <v>8</v>
      </c>
      <c r="S23" s="1572">
        <f>F23</f>
        <v>100</v>
      </c>
      <c r="T23" s="1571" t="s">
        <v>8</v>
      </c>
      <c r="U23" s="1572">
        <f>H23</f>
        <v>100</v>
      </c>
      <c r="V23" s="1571" t="s">
        <v>8</v>
      </c>
      <c r="W23" s="1572">
        <f>J23</f>
        <v>100</v>
      </c>
      <c r="X23" s="1565"/>
      <c r="Y23" s="3396"/>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396"/>
      <c r="Q24" s="1570"/>
      <c r="R24" s="1571"/>
      <c r="S24" s="1572"/>
      <c r="T24" s="1571"/>
      <c r="U24" s="1572"/>
      <c r="V24" s="1571"/>
      <c r="W24" s="1572"/>
      <c r="X24" s="1565"/>
      <c r="Y24" s="3396"/>
      <c r="Z24" s="1573"/>
      <c r="AA24" s="1574">
        <v>1</v>
      </c>
      <c r="AB24" s="1574">
        <v>1</v>
      </c>
      <c r="AC24" s="1574">
        <v>1</v>
      </c>
    </row>
    <row r="25" spans="1:29" s="1217" customFormat="1" ht="42.75">
      <c r="A25" s="576"/>
      <c r="B25" s="2569"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96"/>
      <c r="Q25" s="1148" t="str">
        <f t="shared" si="8"/>
        <v>公共配套设施</v>
      </c>
      <c r="R25" s="1566" t="s">
        <v>8</v>
      </c>
      <c r="S25" s="1567">
        <f>F25</f>
        <v>100</v>
      </c>
      <c r="T25" s="1566" t="s">
        <v>8</v>
      </c>
      <c r="U25" s="1567">
        <f>H25</f>
        <v>100</v>
      </c>
      <c r="V25" s="1566" t="s">
        <v>8</v>
      </c>
      <c r="W25" s="1567">
        <f>J25</f>
        <v>100</v>
      </c>
      <c r="X25" s="1568"/>
      <c r="Y25" s="3396"/>
      <c r="Z25" s="1147" t="str">
        <f>Q25</f>
        <v>公共配套设施</v>
      </c>
      <c r="AA25" s="1574">
        <f>D25/F25</f>
        <v>1</v>
      </c>
      <c r="AB25" s="1574">
        <f>D25/H25</f>
        <v>1</v>
      </c>
      <c r="AC25" s="1574">
        <f>D25/J25</f>
        <v>1</v>
      </c>
    </row>
    <row r="26" spans="1:29" s="1217" customFormat="1" ht="15">
      <c r="A26" s="576"/>
      <c r="B26" s="594"/>
      <c r="C26" s="2568"/>
      <c r="D26" s="554"/>
      <c r="E26" s="553"/>
      <c r="F26" s="554"/>
      <c r="G26" s="553"/>
      <c r="H26" s="554"/>
      <c r="I26" s="575"/>
      <c r="J26" s="554"/>
      <c r="K26" s="530"/>
      <c r="L26" s="2133"/>
      <c r="M26" s="2134"/>
      <c r="N26" s="2134"/>
      <c r="O26" s="2135"/>
      <c r="P26" s="3396"/>
      <c r="Q26" s="1148"/>
      <c r="R26" s="1566"/>
      <c r="S26" s="1567"/>
      <c r="T26" s="1566"/>
      <c r="U26" s="1567"/>
      <c r="V26" s="1566"/>
      <c r="W26" s="1567"/>
      <c r="X26" s="1568"/>
      <c r="Y26" s="3396"/>
      <c r="Z26" s="1147"/>
      <c r="AA26" s="1569">
        <v>1</v>
      </c>
      <c r="AB26" s="1569">
        <v>1</v>
      </c>
      <c r="AC26" s="1569">
        <v>1</v>
      </c>
    </row>
    <row r="27" spans="1:29" s="1217" customFormat="1" ht="28.5">
      <c r="A27" s="576"/>
      <c r="B27" s="2569"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96"/>
      <c r="Q27" s="2554" t="str">
        <f t="shared" ref="Q27" si="9">B27</f>
        <v>基础设施水平</v>
      </c>
      <c r="R27" s="1566" t="s">
        <v>8</v>
      </c>
      <c r="S27" s="1567">
        <f>F27</f>
        <v>100</v>
      </c>
      <c r="T27" s="1566" t="s">
        <v>8</v>
      </c>
      <c r="U27" s="1567">
        <f>H27</f>
        <v>100</v>
      </c>
      <c r="V27" s="1566" t="s">
        <v>8</v>
      </c>
      <c r="W27" s="1567">
        <f>J27</f>
        <v>100</v>
      </c>
      <c r="X27" s="1568"/>
      <c r="Y27" s="3396"/>
      <c r="Z27" s="2551" t="str">
        <f>Q27</f>
        <v>基础设施水平</v>
      </c>
      <c r="AA27" s="1574">
        <f>D27/F27</f>
        <v>1</v>
      </c>
      <c r="AB27" s="1574">
        <f>D27/H27</f>
        <v>1</v>
      </c>
      <c r="AC27" s="1574">
        <f>D27/J27</f>
        <v>1</v>
      </c>
    </row>
    <row r="28" spans="1:29" s="1217" customFormat="1" ht="15">
      <c r="A28" s="576"/>
      <c r="B28" s="594"/>
      <c r="C28" s="2568"/>
      <c r="D28" s="554"/>
      <c r="E28" s="578"/>
      <c r="F28" s="554"/>
      <c r="G28" s="578"/>
      <c r="H28" s="554"/>
      <c r="I28" s="578"/>
      <c r="J28" s="554"/>
      <c r="K28" s="530"/>
      <c r="L28" s="2133"/>
      <c r="M28" s="2134"/>
      <c r="N28" s="2134"/>
      <c r="O28" s="2135"/>
      <c r="P28" s="3396"/>
      <c r="Q28" s="2554"/>
      <c r="R28" s="1566"/>
      <c r="S28" s="1567"/>
      <c r="T28" s="1566"/>
      <c r="U28" s="1567"/>
      <c r="V28" s="1566"/>
      <c r="W28" s="1567"/>
      <c r="X28" s="1568"/>
      <c r="Y28" s="3396"/>
      <c r="Z28" s="2551"/>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96"/>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6"/>
      <c r="Z29" s="1573" t="str">
        <f t="shared" ref="Z29:Z42" si="13">Q29</f>
        <v>临街状况</v>
      </c>
      <c r="AA29" s="1574">
        <f t="shared" si="3"/>
        <v>1</v>
      </c>
      <c r="AB29" s="1574">
        <f t="shared" si="4"/>
        <v>1</v>
      </c>
      <c r="AC29" s="1574">
        <f t="shared" si="5"/>
        <v>1</v>
      </c>
    </row>
    <row r="30" spans="1:29" ht="27">
      <c r="A30" s="531"/>
      <c r="B30" s="921" t="s">
        <v>548</v>
      </c>
      <c r="C30" s="257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96"/>
      <c r="Q30" s="1570" t="str">
        <f t="shared" si="8"/>
        <v>毗邻道路的类型与等级</v>
      </c>
      <c r="R30" s="1571" t="s">
        <v>8</v>
      </c>
      <c r="S30" s="1572">
        <f t="shared" si="10"/>
        <v>100</v>
      </c>
      <c r="T30" s="1571" t="s">
        <v>8</v>
      </c>
      <c r="U30" s="1572">
        <f t="shared" si="11"/>
        <v>100</v>
      </c>
      <c r="V30" s="1571" t="s">
        <v>8</v>
      </c>
      <c r="W30" s="1572">
        <f t="shared" si="12"/>
        <v>100</v>
      </c>
      <c r="X30" s="1565"/>
      <c r="Y30" s="3396"/>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396"/>
      <c r="Q31" s="1570"/>
      <c r="R31" s="1571"/>
      <c r="S31" s="1572"/>
      <c r="T31" s="1571"/>
      <c r="U31" s="1572"/>
      <c r="V31" s="1571"/>
      <c r="W31" s="1572"/>
      <c r="X31" s="1565"/>
      <c r="Y31" s="3396"/>
      <c r="Z31" s="1573"/>
      <c r="AA31" s="1574">
        <v>1</v>
      </c>
      <c r="AB31" s="1574">
        <v>1</v>
      </c>
      <c r="AC31" s="1574">
        <v>1</v>
      </c>
    </row>
    <row r="32" spans="1:29" ht="15">
      <c r="A32" s="531"/>
      <c r="B32" s="526" t="s">
        <v>549</v>
      </c>
      <c r="C32" s="257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96"/>
      <c r="Q32" s="1570" t="str">
        <f t="shared" si="8"/>
        <v>土地级别</v>
      </c>
      <c r="R32" s="1571" t="s">
        <v>8</v>
      </c>
      <c r="S32" s="1572">
        <f t="shared" si="10"/>
        <v>100</v>
      </c>
      <c r="T32" s="1571" t="s">
        <v>8</v>
      </c>
      <c r="U32" s="1572">
        <f t="shared" si="11"/>
        <v>100</v>
      </c>
      <c r="V32" s="1571" t="s">
        <v>8</v>
      </c>
      <c r="W32" s="1572">
        <f t="shared" si="12"/>
        <v>100</v>
      </c>
      <c r="X32" s="1565"/>
      <c r="Y32" s="3396"/>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96"/>
      <c r="Q33" s="1570">
        <f t="shared" si="8"/>
        <v>111</v>
      </c>
      <c r="R33" s="1571" t="s">
        <v>8</v>
      </c>
      <c r="S33" s="1572">
        <f t="shared" si="10"/>
        <v>100</v>
      </c>
      <c r="T33" s="1571" t="s">
        <v>8</v>
      </c>
      <c r="U33" s="1572">
        <f t="shared" si="11"/>
        <v>100</v>
      </c>
      <c r="V33" s="1571" t="s">
        <v>8</v>
      </c>
      <c r="W33" s="1572">
        <f t="shared" si="12"/>
        <v>100</v>
      </c>
      <c r="X33" s="1565"/>
      <c r="Y33" s="3396"/>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97" t="s">
        <v>550</v>
      </c>
      <c r="Q34" s="1570">
        <f t="shared" si="8"/>
        <v>111</v>
      </c>
      <c r="R34" s="1571" t="s">
        <v>8</v>
      </c>
      <c r="S34" s="1572">
        <f t="shared" si="10"/>
        <v>100</v>
      </c>
      <c r="T34" s="1571" t="s">
        <v>8</v>
      </c>
      <c r="U34" s="1572">
        <f t="shared" si="11"/>
        <v>100</v>
      </c>
      <c r="V34" s="1571" t="s">
        <v>8</v>
      </c>
      <c r="W34" s="1572">
        <f t="shared" si="12"/>
        <v>100</v>
      </c>
      <c r="X34" s="1565"/>
      <c r="Y34" s="3398" t="s">
        <v>550</v>
      </c>
      <c r="Z34" s="1573">
        <f t="shared" si="13"/>
        <v>111</v>
      </c>
      <c r="AA34" s="1574">
        <f t="shared" si="3"/>
        <v>1</v>
      </c>
      <c r="AB34" s="1574">
        <f t="shared" si="4"/>
        <v>1</v>
      </c>
      <c r="AC34" s="1574">
        <f t="shared" si="5"/>
        <v>1</v>
      </c>
    </row>
    <row r="35" spans="1:29" s="1336" customFormat="1" ht="15.75" thickBot="1">
      <c r="A35" s="588"/>
      <c r="B35" s="257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98"/>
      <c r="Q35" s="1570">
        <f t="shared" si="8"/>
        <v>111</v>
      </c>
      <c r="R35" s="1575" t="s">
        <v>8</v>
      </c>
      <c r="S35" s="1576">
        <f t="shared" si="10"/>
        <v>100</v>
      </c>
      <c r="T35" s="1575" t="s">
        <v>8</v>
      </c>
      <c r="U35" s="1576">
        <f t="shared" si="11"/>
        <v>100</v>
      </c>
      <c r="V35" s="1575" t="s">
        <v>8</v>
      </c>
      <c r="W35" s="1576">
        <f t="shared" si="12"/>
        <v>100</v>
      </c>
      <c r="X35" s="1577"/>
      <c r="Y35" s="3398"/>
      <c r="Z35" s="1578">
        <f t="shared" si="13"/>
        <v>111</v>
      </c>
      <c r="AA35" s="1574">
        <f t="shared" si="3"/>
        <v>1</v>
      </c>
      <c r="AB35" s="1574">
        <f t="shared" si="4"/>
        <v>1</v>
      </c>
      <c r="AC35" s="1574">
        <f t="shared" si="5"/>
        <v>1</v>
      </c>
    </row>
    <row r="36" spans="1:29" ht="15">
      <c r="A36" s="2882"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98"/>
      <c r="Q36" s="1570" t="str">
        <f>B36</f>
        <v>宗地面积</v>
      </c>
      <c r="R36" s="1571" t="s">
        <v>8</v>
      </c>
      <c r="S36" s="1572" t="e">
        <f t="shared" si="10"/>
        <v>#N/A</v>
      </c>
      <c r="T36" s="1571" t="s">
        <v>8</v>
      </c>
      <c r="U36" s="1572" t="e">
        <f t="shared" si="11"/>
        <v>#N/A</v>
      </c>
      <c r="V36" s="1571" t="s">
        <v>8</v>
      </c>
      <c r="W36" s="1572" t="e">
        <f t="shared" si="12"/>
        <v>#N/A</v>
      </c>
      <c r="X36" s="1565"/>
      <c r="Y36" s="3398"/>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98"/>
      <c r="Q37" s="1570" t="str">
        <f t="shared" ref="Q37:Q42" si="14">B37</f>
        <v>宗地形状</v>
      </c>
      <c r="R37" s="1571" t="s">
        <v>8</v>
      </c>
      <c r="S37" s="1572">
        <f t="shared" si="10"/>
        <v>100</v>
      </c>
      <c r="T37" s="1571" t="s">
        <v>8</v>
      </c>
      <c r="U37" s="1572">
        <f t="shared" si="11"/>
        <v>100</v>
      </c>
      <c r="V37" s="1571" t="s">
        <v>8</v>
      </c>
      <c r="W37" s="1572">
        <f t="shared" si="12"/>
        <v>100</v>
      </c>
      <c r="X37" s="1565"/>
      <c r="Y37" s="3398"/>
      <c r="Z37" s="1573" t="str">
        <f t="shared" si="13"/>
        <v>宗地形状</v>
      </c>
      <c r="AA37" s="1574">
        <f t="shared" si="3"/>
        <v>1</v>
      </c>
      <c r="AB37" s="1574">
        <f t="shared" si="4"/>
        <v>1</v>
      </c>
      <c r="AC37" s="1574">
        <f t="shared" si="5"/>
        <v>1</v>
      </c>
    </row>
    <row r="38" spans="1:29" s="1217"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98"/>
      <c r="Q38" s="1570" t="str">
        <f t="shared" si="14"/>
        <v>宗地开发程度</v>
      </c>
      <c r="R38" s="1566" t="s">
        <v>8</v>
      </c>
      <c r="S38" s="1567">
        <f t="shared" si="10"/>
        <v>100</v>
      </c>
      <c r="T38" s="1566" t="s">
        <v>8</v>
      </c>
      <c r="U38" s="1567">
        <f t="shared" si="11"/>
        <v>100</v>
      </c>
      <c r="V38" s="1566" t="s">
        <v>8</v>
      </c>
      <c r="W38" s="1567">
        <f t="shared" si="12"/>
        <v>100</v>
      </c>
      <c r="X38" s="1568"/>
      <c r="Y38" s="3398"/>
      <c r="Z38" s="1147"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8" t="s">
        <v>601</v>
      </c>
      <c r="Q39" s="1570" t="str">
        <f t="shared" si="14"/>
        <v>工程地质条件</v>
      </c>
      <c r="R39" s="1571" t="s">
        <v>8</v>
      </c>
      <c r="S39" s="1572">
        <f t="shared" si="10"/>
        <v>100</v>
      </c>
      <c r="T39" s="1571" t="s">
        <v>8</v>
      </c>
      <c r="U39" s="1572">
        <f t="shared" si="11"/>
        <v>100</v>
      </c>
      <c r="V39" s="1571" t="s">
        <v>8</v>
      </c>
      <c r="W39" s="1572">
        <f t="shared" si="12"/>
        <v>100</v>
      </c>
      <c r="X39" s="1565"/>
      <c r="Y39" s="3398"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98"/>
      <c r="Q40" s="1570">
        <f t="shared" si="14"/>
        <v>111</v>
      </c>
      <c r="R40" s="1571" t="s">
        <v>8</v>
      </c>
      <c r="S40" s="1572">
        <f t="shared" si="10"/>
        <v>100</v>
      </c>
      <c r="T40" s="1571" t="s">
        <v>8</v>
      </c>
      <c r="U40" s="1572">
        <f t="shared" si="11"/>
        <v>100</v>
      </c>
      <c r="V40" s="1571" t="s">
        <v>8</v>
      </c>
      <c r="W40" s="1572">
        <f t="shared" si="12"/>
        <v>100</v>
      </c>
      <c r="X40" s="1565"/>
      <c r="Y40" s="3398"/>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98"/>
      <c r="Q41" s="1570">
        <f t="shared" si="14"/>
        <v>111</v>
      </c>
      <c r="R41" s="1571" t="s">
        <v>8</v>
      </c>
      <c r="S41" s="1572">
        <f t="shared" si="10"/>
        <v>100</v>
      </c>
      <c r="T41" s="1571" t="s">
        <v>8</v>
      </c>
      <c r="U41" s="1572">
        <f t="shared" si="11"/>
        <v>100</v>
      </c>
      <c r="V41" s="1571" t="s">
        <v>8</v>
      </c>
      <c r="W41" s="1572">
        <f t="shared" si="12"/>
        <v>100</v>
      </c>
      <c r="X41" s="1565"/>
      <c r="Y41" s="3398"/>
      <c r="Z41" s="1573">
        <f t="shared" si="13"/>
        <v>111</v>
      </c>
      <c r="AA41" s="1574">
        <f t="shared" si="3"/>
        <v>1</v>
      </c>
      <c r="AB41" s="1574">
        <f t="shared" si="4"/>
        <v>1</v>
      </c>
      <c r="AC41" s="1574">
        <f t="shared" si="5"/>
        <v>1</v>
      </c>
    </row>
    <row r="42" spans="1:29" s="1336"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98"/>
      <c r="Q42" s="1570">
        <f t="shared" si="14"/>
        <v>111</v>
      </c>
      <c r="R42" s="1575" t="s">
        <v>8</v>
      </c>
      <c r="S42" s="1576">
        <f t="shared" si="10"/>
        <v>100</v>
      </c>
      <c r="T42" s="1575" t="s">
        <v>8</v>
      </c>
      <c r="U42" s="1576">
        <f t="shared" si="11"/>
        <v>100</v>
      </c>
      <c r="V42" s="1575" t="s">
        <v>8</v>
      </c>
      <c r="W42" s="1576">
        <f t="shared" si="12"/>
        <v>100</v>
      </c>
      <c r="X42" s="1577"/>
      <c r="Y42" s="3398"/>
      <c r="Z42" s="1578">
        <f t="shared" si="13"/>
        <v>111</v>
      </c>
      <c r="AA42" s="1574">
        <f t="shared" si="3"/>
        <v>1</v>
      </c>
      <c r="AB42" s="1574">
        <f t="shared" si="4"/>
        <v>1</v>
      </c>
      <c r="AC42" s="1574">
        <f t="shared" si="5"/>
        <v>1</v>
      </c>
    </row>
    <row r="43" spans="1:29" ht="15">
      <c r="A43" s="606" t="s">
        <v>556</v>
      </c>
      <c r="B43" s="607" t="s">
        <v>2933</v>
      </c>
      <c r="C43" s="608" t="s">
        <v>1</v>
      </c>
      <c r="D43" s="609"/>
      <c r="E43" s="610"/>
      <c r="F43" s="611"/>
      <c r="G43" s="612"/>
      <c r="H43" s="613"/>
      <c r="I43" s="610"/>
      <c r="J43" s="613"/>
      <c r="K43" s="1337"/>
      <c r="L43" s="2142"/>
      <c r="M43" s="2132"/>
      <c r="N43" s="2132"/>
      <c r="O43" s="2143"/>
      <c r="P43" s="3393" t="str">
        <f>A43</f>
        <v>成交单价</v>
      </c>
      <c r="Q43" s="3393"/>
      <c r="R43" s="3407">
        <f>E43</f>
        <v>0</v>
      </c>
      <c r="S43" s="3407"/>
      <c r="T43" s="3407">
        <f>G43</f>
        <v>0</v>
      </c>
      <c r="U43" s="3407"/>
      <c r="V43" s="3407">
        <f>I43</f>
        <v>0</v>
      </c>
      <c r="W43" s="3407"/>
      <c r="X43" s="1557"/>
      <c r="Y43" s="1579"/>
      <c r="Z43" s="1557"/>
      <c r="AA43" s="1557"/>
      <c r="AB43" s="1557"/>
      <c r="AC43" s="1557"/>
    </row>
    <row r="44" spans="1:29" ht="15.75" thickBot="1">
      <c r="A44" s="614" t="s">
        <v>2692</v>
      </c>
      <c r="B44" s="615"/>
      <c r="C44" s="616" t="e">
        <f>R45</f>
        <v>#DIV/0!</v>
      </c>
      <c r="D44" s="617"/>
      <c r="E44" s="616" t="e">
        <f>R44</f>
        <v>#DIV/0!</v>
      </c>
      <c r="F44" s="618"/>
      <c r="G44" s="619" t="e">
        <f>T44</f>
        <v>#DIV/0!</v>
      </c>
      <c r="H44" s="617"/>
      <c r="I44" s="616" t="e">
        <f>V44</f>
        <v>#DIV/0!</v>
      </c>
      <c r="J44" s="617"/>
      <c r="K44" s="1338"/>
      <c r="L44" s="2142"/>
      <c r="M44" s="2132"/>
      <c r="N44" s="2132"/>
      <c r="O44" s="2143"/>
      <c r="P44" s="3393" t="str">
        <f>A44</f>
        <v>比较价格（元/平方米）</v>
      </c>
      <c r="Q44" s="3393"/>
      <c r="R44" s="3420" t="e">
        <f>ROUND(PRODUCT(R43,AA9:AA42),0)</f>
        <v>#DIV/0!</v>
      </c>
      <c r="S44" s="3420"/>
      <c r="T44" s="3420" t="e">
        <f>ROUND(PRODUCT(T43,AB9:AB42),0)</f>
        <v>#DIV/0!</v>
      </c>
      <c r="U44" s="3420"/>
      <c r="V44" s="3420" t="e">
        <f>ROUND(PRODUCT(V43,AC9:AC42),0)</f>
        <v>#DIV/0!</v>
      </c>
      <c r="W44" s="3420"/>
      <c r="X44" s="1557"/>
      <c r="Y44" s="1557"/>
      <c r="Z44" s="1557"/>
      <c r="AA44" s="1557"/>
      <c r="AB44" s="1557"/>
      <c r="AC44" s="1557"/>
    </row>
    <row r="45" spans="1:29" ht="15.75" thickBot="1">
      <c r="A45" s="620" t="s">
        <v>2934</v>
      </c>
      <c r="B45" s="621"/>
      <c r="C45" s="622" t="e">
        <f>R45</f>
        <v>#DIV/0!</v>
      </c>
      <c r="D45" s="622"/>
      <c r="E45" s="622"/>
      <c r="F45" s="622"/>
      <c r="G45" s="622"/>
      <c r="H45" s="622"/>
      <c r="I45" s="622"/>
      <c r="J45" s="622"/>
      <c r="K45" s="1339"/>
      <c r="L45" s="2142"/>
      <c r="M45" s="2132"/>
      <c r="N45" s="2132"/>
      <c r="O45" s="2143"/>
      <c r="P45" s="3417" t="str">
        <f>A45</f>
        <v>估价对象XX用房的比较价格（楼面单价，元/平方米）</v>
      </c>
      <c r="Q45" s="3418"/>
      <c r="R45" s="3419" t="e">
        <f>ROUND(AVERAGE(R44:V44),0)</f>
        <v>#DIV/0!</v>
      </c>
      <c r="S45" s="3419"/>
      <c r="T45" s="3419"/>
      <c r="U45" s="3419"/>
      <c r="V45" s="3419"/>
      <c r="W45" s="3419"/>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8" t="s">
        <v>1724</v>
      </c>
      <c r="D52" s="2225" t="s">
        <v>2293</v>
      </c>
      <c r="E52" s="630" t="s">
        <v>562</v>
      </c>
      <c r="F52" s="1949" t="s">
        <v>563</v>
      </c>
      <c r="G52" s="3421" t="s">
        <v>2284</v>
      </c>
      <c r="H52" s="3422"/>
      <c r="I52" s="1950" t="s">
        <v>1945</v>
      </c>
      <c r="J52" s="1553">
        <f>项目基本情况!F41</f>
        <v>0</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2" t="s">
        <v>564</v>
      </c>
      <c r="B53" s="633" t="e">
        <f>C45</f>
        <v>#DIV/0!</v>
      </c>
      <c r="C53" s="634">
        <v>1</v>
      </c>
      <c r="D53" s="2226">
        <v>1</v>
      </c>
      <c r="E53" s="634">
        <f>'数据-汇总表'!E8+'数据-汇总表'!E9</f>
        <v>47430</v>
      </c>
      <c r="F53" s="1948" t="e">
        <f t="shared" ref="F53:F62" si="15">ROUND(B53*E53/10000,0)</f>
        <v>#DIV/0!</v>
      </c>
      <c r="G53" s="3423"/>
      <c r="H53" s="3424"/>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6" t="s">
        <v>565</v>
      </c>
      <c r="B54" s="637" t="e">
        <f>ROUND($C$45*C54*D54,0)</f>
        <v>#DIV/0!</v>
      </c>
      <c r="C54" s="377">
        <f t="shared" ref="C54:C62" si="16">IF($C$52="北京市系数",I54,J54)</f>
        <v>0</v>
      </c>
      <c r="D54" s="2227">
        <v>0.25</v>
      </c>
      <c r="E54" s="638"/>
      <c r="F54" s="1948" t="e">
        <f t="shared" si="15"/>
        <v>#DIV/0!</v>
      </c>
      <c r="G54" s="3425" t="s">
        <v>2285</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6" t="s">
        <v>566</v>
      </c>
      <c r="B55" s="637" t="e">
        <f t="shared" ref="B55:B62" si="17">ROUND($C$45*C55*D55,0)</f>
        <v>#DIV/0!</v>
      </c>
      <c r="C55" s="377">
        <f t="shared" si="16"/>
        <v>0</v>
      </c>
      <c r="D55" s="2227">
        <v>0.25</v>
      </c>
      <c r="E55" s="638"/>
      <c r="F55" s="1948" t="e">
        <f t="shared" si="15"/>
        <v>#DIV/0!</v>
      </c>
      <c r="G55" s="3425"/>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6" t="s">
        <v>567</v>
      </c>
      <c r="B56" s="637" t="e">
        <f t="shared" si="17"/>
        <v>#DIV/0!</v>
      </c>
      <c r="C56" s="377">
        <f t="shared" si="16"/>
        <v>0</v>
      </c>
      <c r="D56" s="2227">
        <v>0.25</v>
      </c>
      <c r="E56" s="638"/>
      <c r="F56" s="1948" t="e">
        <f t="shared" si="15"/>
        <v>#DIV/0!</v>
      </c>
      <c r="G56" s="3425"/>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6" t="s">
        <v>568</v>
      </c>
      <c r="B57" s="637" t="e">
        <f t="shared" si="17"/>
        <v>#DIV/0!</v>
      </c>
      <c r="C57" s="377">
        <f t="shared" si="16"/>
        <v>0</v>
      </c>
      <c r="D57" s="2227">
        <v>0.25</v>
      </c>
      <c r="E57" s="638"/>
      <c r="F57" s="1948" t="e">
        <f t="shared" si="15"/>
        <v>#DIV/0!</v>
      </c>
      <c r="G57" s="3425"/>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2328</v>
      </c>
      <c r="B58" s="637" t="e">
        <f t="shared" si="17"/>
        <v>#DIV/0!</v>
      </c>
      <c r="C58" s="377">
        <f t="shared" si="16"/>
        <v>0</v>
      </c>
      <c r="D58" s="2227">
        <v>0.25</v>
      </c>
      <c r="E58" s="640">
        <f>'数据-汇总表'!E11</f>
        <v>0</v>
      </c>
      <c r="F58" s="1948" t="e">
        <f t="shared" si="15"/>
        <v>#DIV/0!</v>
      </c>
      <c r="G58" s="1954" t="s">
        <v>2286</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569</v>
      </c>
      <c r="B59" s="637" t="e">
        <f t="shared" si="17"/>
        <v>#DIV/0!</v>
      </c>
      <c r="C59" s="377">
        <f t="shared" si="16"/>
        <v>0</v>
      </c>
      <c r="D59" s="2227">
        <v>0.25</v>
      </c>
      <c r="E59" s="640">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570</v>
      </c>
      <c r="B60" s="637" t="e">
        <f t="shared" si="17"/>
        <v>#DIV/0!</v>
      </c>
      <c r="C60" s="377">
        <f t="shared" si="16"/>
        <v>0</v>
      </c>
      <c r="D60" s="2227">
        <v>0.25</v>
      </c>
      <c r="E60" s="640">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571</v>
      </c>
      <c r="B61" s="637" t="e">
        <f t="shared" si="17"/>
        <v>#DIV/0!</v>
      </c>
      <c r="C61" s="377">
        <f t="shared" si="16"/>
        <v>0</v>
      </c>
      <c r="D61" s="2227">
        <v>0.25</v>
      </c>
      <c r="E61" s="640">
        <f>'数据-汇总表'!E14</f>
        <v>11165</v>
      </c>
      <c r="F61" s="1948" t="e">
        <f t="shared" si="15"/>
        <v>#DIV/0!</v>
      </c>
      <c r="G61" s="1954" t="s">
        <v>2285</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6" t="s">
        <v>572</v>
      </c>
      <c r="B62" s="637" t="e">
        <f t="shared" si="17"/>
        <v>#DIV/0!</v>
      </c>
      <c r="C62" s="377">
        <f t="shared" si="16"/>
        <v>0</v>
      </c>
      <c r="D62" s="2227">
        <v>0.25</v>
      </c>
      <c r="E62" s="640">
        <f>'数据-汇总表'!E15</f>
        <v>0</v>
      </c>
      <c r="F62" s="1948" t="e">
        <f t="shared" si="15"/>
        <v>#DIV/0!</v>
      </c>
      <c r="G62" s="1955" t="s">
        <v>2286</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1" t="s">
        <v>573</v>
      </c>
      <c r="B63" s="642" t="s">
        <v>17</v>
      </c>
      <c r="C63" s="642" t="s">
        <v>18</v>
      </c>
      <c r="D63" s="642" t="s">
        <v>2294</v>
      </c>
      <c r="E63" s="642">
        <f>IF(B43="楼面地价",SUM(E53:E62),'数据-汇总表'!D3)</f>
        <v>19600</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5" t="str">
        <f>YEAR(C9)&amp;"-"&amp;MONTH(C9)&amp;"-1"</f>
        <v>2019-2-1</v>
      </c>
      <c r="D65" s="2774">
        <f>EDATE(C65,-3)</f>
        <v>43405</v>
      </c>
      <c r="E65" s="2774">
        <f t="shared" ref="E65:N65" si="18">EDATE(D65,-3)</f>
        <v>43313</v>
      </c>
      <c r="F65" s="2774">
        <f t="shared" si="18"/>
        <v>43221</v>
      </c>
      <c r="G65" s="2774">
        <f t="shared" si="18"/>
        <v>43132</v>
      </c>
      <c r="H65" s="2774">
        <f t="shared" si="18"/>
        <v>43040</v>
      </c>
      <c r="I65" s="2774">
        <f t="shared" si="18"/>
        <v>42948</v>
      </c>
      <c r="J65" s="2774">
        <f t="shared" si="18"/>
        <v>42856</v>
      </c>
      <c r="K65" s="2774">
        <f t="shared" si="18"/>
        <v>42767</v>
      </c>
      <c r="L65" s="2774">
        <f t="shared" si="18"/>
        <v>42675</v>
      </c>
      <c r="M65" s="2774">
        <f t="shared" si="18"/>
        <v>42583</v>
      </c>
      <c r="N65" s="2774">
        <f t="shared" si="18"/>
        <v>42491</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44" t="s">
        <v>2533</v>
      </c>
      <c r="B67" s="645"/>
      <c r="C67" s="2769" t="str">
        <f>YEAR(C65)&amp;"-"&amp;ROUNDUP(MONTH(C65)/3,0)</f>
        <v>2019-1</v>
      </c>
      <c r="D67" s="2776" t="str">
        <f t="shared" ref="D67:N67" si="19">YEAR(D65)&amp;"-"&amp;ROUNDUP(MONTH(D65)/3,0)</f>
        <v>2018-4</v>
      </c>
      <c r="E67" s="2776" t="str">
        <f t="shared" si="19"/>
        <v>2018-3</v>
      </c>
      <c r="F67" s="2776" t="str">
        <f t="shared" si="19"/>
        <v>2018-2</v>
      </c>
      <c r="G67" s="2776" t="str">
        <f t="shared" si="19"/>
        <v>2018-1</v>
      </c>
      <c r="H67" s="2776" t="str">
        <f t="shared" si="19"/>
        <v>2017-4</v>
      </c>
      <c r="I67" s="2776" t="str">
        <f t="shared" si="19"/>
        <v>2017-3</v>
      </c>
      <c r="J67" s="2776" t="str">
        <f t="shared" si="19"/>
        <v>2017-2</v>
      </c>
      <c r="K67" s="2776" t="str">
        <f t="shared" si="19"/>
        <v>2017-1</v>
      </c>
      <c r="L67" s="2776" t="str">
        <f t="shared" si="19"/>
        <v>2016-4</v>
      </c>
      <c r="M67" s="2776" t="str">
        <f t="shared" si="19"/>
        <v>2016-3</v>
      </c>
      <c r="N67" s="2776" t="str">
        <f t="shared" si="19"/>
        <v>2016-2</v>
      </c>
      <c r="O67" s="2157"/>
      <c r="P67" s="2158"/>
      <c r="Q67" s="2159"/>
      <c r="R67" s="2159"/>
      <c r="S67" s="2159"/>
      <c r="T67" s="2159"/>
      <c r="U67" s="2159"/>
      <c r="V67" s="2159"/>
      <c r="W67" s="2159"/>
      <c r="X67" s="2159"/>
      <c r="Y67" s="2159"/>
      <c r="Z67" s="2159"/>
      <c r="AA67" s="2159"/>
      <c r="AB67" s="2159"/>
      <c r="AC67" s="2159"/>
    </row>
    <row r="68" spans="1:29" s="1217" customFormat="1" ht="27.75" customHeight="1">
      <c r="A68" s="2773" t="s">
        <v>2648</v>
      </c>
      <c r="B68" s="478" t="str">
        <f>"北京市平均增长率"&amp;TEXT(基准地价!P24,"0.00%")</f>
        <v>北京市平均增长率1.42%</v>
      </c>
      <c r="C68" s="893">
        <v>100</v>
      </c>
      <c r="D68" s="729"/>
      <c r="E68" s="729"/>
      <c r="F68" s="729"/>
      <c r="G68" s="729"/>
      <c r="H68" s="729"/>
      <c r="I68" s="729"/>
      <c r="J68" s="729"/>
      <c r="K68" s="729"/>
      <c r="L68" s="729"/>
      <c r="M68" s="2767"/>
      <c r="N68" s="2768"/>
      <c r="O68" s="2160"/>
      <c r="P68" s="2156"/>
      <c r="Q68" s="1991"/>
      <c r="R68" s="1991"/>
      <c r="S68" s="1991"/>
      <c r="T68" s="1991"/>
      <c r="U68" s="1991"/>
      <c r="V68" s="1991"/>
      <c r="W68" s="1991"/>
      <c r="X68" s="1991"/>
      <c r="Y68" s="1991"/>
      <c r="Z68" s="1991"/>
      <c r="AA68" s="1991"/>
      <c r="AB68" s="1991"/>
      <c r="AC68" s="1991"/>
    </row>
    <row r="69" spans="1:29" s="1217" customFormat="1" ht="15.75" thickBot="1">
      <c r="A69" s="652" t="s">
        <v>575</v>
      </c>
      <c r="B69" s="653"/>
      <c r="C69" s="2765"/>
      <c r="D69" s="2766"/>
      <c r="E69" s="2766"/>
      <c r="F69" s="2766"/>
      <c r="G69" s="2766"/>
      <c r="H69" s="2766"/>
      <c r="I69" s="2766"/>
      <c r="J69" s="2766"/>
      <c r="K69" s="2766"/>
      <c r="L69" s="2766"/>
      <c r="M69" s="2766"/>
      <c r="N69" s="2766"/>
      <c r="O69" s="2160"/>
      <c r="P69" s="2156"/>
      <c r="Q69" s="2156"/>
      <c r="R69" s="1991"/>
      <c r="S69" s="1991"/>
      <c r="T69" s="1991"/>
      <c r="U69" s="1991"/>
      <c r="V69" s="1991"/>
      <c r="W69" s="1991"/>
      <c r="X69" s="1991"/>
      <c r="Y69" s="1991"/>
      <c r="Z69" s="1991"/>
      <c r="AA69" s="1991"/>
      <c r="AB69" s="1991"/>
      <c r="AC69" s="1991"/>
    </row>
    <row r="70" spans="1:29" s="1217"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6"/>
      <c r="B93" s="1894" t="s">
        <v>2548</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6"/>
      <c r="B95" s="2573" t="s">
        <v>2550</v>
      </c>
      <c r="C95" s="2574" t="s">
        <v>2551</v>
      </c>
      <c r="D95" s="2574" t="s">
        <v>2552</v>
      </c>
      <c r="E95" s="2574" t="s">
        <v>2553</v>
      </c>
      <c r="F95" s="2574" t="s">
        <v>2554</v>
      </c>
      <c r="G95" s="2574"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6"/>
      <c r="B96" s="680"/>
      <c r="C96" s="678">
        <v>100</v>
      </c>
      <c r="D96" s="678">
        <f>C96-$K27</f>
        <v>100</v>
      </c>
      <c r="E96" s="678">
        <f>D96-$K27</f>
        <v>100</v>
      </c>
      <c r="F96" s="678">
        <f>E96-$K27</f>
        <v>100</v>
      </c>
      <c r="G96" s="678">
        <f>F96-$K27</f>
        <v>100</v>
      </c>
      <c r="H96" s="682"/>
      <c r="I96" s="682"/>
      <c r="J96" s="682"/>
      <c r="K96" s="682"/>
      <c r="L96" s="682"/>
      <c r="M96" s="2566"/>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7"/>
      <c r="B114" s="1894" t="s">
        <v>2425</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O24" sqref="O24"/>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2426</v>
      </c>
      <c r="D1" s="1519">
        <f>SUM(D29:D30,D33:D39)</f>
        <v>0</v>
      </c>
      <c r="E1" s="1404" t="s">
        <v>2427</v>
      </c>
      <c r="F1" s="2428"/>
      <c r="G1" s="1399"/>
      <c r="H1" s="1399"/>
      <c r="I1" s="1399"/>
      <c r="J1" s="1399"/>
      <c r="K1" s="1399"/>
      <c r="L1" s="1880" t="s">
        <v>2238</v>
      </c>
      <c r="M1" s="1881">
        <f>SUMPRODUCT((区片价!B5:B9=I2)*(区片价!C3:F3=E2)*(区片价!C5:F9))</f>
        <v>0</v>
      </c>
      <c r="N1" s="1882">
        <f>SUMPRODUCT((因素修正幅度!B5:B9=I2)*(因素修正幅度!C3:F3=E2)*(因素修正幅度!C5:F9))</f>
        <v>0</v>
      </c>
      <c r="O1" s="2187"/>
      <c r="P1" s="2187"/>
      <c r="Q1" s="2187"/>
      <c r="R1" s="2911" t="s">
        <v>2761</v>
      </c>
      <c r="S1" s="2911" t="s">
        <v>2762</v>
      </c>
      <c r="T1" s="2911" t="s">
        <v>2783</v>
      </c>
      <c r="U1" s="2911" t="s">
        <v>2784</v>
      </c>
      <c r="V1" s="2911" t="s">
        <v>2785</v>
      </c>
      <c r="W1" s="2187"/>
      <c r="X1" s="2187"/>
      <c r="Y1" s="2187"/>
      <c r="Z1" s="2187"/>
      <c r="AA1" s="2187"/>
      <c r="AB1" s="2187"/>
      <c r="AC1" s="2188"/>
    </row>
    <row r="2" spans="1:39" ht="15.75">
      <c r="A2" s="1404" t="s">
        <v>919</v>
      </c>
      <c r="B2" s="1035" t="e">
        <f ca="1">C26</f>
        <v>#DIV/0!</v>
      </c>
      <c r="C2" s="1405" t="s">
        <v>920</v>
      </c>
      <c r="D2" s="1406" t="s">
        <v>921</v>
      </c>
      <c r="E2" s="1407" t="s">
        <v>922</v>
      </c>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3" t="s">
        <v>2239</v>
      </c>
      <c r="M2" s="1884">
        <f>SUMPRODUCT((区片价!B10:B28=I2)*(区片价!C3:F3=E2)*(区片价!C10:F28))</f>
        <v>0</v>
      </c>
      <c r="N2" s="1885">
        <f>SUMPRODUCT((因素修正幅度!B10:B28=I2)*(因素修正幅度!C3:F3=E2)*(因素修正幅度!C10:F28))</f>
        <v>0</v>
      </c>
      <c r="O2" s="2187"/>
      <c r="P2" s="2187"/>
      <c r="Q2" s="2187"/>
      <c r="R2" s="2912">
        <v>1</v>
      </c>
      <c r="S2" s="2912">
        <f>ROUND(IF(G3&gt;1,IF(R2&lt;7,SUMPRODUCT((B93:B98=R2)*(C92:N92=G2)*(C93:N98)),SUMIF(C92:N92,G2,C100:N100)),IF(R2&lt;7,SUMPRODUCT((B102:B107=R2)*(C92:N92=G2)*(C102:N107)),SUMIF(C92:N92,G2,C109:N109))),4)</f>
        <v>0</v>
      </c>
      <c r="T2" s="2912" t="e">
        <f ca="1">ROUND($C$5*$C$18*$C$19*$C$20*S2*$C$24,0)</f>
        <v>#DIV/0!</v>
      </c>
      <c r="U2" s="2901"/>
      <c r="V2" s="2912" t="e">
        <f ca="1">ROUND(T2*U2/10000,0)</f>
        <v>#DIV/0!</v>
      </c>
      <c r="W2" s="2187"/>
      <c r="X2" s="2187"/>
      <c r="Y2" s="2187"/>
      <c r="Z2" s="2187"/>
      <c r="AA2" s="2187"/>
      <c r="AB2" s="2187"/>
      <c r="AC2" s="2188"/>
    </row>
    <row r="3" spans="1:39" ht="24">
      <c r="A3" s="1409" t="s">
        <v>1687</v>
      </c>
      <c r="B3" s="1035" t="e">
        <f ca="1">ROUND(B2*10000/D1,0)</f>
        <v>#DIV/0!</v>
      </c>
      <c r="C3" s="1405" t="s">
        <v>926</v>
      </c>
      <c r="D3" s="1406" t="s">
        <v>927</v>
      </c>
      <c r="E3" s="1410" t="s">
        <v>3038</v>
      </c>
      <c r="F3" s="1411" t="s">
        <v>2935</v>
      </c>
      <c r="G3" s="1036">
        <f>IF(F3="宗地容积率",'数据-汇总表'!I4,IF(F3="估价对象容积率",'数据-汇总表'!I6,'数据-汇总表'!I7))</f>
        <v>2.5</v>
      </c>
      <c r="H3" s="1412" t="s">
        <v>928</v>
      </c>
      <c r="I3" s="1037">
        <v>8</v>
      </c>
      <c r="J3" s="1408" t="s">
        <v>929</v>
      </c>
      <c r="K3" s="1399"/>
      <c r="L3" s="1883" t="s">
        <v>2240</v>
      </c>
      <c r="M3" s="1884">
        <f>SUMPRODUCT((区片价!B29:B48=I2)*(区片价!C3:F3=E2)*(区片价!C29:F48))</f>
        <v>0</v>
      </c>
      <c r="N3" s="1885">
        <f>SUMPRODUCT((因素修正幅度!B29:B48=I2)*(因素修正幅度!C3:F3=E2)*(因素修正幅度!C29:F48))</f>
        <v>0</v>
      </c>
      <c r="O3" s="2187"/>
      <c r="P3" s="2187"/>
      <c r="Q3" s="2187"/>
      <c r="R3" s="2912">
        <v>2</v>
      </c>
      <c r="S3" s="2912">
        <f>ROUND(IF(G3&gt;1,IF(R3&lt;7,SUMPRODUCT((B93:B98=R3)*(C92:N92=G2)*(C93:N98)),SUMIF(C92:N92,G2,C100:N100)),IF(R3&lt;7,SUMPRODUCT((B102:B107=R3)*(C92:N92=G2)*(C102:N107)),SUMIF(C92:N92,G2,C109:N109))),4)</f>
        <v>0</v>
      </c>
      <c r="T3" s="2912" t="e">
        <f t="shared" ref="T3:T16" ca="1" si="0">ROUND($C$5*$C$18*$C$19*$C$20*S3*$C$24,0)</f>
        <v>#DIV/0!</v>
      </c>
      <c r="U3" s="2901"/>
      <c r="V3" s="2912" t="e">
        <f t="shared" ref="V3:V16" ca="1" si="1">ROUND(T3*U3/10000,0)</f>
        <v>#DIV/0!</v>
      </c>
      <c r="W3" s="2187"/>
      <c r="X3" s="2187"/>
      <c r="Y3" s="2187"/>
      <c r="Z3" s="2187"/>
      <c r="AA3" s="2187"/>
      <c r="AB3" s="2187"/>
      <c r="AC3" s="2188"/>
    </row>
    <row r="4" spans="1:39" ht="28.5">
      <c r="A4" s="1889" t="s">
        <v>2280</v>
      </c>
      <c r="B4" s="2429" t="e">
        <f ca="1">ROUND(B2*10000/F1,0)</f>
        <v>#DIV/0!</v>
      </c>
      <c r="C4" s="1892" t="s">
        <v>2254</v>
      </c>
      <c r="D4" s="1892" t="e">
        <f ca="1">ROUND(B2/(F1/666.67),0)</f>
        <v>#DIV/0!</v>
      </c>
      <c r="E4" s="1892" t="s">
        <v>2255</v>
      </c>
      <c r="F4" s="1890"/>
      <c r="G4" s="1890"/>
      <c r="H4" s="1890"/>
      <c r="I4" s="1890"/>
      <c r="J4" s="1891"/>
      <c r="K4" s="1399"/>
      <c r="L4" s="1883" t="s">
        <v>2241</v>
      </c>
      <c r="M4" s="1884">
        <f>SUMPRODUCT((区片价!B49:B75=I2)*(区片价!C3:F3=E2)*(区片价!C49:F75))</f>
        <v>0</v>
      </c>
      <c r="N4" s="1885">
        <f>SUMPRODUCT((因素修正幅度!B49:B75=I2)*(因素修正幅度!C3:F3=E2)*(因素修正幅度!C49:F75))</f>
        <v>0</v>
      </c>
      <c r="O4" s="2187"/>
      <c r="P4" s="2187"/>
      <c r="Q4" s="2187"/>
      <c r="R4" s="2912">
        <v>3</v>
      </c>
      <c r="S4" s="2912">
        <f>ROUND(IF(G3&gt;1,IF(R4&lt;7,SUMPRODUCT((B93:B98=R4)*(C92:N92=G2)*(C93:N98)),SUMIF(C92:N92,G2,C100:N100)),IF(R4&lt;7,SUMPRODUCT((B102:B107=R4)*(C92:N92=G2)*(C102:N107)),SUMIF(C92:N92,G2,C109:N109))),4)</f>
        <v>0</v>
      </c>
      <c r="T4" s="2912" t="e">
        <f t="shared" ca="1" si="0"/>
        <v>#DIV/0!</v>
      </c>
      <c r="U4" s="2901"/>
      <c r="V4" s="2912" t="e">
        <f t="shared" ca="1" si="1"/>
        <v>#DIV/0!</v>
      </c>
      <c r="W4" s="2187"/>
      <c r="X4" s="2187"/>
      <c r="Y4" s="2187"/>
      <c r="Z4" s="2187"/>
      <c r="AA4" s="2187"/>
      <c r="AB4" s="2187"/>
      <c r="AC4" s="2188"/>
    </row>
    <row r="5" spans="1:39" s="1419" customFormat="1" ht="15.75" thickBot="1">
      <c r="A5" s="1636" t="s">
        <v>1823</v>
      </c>
      <c r="B5" s="1413" t="s">
        <v>930</v>
      </c>
      <c r="C5" s="1038" t="e">
        <f>ROUND(IF(E2="商业",IF(F16="增加",C6*C7+C16,C6*C7-C16),IF(E2="住宅",IF(F16="增加",C6*C12+C16,C6*C12-C16),IF(F16="增加",C6+C16,C6-C16))),0)</f>
        <v>#DIV/0!</v>
      </c>
      <c r="D5" s="3093" t="e">
        <f>ROUND(IF(F16="增加",C6+C16,C6-C16),0)</f>
        <v>#DIV/0!</v>
      </c>
      <c r="E5" s="3093"/>
      <c r="F5" s="1414"/>
      <c r="G5" s="1415"/>
      <c r="H5" s="1415"/>
      <c r="I5" s="1415"/>
      <c r="J5" s="1416"/>
      <c r="K5" s="1592"/>
      <c r="L5" s="1883" t="s">
        <v>2242</v>
      </c>
      <c r="M5" s="1884">
        <f>SUMPRODUCT((区片价!B76:B109=I2)*(区片价!C3:F3=E2)*(区片价!C76:F109))</f>
        <v>0</v>
      </c>
      <c r="N5" s="1885">
        <f>SUMPRODUCT((因素修正幅度!B76:B109=I2)*(因素修正幅度!C3:F3=E2)*(因素修正幅度!C76:F109))</f>
        <v>0</v>
      </c>
      <c r="O5" s="2187"/>
      <c r="P5" s="2187"/>
      <c r="Q5" s="2187"/>
      <c r="R5" s="2912">
        <v>4</v>
      </c>
      <c r="S5" s="2912">
        <f>ROUND(IF(G3&gt;1,IF(R5&lt;7,SUMPRODUCT((B93:B98=R5)*(C92:N92=G2)*(C93:N98)),SUMIF(C92:N92,G2,C100:N100)),IF(R5&lt;7,SUMPRODUCT((B102:B107=R5)*(C92:N92=G2)*(C102:N107)),SUMIF(C92:N92,G2,C109:N109))),4)</f>
        <v>0</v>
      </c>
      <c r="T5" s="2912" t="e">
        <f t="shared" ca="1" si="0"/>
        <v>#DIV/0!</v>
      </c>
      <c r="U5" s="2901"/>
      <c r="V5" s="2912" t="e">
        <f t="shared" ca="1"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1870</v>
      </c>
      <c r="B6" s="1420" t="s">
        <v>930</v>
      </c>
      <c r="C6" s="1039">
        <f>SUMIF(L1:L12,基准地价!G2,M1:M12)</f>
        <v>0</v>
      </c>
      <c r="D6" s="1421" t="s">
        <v>1695</v>
      </c>
      <c r="E6" s="1422"/>
      <c r="F6" s="1422"/>
      <c r="G6" s="1423"/>
      <c r="H6" s="1423"/>
      <c r="I6" s="1423"/>
      <c r="J6" s="1424"/>
      <c r="K6" s="1593"/>
      <c r="L6" s="1883" t="s">
        <v>2243</v>
      </c>
      <c r="M6" s="1884">
        <f>SUMPRODUCT((区片价!B110:B157=I2)*(区片价!C3:F3=E2)*(区片价!C110:F157))</f>
        <v>0</v>
      </c>
      <c r="N6" s="1885">
        <f>SUMPRODUCT((因素修正幅度!B110:B157=I2)*(因素修正幅度!C3:F3=E2)*(因素修正幅度!C110:F157))</f>
        <v>0</v>
      </c>
      <c r="O6" s="2187"/>
      <c r="P6" s="2187"/>
      <c r="Q6" s="2187"/>
      <c r="R6" s="2912">
        <v>5</v>
      </c>
      <c r="S6" s="2912">
        <f>ROUND(IF(G3&gt;1,IF(R6&lt;7,SUMPRODUCT((B93:B98=R6)*(C92:N92=G2)*(C93:N98)),SUMIF(C92:N92,G2,C100:N100)),IF(R6&lt;7,SUMPRODUCT((B102:B107=R6)*(C92:N92=G2)*(C102:N107)),SUMIF(C92:N92,G2,C109:N109))),4)</f>
        <v>0</v>
      </c>
      <c r="T6" s="2912" t="e">
        <f t="shared" ca="1" si="0"/>
        <v>#DIV/0!</v>
      </c>
      <c r="U6" s="2901"/>
      <c r="V6" s="2912" t="e">
        <f t="shared" ca="1" si="1"/>
        <v>#DIV/0!</v>
      </c>
      <c r="W6" s="2187"/>
      <c r="X6" s="2187"/>
      <c r="Y6" s="2187"/>
      <c r="Z6" s="2187"/>
      <c r="AA6" s="2187"/>
      <c r="AB6" s="2187"/>
      <c r="AC6" s="2189"/>
      <c r="AD6" s="1417"/>
      <c r="AE6" s="1417"/>
      <c r="AF6" s="1417"/>
      <c r="AG6" s="1417"/>
      <c r="AH6" s="1417"/>
      <c r="AI6" s="1417"/>
      <c r="AJ6" s="1418"/>
    </row>
    <row r="7" spans="1:39" ht="24">
      <c r="A7" s="3432" t="str">
        <f>IF(E2="商业",IF(C8="不临58条商业街","",2),"")</f>
        <v/>
      </c>
      <c r="B7" s="1425" t="s">
        <v>931</v>
      </c>
      <c r="C7" s="1040" t="e">
        <f>IF(C8="不临58条商业街",1,ROUND(1+(1.6*E8+1.2*E9+0.8*E10+0.4*E11)*C9,4))</f>
        <v>#DIV/0!</v>
      </c>
      <c r="D7" s="1426" t="s">
        <v>932</v>
      </c>
      <c r="E7" s="1041"/>
      <c r="F7" s="1427"/>
      <c r="G7" s="1428"/>
      <c r="H7" s="1428"/>
      <c r="I7" s="1428"/>
      <c r="J7" s="1429"/>
      <c r="K7" s="1593"/>
      <c r="L7" s="1883" t="s">
        <v>2244</v>
      </c>
      <c r="M7" s="1884">
        <f>SUMPRODUCT((区片价!B158:B205=I2)*(区片价!C3:F3=E2)*(区片价!C158:F205))</f>
        <v>0</v>
      </c>
      <c r="N7" s="1885">
        <f>SUMPRODUCT((因素修正幅度!B158:B205=I2)*(因素修正幅度!C3:F3=E2)*(因素修正幅度!C158:F205))</f>
        <v>0</v>
      </c>
      <c r="O7" s="2187"/>
      <c r="P7" s="2187"/>
      <c r="Q7" s="2187"/>
      <c r="R7" s="2912">
        <v>6</v>
      </c>
      <c r="S7" s="2912">
        <f>ROUND(IF(G3&gt;1,IF(R7&lt;7,SUMPRODUCT((B93:B98=R7)*(C92:N92=G2)*(C93:N98)),SUMIF(C92:N92,G2,C100:N100)),IF(R7&lt;7,SUMPRODUCT((B102:B107=R7)*(C92:N92=G2)*(C102:N107)),SUMIF(C92:N92,G2,C109:N109))),4)</f>
        <v>0</v>
      </c>
      <c r="T7" s="2912" t="e">
        <f t="shared" ca="1" si="0"/>
        <v>#DIV/0!</v>
      </c>
      <c r="U7" s="2901"/>
      <c r="V7" s="2912" t="e">
        <f t="shared" ca="1" si="1"/>
        <v>#DIV/0!</v>
      </c>
      <c r="W7" s="2910" t="s">
        <v>2764</v>
      </c>
      <c r="X7" s="2902">
        <f>G2</f>
        <v>0</v>
      </c>
      <c r="Y7" s="2902" t="s">
        <v>2765</v>
      </c>
      <c r="Z7" s="2903">
        <f>G3</f>
        <v>2.5</v>
      </c>
      <c r="AA7" s="2190"/>
      <c r="AB7" s="2190"/>
      <c r="AC7" s="2191"/>
      <c r="AD7" s="2904"/>
      <c r="AE7" s="2904"/>
      <c r="AF7" s="2904"/>
      <c r="AG7" s="2904"/>
      <c r="AH7" s="2904"/>
      <c r="AI7" s="2904"/>
      <c r="AJ7" s="2905"/>
    </row>
    <row r="8" spans="1:39" ht="15">
      <c r="A8" s="3433"/>
      <c r="B8" s="1412" t="s">
        <v>933</v>
      </c>
      <c r="C8" s="1527"/>
      <c r="D8" s="1042" t="s">
        <v>934</v>
      </c>
      <c r="E8" s="1043" t="e">
        <f>ROUND(C11/E7,4)</f>
        <v>#DIV/0!</v>
      </c>
      <c r="F8" s="1430" t="s">
        <v>935</v>
      </c>
      <c r="G8" s="1431"/>
      <c r="H8" s="1431"/>
      <c r="I8" s="1431"/>
      <c r="J8" s="1432"/>
      <c r="K8" s="1399"/>
      <c r="L8" s="1883" t="s">
        <v>2245</v>
      </c>
      <c r="M8" s="1884">
        <f>SUMPRODUCT((区片价!B206:B244=I2)*(区片价!C3:F3=E2)*(区片价!C206:F244))</f>
        <v>0</v>
      </c>
      <c r="N8" s="1885">
        <f>SUMPRODUCT((因素修正幅度!B206:B244=I2)*(因素修正幅度!C3:F3=E2)*(因素修正幅度!C206:F244))</f>
        <v>0</v>
      </c>
      <c r="O8" s="2187"/>
      <c r="P8" s="2187"/>
      <c r="Q8" s="2187"/>
      <c r="R8" s="2912">
        <v>7</v>
      </c>
      <c r="S8" s="2901"/>
      <c r="T8" s="2912" t="e">
        <f t="shared" ca="1" si="0"/>
        <v>#DIV/0!</v>
      </c>
      <c r="U8" s="2901"/>
      <c r="V8" s="2912" t="e">
        <f t="shared" ca="1" si="1"/>
        <v>#DIV/0!</v>
      </c>
      <c r="W8" s="3442" t="s">
        <v>2782</v>
      </c>
      <c r="X8" s="3443"/>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33"/>
      <c r="B9" s="1412" t="s">
        <v>936</v>
      </c>
      <c r="C9" s="1044">
        <f>SUMIF(修正!C59:C119,C8,修正!E59:E119)</f>
        <v>0</v>
      </c>
      <c r="D9" s="1045" t="s">
        <v>937</v>
      </c>
      <c r="E9" s="1045" t="e">
        <f>ROUND(C11/E7,4)</f>
        <v>#DIV/0!</v>
      </c>
      <c r="F9" s="1430" t="s">
        <v>938</v>
      </c>
      <c r="G9" s="1431"/>
      <c r="H9" s="1431"/>
      <c r="I9" s="1431"/>
      <c r="J9" s="1432"/>
      <c r="K9" s="1399"/>
      <c r="L9" s="1883" t="s">
        <v>2246</v>
      </c>
      <c r="M9" s="1884">
        <f>SUMPRODUCT((区片价!B245:B289=I2)*(区片价!C3:F3=E2)*(区片价!C245:F289))</f>
        <v>0</v>
      </c>
      <c r="N9" s="1885">
        <f>SUMPRODUCT((因素修正幅度!B245:B289=I2)*(因素修正幅度!C3:F3=E2)*(因素修正幅度!C245:F289))</f>
        <v>0</v>
      </c>
      <c r="O9" s="2187"/>
      <c r="P9" s="2187"/>
      <c r="Q9" s="2187"/>
      <c r="R9" s="2912">
        <v>8</v>
      </c>
      <c r="S9" s="2901"/>
      <c r="T9" s="2912" t="e">
        <f t="shared" ca="1" si="0"/>
        <v>#DIV/0!</v>
      </c>
      <c r="U9" s="2901"/>
      <c r="V9" s="2912" t="e">
        <f t="shared" ca="1" si="1"/>
        <v>#DIV/0!</v>
      </c>
      <c r="W9" s="3441" t="s">
        <v>2778</v>
      </c>
      <c r="X9" s="2906" t="s">
        <v>2779</v>
      </c>
      <c r="Y9" s="3071"/>
      <c r="Z9" s="2907">
        <f>$Y$9</f>
        <v>0</v>
      </c>
      <c r="AA9" s="2907">
        <f t="shared" ref="AA9:AJ9" si="2">$Y$9</f>
        <v>0</v>
      </c>
      <c r="AB9" s="2907">
        <f t="shared" si="2"/>
        <v>0</v>
      </c>
      <c r="AC9" s="2907">
        <f t="shared" si="2"/>
        <v>0</v>
      </c>
      <c r="AD9" s="2907">
        <f t="shared" si="2"/>
        <v>0</v>
      </c>
      <c r="AE9" s="2907">
        <f t="shared" si="2"/>
        <v>0</v>
      </c>
      <c r="AF9" s="2907">
        <f t="shared" si="2"/>
        <v>0</v>
      </c>
      <c r="AG9" s="2907">
        <f t="shared" si="2"/>
        <v>0</v>
      </c>
      <c r="AH9" s="2907">
        <f t="shared" si="2"/>
        <v>0</v>
      </c>
      <c r="AI9" s="2907">
        <f t="shared" si="2"/>
        <v>0</v>
      </c>
      <c r="AJ9" s="2907">
        <f t="shared" si="2"/>
        <v>0</v>
      </c>
    </row>
    <row r="10" spans="1:39" ht="15">
      <c r="A10" s="3433"/>
      <c r="B10" s="1412" t="s">
        <v>939</v>
      </c>
      <c r="C10" s="1045">
        <f>SUMIF(修正!C59:C119,C8,修正!F59:F119)</f>
        <v>0</v>
      </c>
      <c r="D10" s="1045" t="s">
        <v>940</v>
      </c>
      <c r="E10" s="1045" t="e">
        <f>ROUND(C11/E7,4)</f>
        <v>#DIV/0!</v>
      </c>
      <c r="F10" s="1430" t="s">
        <v>941</v>
      </c>
      <c r="G10" s="1431"/>
      <c r="H10" s="1431"/>
      <c r="I10" s="1431"/>
      <c r="J10" s="1432"/>
      <c r="K10" s="1399"/>
      <c r="L10" s="1883" t="s">
        <v>2247</v>
      </c>
      <c r="M10" s="1884">
        <f>SUMPRODUCT((区片价!B290:B316=I2)*(区片价!C3:F3=E2)*(区片价!C290:F316))</f>
        <v>0</v>
      </c>
      <c r="N10" s="1885">
        <f>SUMPRODUCT((因素修正幅度!B290:B316=I2)*(因素修正幅度!C3:F3=E2)*(因素修正幅度!C290:F316))</f>
        <v>0</v>
      </c>
      <c r="O10" s="2187"/>
      <c r="P10" s="2187"/>
      <c r="Q10" s="2187"/>
      <c r="R10" s="2912">
        <v>9</v>
      </c>
      <c r="S10" s="2901"/>
      <c r="T10" s="2912" t="e">
        <f t="shared" ca="1" si="0"/>
        <v>#DIV/0!</v>
      </c>
      <c r="U10" s="2901"/>
      <c r="V10" s="2912" t="e">
        <f t="shared" ca="1" si="1"/>
        <v>#DIV/0!</v>
      </c>
      <c r="W10" s="3441"/>
      <c r="X10" s="2906">
        <v>7</v>
      </c>
      <c r="Y10" s="2908">
        <f>(-0.163*(Y9^2)-0.59*Y9+7617)*(10^(-4))</f>
        <v>0.76170000000000004</v>
      </c>
      <c r="Z10" s="2908">
        <f>(-0.163*(Z9^2)-0.59*Z9+7617)*(10^(-4))</f>
        <v>0.76170000000000004</v>
      </c>
      <c r="AA10" s="2908">
        <f>(-0.161*(AA9^2)-7.509*AA9+6533)*(10^(-4))</f>
        <v>0.65329999999999999</v>
      </c>
      <c r="AB10" s="2908">
        <f>(-0.161*(AB9^2)-7.509*AB9+6533)*(10^(-4))</f>
        <v>0.65329999999999999</v>
      </c>
      <c r="AC10" s="2908">
        <f>(-0.161*(AC9^2)-7.509*AC9+6533)*(10^(-4))</f>
        <v>0.65329999999999999</v>
      </c>
      <c r="AD10" s="2908">
        <f>(-0.161*(AD9^2)-7.509*AD9+6533)*(10^(-4))</f>
        <v>0.65329999999999999</v>
      </c>
      <c r="AE10" s="2908">
        <f>(-0.161*(AE9^2)-7.509*AE9+6533)*(10^(-4))</f>
        <v>0.65329999999999999</v>
      </c>
      <c r="AF10" s="2908">
        <f>(-0.214*(AF9^2)-21.991*AF9+4665)*(10^(-4))</f>
        <v>0.46650000000000003</v>
      </c>
      <c r="AG10" s="2908">
        <f>(-0.214*(AG9^2)-21.991*AG9+4665)*(10^(-4))</f>
        <v>0.46650000000000003</v>
      </c>
      <c r="AH10" s="2908">
        <f>(-0.214*(AH9^2)-21.991*AH9+4665)*(10^(-4))</f>
        <v>0.46650000000000003</v>
      </c>
      <c r="AI10" s="2908">
        <f>(-0.214*(AI9^2)-21.991*AI9+4665)*(10^(-4))</f>
        <v>0.46650000000000003</v>
      </c>
      <c r="AJ10" s="2908">
        <f>(-0.214*(AJ9^2)-21.991*AJ9+4665)*(10^(-4))</f>
        <v>0.46650000000000003</v>
      </c>
    </row>
    <row r="11" spans="1:39" ht="15.75" customHeight="1" thickBot="1">
      <c r="A11" s="3433"/>
      <c r="B11" s="1433" t="s">
        <v>942</v>
      </c>
      <c r="C11" s="1046">
        <f>C10/4</f>
        <v>0</v>
      </c>
      <c r="D11" s="1046" t="s">
        <v>943</v>
      </c>
      <c r="E11" s="1046" t="e">
        <f>ROUND(C11/E7,4)</f>
        <v>#DIV/0!</v>
      </c>
      <c r="F11" s="1434" t="s">
        <v>944</v>
      </c>
      <c r="G11" s="1435"/>
      <c r="H11" s="1435"/>
      <c r="I11" s="1435"/>
      <c r="J11" s="1436"/>
      <c r="K11" s="1399"/>
      <c r="L11" s="1883" t="s">
        <v>2248</v>
      </c>
      <c r="M11" s="1884">
        <f>SUMPRODUCT((区片价!B317:B337=I2)*(区片价!C3:F3=E2)*(区片价!C317:F337))</f>
        <v>0</v>
      </c>
      <c r="N11" s="1885">
        <f>SUMPRODUCT((因素修正幅度!B317:B337=I2)*(因素修正幅度!C3:F3=E2)*(因素修正幅度!C317:F337))</f>
        <v>0</v>
      </c>
      <c r="O11" s="2187"/>
      <c r="P11" s="2187"/>
      <c r="Q11" s="2187"/>
      <c r="R11" s="2912">
        <v>10</v>
      </c>
      <c r="S11" s="2901"/>
      <c r="T11" s="2912" t="e">
        <f t="shared" ca="1" si="0"/>
        <v>#DIV/0!</v>
      </c>
      <c r="U11" s="2901"/>
      <c r="V11" s="2912" t="e">
        <f t="shared" ca="1" si="1"/>
        <v>#DIV/0!</v>
      </c>
      <c r="W11" s="3441" t="s">
        <v>2780</v>
      </c>
      <c r="X11" s="1045" t="s">
        <v>2765</v>
      </c>
      <c r="Y11" s="1651">
        <f>$G$3</f>
        <v>2.5</v>
      </c>
      <c r="Z11" s="1651">
        <f t="shared" ref="Z11:AJ11" si="3">$G$3</f>
        <v>2.5</v>
      </c>
      <c r="AA11" s="1651">
        <f t="shared" si="3"/>
        <v>2.5</v>
      </c>
      <c r="AB11" s="1651">
        <f t="shared" si="3"/>
        <v>2.5</v>
      </c>
      <c r="AC11" s="1651">
        <f t="shared" si="3"/>
        <v>2.5</v>
      </c>
      <c r="AD11" s="1651">
        <f t="shared" si="3"/>
        <v>2.5</v>
      </c>
      <c r="AE11" s="1651">
        <f t="shared" si="3"/>
        <v>2.5</v>
      </c>
      <c r="AF11" s="1651">
        <f t="shared" si="3"/>
        <v>2.5</v>
      </c>
      <c r="AG11" s="1651">
        <f t="shared" si="3"/>
        <v>2.5</v>
      </c>
      <c r="AH11" s="1651">
        <f t="shared" si="3"/>
        <v>2.5</v>
      </c>
      <c r="AI11" s="1651">
        <f t="shared" si="3"/>
        <v>2.5</v>
      </c>
      <c r="AJ11" s="1651">
        <f t="shared" si="3"/>
        <v>2.5</v>
      </c>
    </row>
    <row r="12" spans="1:39" ht="25.5" thickBot="1">
      <c r="A12" s="3432" t="s">
        <v>1871</v>
      </c>
      <c r="B12" s="1437" t="s">
        <v>945</v>
      </c>
      <c r="C12" s="1040">
        <f>ROUND(C15*D15*E15*F15*G15*H15*I15*J15,4)</f>
        <v>1</v>
      </c>
      <c r="D12" s="1438" t="s">
        <v>946</v>
      </c>
      <c r="E12" s="1439"/>
      <c r="F12" s="1439"/>
      <c r="G12" s="1440"/>
      <c r="H12" s="1440"/>
      <c r="I12" s="1440"/>
      <c r="J12" s="1441"/>
      <c r="K12" s="1399"/>
      <c r="L12" s="1886" t="s">
        <v>2249</v>
      </c>
      <c r="M12" s="1887">
        <f>SUMPRODUCT((区片价!B338:B344=I2)*(区片价!C3:F3=E2)*(区片价!C338:F344))</f>
        <v>0</v>
      </c>
      <c r="N12" s="1888">
        <f>SUMPRODUCT((因素修正幅度!B338:B344=I2)*(因素修正幅度!C3:F3=E2)*(因素修正幅度!C338:F344))</f>
        <v>0</v>
      </c>
      <c r="O12" s="2187"/>
      <c r="P12" s="2187"/>
      <c r="Q12" s="2187"/>
      <c r="R12" s="2912">
        <v>11</v>
      </c>
      <c r="S12" s="2901"/>
      <c r="T12" s="2912" t="e">
        <f t="shared" ca="1" si="0"/>
        <v>#DIV/0!</v>
      </c>
      <c r="U12" s="2901"/>
      <c r="V12" s="2912" t="e">
        <f t="shared" ca="1" si="1"/>
        <v>#DIV/0!</v>
      </c>
      <c r="W12" s="3441"/>
      <c r="X12" s="2909" t="s">
        <v>2781</v>
      </c>
      <c r="Y12" s="2907">
        <f t="shared" ref="Y12:AJ12" si="4">Y9</f>
        <v>0</v>
      </c>
      <c r="Z12" s="2907">
        <f t="shared" si="4"/>
        <v>0</v>
      </c>
      <c r="AA12" s="2907">
        <f t="shared" si="4"/>
        <v>0</v>
      </c>
      <c r="AB12" s="2907">
        <f t="shared" si="4"/>
        <v>0</v>
      </c>
      <c r="AC12" s="2907">
        <f t="shared" si="4"/>
        <v>0</v>
      </c>
      <c r="AD12" s="2907">
        <f t="shared" si="4"/>
        <v>0</v>
      </c>
      <c r="AE12" s="2907">
        <f t="shared" si="4"/>
        <v>0</v>
      </c>
      <c r="AF12" s="2907">
        <f t="shared" si="4"/>
        <v>0</v>
      </c>
      <c r="AG12" s="2907">
        <f t="shared" si="4"/>
        <v>0</v>
      </c>
      <c r="AH12" s="2907">
        <f t="shared" si="4"/>
        <v>0</v>
      </c>
      <c r="AI12" s="2907">
        <f t="shared" si="4"/>
        <v>0</v>
      </c>
      <c r="AJ12" s="2907">
        <f t="shared" si="4"/>
        <v>0</v>
      </c>
    </row>
    <row r="13" spans="1:39" ht="24">
      <c r="A13" s="3434"/>
      <c r="B13" s="1442" t="s">
        <v>1696</v>
      </c>
      <c r="C13" s="1443" t="s">
        <v>1697</v>
      </c>
      <c r="D13" s="1086" t="s">
        <v>1698</v>
      </c>
      <c r="E13" s="1086" t="s">
        <v>1699</v>
      </c>
      <c r="F13" s="1444" t="s">
        <v>947</v>
      </c>
      <c r="G13" s="1445" t="s">
        <v>1642</v>
      </c>
      <c r="H13" s="1446" t="s">
        <v>1642</v>
      </c>
      <c r="I13" s="1447" t="s">
        <v>1642</v>
      </c>
      <c r="J13" s="1448" t="s">
        <v>1642</v>
      </c>
      <c r="K13" s="1399"/>
      <c r="L13" s="2187"/>
      <c r="M13" s="2187"/>
      <c r="N13" s="2187"/>
      <c r="O13" s="2187"/>
      <c r="P13" s="2187"/>
      <c r="Q13" s="2187"/>
      <c r="R13" s="2912">
        <v>12</v>
      </c>
      <c r="S13" s="2901"/>
      <c r="T13" s="2912" t="e">
        <f t="shared" ca="1" si="0"/>
        <v>#DIV/0!</v>
      </c>
      <c r="U13" s="2901"/>
      <c r="V13" s="2912" t="e">
        <f t="shared" ca="1" si="1"/>
        <v>#DIV/0!</v>
      </c>
      <c r="W13" s="3441"/>
      <c r="X13" s="2909"/>
      <c r="Y13" s="2908">
        <f>(-0.163*(Y12^2)-0.59*Y12+7617)*(10^(-4))/Y11</f>
        <v>0.30468000000000001</v>
      </c>
      <c r="Z13" s="2908">
        <f t="shared" ref="Z13:AJ13" si="5">(-0.163*(Z12^2)-0.59*Z12+7617)*(10^(-4))/Z11</f>
        <v>0.30468000000000001</v>
      </c>
      <c r="AA13" s="2908">
        <f t="shared" si="5"/>
        <v>0.30468000000000001</v>
      </c>
      <c r="AB13" s="2908">
        <f t="shared" si="5"/>
        <v>0.30468000000000001</v>
      </c>
      <c r="AC13" s="2908">
        <f t="shared" si="5"/>
        <v>0.30468000000000001</v>
      </c>
      <c r="AD13" s="2908">
        <f t="shared" si="5"/>
        <v>0.30468000000000001</v>
      </c>
      <c r="AE13" s="2908">
        <f t="shared" si="5"/>
        <v>0.30468000000000001</v>
      </c>
      <c r="AF13" s="2908">
        <f t="shared" si="5"/>
        <v>0.30468000000000001</v>
      </c>
      <c r="AG13" s="2908">
        <f t="shared" si="5"/>
        <v>0.30468000000000001</v>
      </c>
      <c r="AH13" s="2908">
        <f t="shared" si="5"/>
        <v>0.30468000000000001</v>
      </c>
      <c r="AI13" s="2908">
        <f t="shared" si="5"/>
        <v>0.30468000000000001</v>
      </c>
      <c r="AJ13" s="2908">
        <f t="shared" si="5"/>
        <v>0.30468000000000001</v>
      </c>
    </row>
    <row r="14" spans="1:39" ht="12.75" customHeight="1" thickBot="1">
      <c r="A14" s="3434"/>
      <c r="B14" s="1449"/>
      <c r="C14" s="1450"/>
      <c r="D14" s="1451"/>
      <c r="E14" s="1451"/>
      <c r="F14" s="1452"/>
      <c r="G14" s="1453" t="s">
        <v>948</v>
      </c>
      <c r="H14" s="1454"/>
      <c r="I14" s="1455"/>
      <c r="J14" s="1456"/>
      <c r="K14" s="1399"/>
      <c r="L14" s="2187"/>
      <c r="M14" s="2187"/>
      <c r="N14" s="2187"/>
      <c r="O14" s="2187"/>
      <c r="P14" s="2187"/>
      <c r="Q14" s="2187"/>
      <c r="R14" s="2912">
        <v>13</v>
      </c>
      <c r="S14" s="2901"/>
      <c r="T14" s="2912" t="e">
        <f t="shared" ca="1" si="0"/>
        <v>#DIV/0!</v>
      </c>
      <c r="U14" s="2901"/>
      <c r="V14" s="2912" t="e">
        <f t="shared" ca="1" si="1"/>
        <v>#DIV/0!</v>
      </c>
      <c r="W14" s="2187"/>
      <c r="X14" s="2187"/>
      <c r="Y14" s="2187"/>
      <c r="Z14" s="2187"/>
      <c r="AA14" s="2187"/>
      <c r="AB14" s="2187"/>
      <c r="AC14" s="2188"/>
    </row>
    <row r="15" spans="1:39" ht="13.5" customHeight="1" thickBot="1">
      <c r="A15" s="3435"/>
      <c r="B15" s="1457" t="s">
        <v>1700</v>
      </c>
      <c r="C15" s="1048">
        <f>IF(C14="有",1.1,1)</f>
        <v>1</v>
      </c>
      <c r="D15" s="1048">
        <f>IF(D14="有",1.1,1)</f>
        <v>1</v>
      </c>
      <c r="E15" s="1048">
        <f>IF(E14="有",1.1,1)</f>
        <v>1</v>
      </c>
      <c r="F15" s="1048">
        <f>IF(F14="500米范围内",1.2,IF(F14="500-1000米",1.1,1))</f>
        <v>1</v>
      </c>
      <c r="G15" s="1049">
        <v>1</v>
      </c>
      <c r="H15" s="1049">
        <v>1</v>
      </c>
      <c r="I15" s="1049">
        <v>1</v>
      </c>
      <c r="J15" s="1050">
        <v>1</v>
      </c>
      <c r="K15" s="1399"/>
      <c r="L15" s="1596" t="s">
        <v>897</v>
      </c>
      <c r="M15" s="1426" t="s">
        <v>983</v>
      </c>
      <c r="N15" s="1426" t="s">
        <v>984</v>
      </c>
      <c r="O15" s="1426" t="s">
        <v>901</v>
      </c>
      <c r="P15" s="1474" t="s">
        <v>985</v>
      </c>
      <c r="Q15" s="2187"/>
      <c r="R15" s="2912">
        <v>14</v>
      </c>
      <c r="S15" s="2901"/>
      <c r="T15" s="2912" t="e">
        <f t="shared" ca="1" si="0"/>
        <v>#DIV/0!</v>
      </c>
      <c r="U15" s="2901"/>
      <c r="V15" s="2912" t="e">
        <f t="shared" ca="1" si="1"/>
        <v>#DIV/0!</v>
      </c>
      <c r="W15" s="2187"/>
      <c r="X15" s="2187"/>
      <c r="Y15" s="2187"/>
      <c r="Z15" s="2187"/>
      <c r="AA15" s="2187"/>
      <c r="AB15" s="2187"/>
      <c r="AC15" s="2188"/>
    </row>
    <row r="16" spans="1:39" ht="24">
      <c r="A16" s="3432" t="s">
        <v>1838</v>
      </c>
      <c r="B16" s="1425" t="s">
        <v>949</v>
      </c>
      <c r="C16" s="1051" t="e">
        <f>ROUND(SUM(G17:J17)/C17,0)</f>
        <v>#DIV/0!</v>
      </c>
      <c r="D16" s="1458" t="s">
        <v>950</v>
      </c>
      <c r="E16" s="1459"/>
      <c r="F16" s="1460"/>
      <c r="G16" s="1461"/>
      <c r="H16" s="1461"/>
      <c r="I16" s="1461"/>
      <c r="J16" s="1461"/>
      <c r="K16" s="1399"/>
      <c r="L16" s="1462" t="s">
        <v>987</v>
      </c>
      <c r="M16" s="1044">
        <v>0.25</v>
      </c>
      <c r="N16" s="1044">
        <v>0.2</v>
      </c>
      <c r="O16" s="1044">
        <v>0.15</v>
      </c>
      <c r="P16" s="1537">
        <v>0.1</v>
      </c>
      <c r="Q16" s="2190"/>
      <c r="R16" s="2912">
        <v>15</v>
      </c>
      <c r="S16" s="2901"/>
      <c r="T16" s="2912" t="e">
        <f t="shared" ca="1" si="0"/>
        <v>#DIV/0!</v>
      </c>
      <c r="U16" s="2901"/>
      <c r="V16" s="2912" t="e">
        <f t="shared" ca="1" si="1"/>
        <v>#DIV/0!</v>
      </c>
      <c r="W16" s="2190"/>
      <c r="X16" s="2190"/>
      <c r="Y16" s="2190"/>
      <c r="Z16" s="2190"/>
      <c r="AA16" s="2190"/>
      <c r="AB16" s="2190"/>
      <c r="AC16" s="2191"/>
    </row>
    <row r="17" spans="1:40" ht="13.5" thickBot="1">
      <c r="A17" s="3433"/>
      <c r="B17" s="1463" t="s">
        <v>952</v>
      </c>
      <c r="C17" s="1052">
        <f>SUMPRODUCT((修正!A2:A5=E2)*(修正!B1:M1=G2)*(修正!B2:M5))</f>
        <v>0</v>
      </c>
      <c r="D17" s="1465" t="s">
        <v>953</v>
      </c>
      <c r="E17" s="1466" t="str">
        <f>IF(OR(G2="八级",G2="九级",G2="十级",G2="十一级",G2="十二级"),"五通一平","七通一平")</f>
        <v>七通一平</v>
      </c>
      <c r="F17" s="1464"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1829</v>
      </c>
      <c r="B18" s="2747" t="s">
        <v>955</v>
      </c>
      <c r="C18" s="2748">
        <f>SUMIF(修正!C18:C39,E3,修正!E18:E39)</f>
        <v>1</v>
      </c>
      <c r="D18" s="2749"/>
      <c r="E18" s="2750"/>
      <c r="F18" s="2751"/>
      <c r="G18" s="2745"/>
      <c r="H18" s="2745"/>
      <c r="I18" s="2745"/>
      <c r="J18" s="2752"/>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1835</v>
      </c>
      <c r="B19" s="1468" t="s">
        <v>956</v>
      </c>
      <c r="C19" s="1054">
        <f>ROUND(IF(H19="按公示增长率计算",SUMPRODUCT((地价!A3:A25=YEAR(G19)&amp;"-"&amp;ROUNDUP(MONTH(G19)/3,0))*(地价!X2:AB2=E2)*(地价!X3:AB25)),IF(H19="地价指数",M20/M19,(1+I19)^O19)),4)</f>
        <v>1.5673999999999999</v>
      </c>
      <c r="D19" s="1472" t="s">
        <v>957</v>
      </c>
      <c r="E19" s="1055">
        <v>41640</v>
      </c>
      <c r="F19" s="1472" t="s">
        <v>958</v>
      </c>
      <c r="G19" s="1056">
        <f>'数据-取费表'!B2</f>
        <v>43510</v>
      </c>
      <c r="H19" s="1473" t="s">
        <v>2936</v>
      </c>
      <c r="I19" s="2759" t="str">
        <f>IF(H19="季度增幅（自定义）",SUMIF(N21:N24,E2,O21:O24),"")</f>
        <v/>
      </c>
      <c r="J19" s="1469"/>
      <c r="K19" s="1479"/>
      <c r="L19" s="3012" t="s">
        <v>2840</v>
      </c>
      <c r="M19" s="3013">
        <f>ROUND(SUMIF(地价!B2:F2,E2,地价!B25:F25),0)</f>
        <v>423</v>
      </c>
      <c r="N19" s="2761" t="s">
        <v>1676</v>
      </c>
      <c r="O19" s="2760">
        <f>ROUNDDOWN(DATEDIF(E19,G19,"M")/3,0)</f>
        <v>20</v>
      </c>
      <c r="P19" s="1594"/>
      <c r="R19" s="2900"/>
      <c r="S19" s="2900"/>
      <c r="T19" s="2900"/>
      <c r="U19" s="2900"/>
      <c r="V19" s="2900"/>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53" t="s">
        <v>1836</v>
      </c>
      <c r="B20" s="2754" t="s">
        <v>971</v>
      </c>
      <c r="C20" s="2755" t="e">
        <f ca="1">ROUND(POWER(1+G20,J20-I20)*(POWER(1+G20,I20)-1)/(POWER(1+G20,J20)-1),4)</f>
        <v>#DIV/0!</v>
      </c>
      <c r="D20" s="2756" t="s">
        <v>972</v>
      </c>
      <c r="E20" s="3068">
        <f ca="1">存贷款利率!I4/100</f>
        <v>4.3499999999999997E-2</v>
      </c>
      <c r="F20" s="2756" t="s">
        <v>973</v>
      </c>
      <c r="G20" s="2757">
        <f ca="1">SUMIF(M15:P15,E2,M17:P17)</f>
        <v>0.05</v>
      </c>
      <c r="H20" s="2756" t="s">
        <v>974</v>
      </c>
      <c r="I20" s="2746" t="e">
        <f>SUMIF('数据-取费表'!C6:C15,E2,'数据-取费表'!F6:F15)/COUNTIF('数据-取费表'!C6:C15,E2)</f>
        <v>#DIV/0!</v>
      </c>
      <c r="J20" s="2758">
        <f>IF(E2="住宅",70,IF(E2="商业",40,50))</f>
        <v>70</v>
      </c>
      <c r="K20" s="1479"/>
      <c r="L20" s="3014" t="s">
        <v>2841</v>
      </c>
      <c r="M20" s="3015">
        <f>ROUND(SUMPRODUCT((地价!A4:A25=YEAR(G19)&amp;"-"&amp;ROUNDUP(MONTH(G19)/3,0))*(地价!B2:F2=E2)*(地价!B4:F25)),0)</f>
        <v>663</v>
      </c>
      <c r="N20" s="2764" t="s">
        <v>2645</v>
      </c>
      <c r="O20" s="2762" t="s">
        <v>2644</v>
      </c>
      <c r="P20" s="2763" t="s">
        <v>2649</v>
      </c>
      <c r="R20" s="2900"/>
      <c r="S20" s="2900"/>
      <c r="T20" s="2900"/>
      <c r="U20" s="2900"/>
      <c r="V20" s="2900"/>
      <c r="W20" s="2193"/>
      <c r="X20" s="2193"/>
      <c r="Y20" s="2193"/>
      <c r="Z20" s="2193"/>
      <c r="AA20" s="2193"/>
      <c r="AB20" s="2193"/>
      <c r="AC20" s="2193"/>
      <c r="AD20" s="1470"/>
      <c r="AE20" s="1470"/>
      <c r="AF20" s="1470"/>
      <c r="AG20" s="1470"/>
      <c r="AH20" s="1470"/>
      <c r="AI20" s="1470"/>
    </row>
    <row r="21" spans="1:40" s="1419" customFormat="1" ht="14.25">
      <c r="A21" s="1640" t="s">
        <v>1837</v>
      </c>
      <c r="B21" s="1478" t="s">
        <v>2760</v>
      </c>
      <c r="C21" s="1155">
        <f>IF(B21="容积率修正",IF(G3&lt;=10,D22,J22),C23)</f>
        <v>0</v>
      </c>
      <c r="D21" s="1479"/>
      <c r="E21" s="1479"/>
      <c r="F21" s="1479"/>
      <c r="G21" s="1479"/>
      <c r="H21" s="1479"/>
      <c r="I21" s="1479"/>
      <c r="J21" s="1480"/>
      <c r="K21" s="1479"/>
      <c r="L21" s="1479"/>
      <c r="M21" s="1479"/>
      <c r="N21" s="1476" t="s">
        <v>975</v>
      </c>
      <c r="O21" s="1540"/>
      <c r="P21" s="2744">
        <f>SUMPRODUCT((地价!A3:A25=YEAR(G19)&amp;"-"&amp;ROUNDUP(MONTH(G19)/3,0))*(地价!AD2:AH2=N21)*(地价!AD3:AH25))</f>
        <v>1.5100000000000001E-2</v>
      </c>
      <c r="R21" s="2900"/>
      <c r="S21" s="2900"/>
      <c r="T21" s="2900"/>
      <c r="U21" s="2900"/>
      <c r="V21" s="2900"/>
      <c r="W21" s="2193"/>
      <c r="X21" s="2193"/>
      <c r="Y21" s="2193"/>
      <c r="Z21" s="2193"/>
      <c r="AA21" s="2193"/>
      <c r="AB21" s="2193"/>
      <c r="AC21" s="2193"/>
      <c r="AD21" s="1401"/>
      <c r="AE21" s="1401"/>
      <c r="AF21" s="1401"/>
      <c r="AG21" s="1401"/>
      <c r="AH21" s="1470"/>
      <c r="AI21" s="1470"/>
    </row>
    <row r="22" spans="1:40" s="1419" customFormat="1" ht="14.25">
      <c r="A22" s="1641" t="s">
        <v>1870</v>
      </c>
      <c r="B22" s="1481" t="s">
        <v>976</v>
      </c>
      <c r="C22" s="1057" t="s">
        <v>1702</v>
      </c>
      <c r="D22" s="1057">
        <f>IF(E22=G22,F22,IF(G3&lt;=10,ROUND(F22+(H22-F22)*(G3-E22)/(G22-E22),4),"——"))</f>
        <v>0</v>
      </c>
      <c r="E22" s="1036">
        <f>ROUNDDOWN(G3,1)</f>
        <v>2.5</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977</v>
      </c>
      <c r="J22" s="1057" t="str">
        <f>IF(G3&gt;10,D113,"——")</f>
        <v>——</v>
      </c>
      <c r="K22" s="1479"/>
      <c r="L22" s="1479"/>
      <c r="M22" s="1479"/>
      <c r="N22" s="1476" t="s">
        <v>978</v>
      </c>
      <c r="O22" s="1540"/>
      <c r="P22" s="2744">
        <f>SUMPRODUCT((地价!A3:A25=YEAR(G19)&amp;"-"&amp;ROUNDUP(MONTH(G19)/3,0))*(地价!AD2:AH2=N22)*(地价!AD3:AH25))</f>
        <v>1.5100000000000001E-2</v>
      </c>
      <c r="R22" s="2900"/>
      <c r="S22" s="2900"/>
      <c r="T22" s="2900"/>
      <c r="U22" s="2900"/>
      <c r="V22" s="2900"/>
      <c r="W22" s="2193"/>
      <c r="X22" s="2193"/>
      <c r="Y22" s="2193"/>
      <c r="Z22" s="2193"/>
      <c r="AA22" s="2193"/>
      <c r="AB22" s="2193"/>
      <c r="AC22" s="2193"/>
      <c r="AD22" s="1470"/>
      <c r="AE22" s="1470"/>
      <c r="AF22" s="1470"/>
      <c r="AG22" s="1470"/>
      <c r="AH22" s="1470"/>
      <c r="AI22" s="1470"/>
    </row>
    <row r="23" spans="1:40" ht="27.75" thickBot="1">
      <c r="A23" s="1641" t="s">
        <v>1871</v>
      </c>
      <c r="B23" s="1481" t="s">
        <v>979</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44">
        <f>SUMPRODUCT((地价!A3:A25=YEAR(G19)&amp;"-"&amp;ROUNDUP(MONTH(G19)/3,0))*(地价!AD2:AH2=N23)*(地价!AD3:AH25))</f>
        <v>2.3400000000000001E-2</v>
      </c>
      <c r="R23" s="2900"/>
      <c r="S23" s="2900"/>
      <c r="T23" s="2900"/>
      <c r="U23" s="2900"/>
      <c r="V23" s="2900"/>
      <c r="W23" s="2193"/>
      <c r="X23" s="2193"/>
      <c r="Y23" s="2193"/>
      <c r="Z23" s="2193"/>
      <c r="AA23" s="2193"/>
      <c r="AB23" s="2193"/>
      <c r="AC23" s="2193"/>
      <c r="AN23" s="1402"/>
    </row>
    <row r="24" spans="1:40" s="1419" customFormat="1" ht="15.75" thickBot="1">
      <c r="A24" s="1639" t="s">
        <v>1872</v>
      </c>
      <c r="B24" s="1413" t="s">
        <v>980</v>
      </c>
      <c r="C24" s="1059">
        <f>SUMIF(A44:A87,E2,B44:B87)</f>
        <v>1</v>
      </c>
      <c r="D24" s="1533"/>
      <c r="E24" s="1534"/>
      <c r="F24" s="1534"/>
      <c r="G24" s="1534"/>
      <c r="H24" s="1534"/>
      <c r="I24" s="1534"/>
      <c r="J24" s="1534"/>
      <c r="K24" s="1479"/>
      <c r="L24" s="1479"/>
      <c r="M24" s="1479"/>
      <c r="N24" s="1482" t="s">
        <v>981</v>
      </c>
      <c r="O24" s="1541"/>
      <c r="P24" s="1539">
        <f>SUMPRODUCT((地价!A3:A25=YEAR(G19)&amp;"-"&amp;ROUNDUP(MONTH(G19)/3,0))*(地价!AD2:AH2=N24)*(地价!AD3:AH25))</f>
        <v>1.4200000000000001E-2</v>
      </c>
      <c r="R24" s="2900"/>
      <c r="S24" s="2900"/>
      <c r="T24" s="2900"/>
      <c r="U24" s="2900"/>
      <c r="V24" s="2900"/>
      <c r="W24" s="2193"/>
      <c r="X24" s="2193"/>
      <c r="Y24" s="2193"/>
      <c r="Z24" s="2193"/>
      <c r="AA24" s="2193"/>
      <c r="AB24" s="2193"/>
      <c r="AC24" s="2193"/>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3"/>
      <c r="M25" s="2193"/>
      <c r="N25" s="2772" t="s">
        <v>2647</v>
      </c>
      <c r="O25" s="2193"/>
      <c r="P25" s="1539">
        <f>SUMPRODUCT((地价!A3:A25=YEAR(G19)&amp;"-"&amp;ROUNDUP(MONTH(G19)/3,0))*(地价!AD2:AH2=N25)*(地价!AD3:AH25))</f>
        <v>2.1299999999999999E-2</v>
      </c>
      <c r="R25" s="2900"/>
      <c r="S25" s="2900"/>
      <c r="T25" s="2900"/>
      <c r="U25" s="2900"/>
      <c r="V25" s="2900"/>
      <c r="W25" s="2193"/>
      <c r="X25" s="2193"/>
      <c r="Y25" s="2193"/>
      <c r="Z25" s="2193"/>
      <c r="AA25" s="2193"/>
      <c r="AB25" s="2193"/>
      <c r="AC25" s="2193"/>
    </row>
    <row r="26" spans="1:40" ht="14.25">
      <c r="A26" s="1487"/>
      <c r="B26" s="1481" t="s">
        <v>986</v>
      </c>
      <c r="C26" s="1060" t="e">
        <f ca="1">E29+SUM(E33:E39)</f>
        <v>#DIV/0!</v>
      </c>
      <c r="D26" s="1488"/>
      <c r="E26" s="1454"/>
      <c r="F26" s="1489"/>
      <c r="G26" s="1454"/>
      <c r="H26" s="1454"/>
      <c r="I26" s="1454"/>
      <c r="J26" s="1490"/>
      <c r="K26" s="1399"/>
      <c r="L26" s="2193"/>
      <c r="M26" s="2193"/>
      <c r="N26" s="2193"/>
      <c r="O26" s="2193"/>
      <c r="P26" s="2193"/>
      <c r="Q26" s="2193"/>
      <c r="R26" s="2900"/>
      <c r="S26" s="2900"/>
      <c r="T26" s="2900"/>
      <c r="U26" s="2900"/>
      <c r="V26" s="2900"/>
      <c r="W26" s="2193"/>
      <c r="X26" s="2193"/>
      <c r="Y26" s="2193"/>
      <c r="Z26" s="2193"/>
      <c r="AA26" s="2193"/>
      <c r="AB26" s="2193"/>
      <c r="AC26" s="2193"/>
      <c r="AD26" s="1470"/>
      <c r="AE26" s="1470"/>
      <c r="AF26" s="1470"/>
      <c r="AG26" s="1470"/>
    </row>
    <row r="27" spans="1:40" ht="15" thickBot="1">
      <c r="A27" s="1487"/>
      <c r="B27" s="1491" t="s">
        <v>988</v>
      </c>
      <c r="C27" s="1061" t="e">
        <f ca="1">E30+SUM(I33:I39)</f>
        <v>#DIV/0!</v>
      </c>
      <c r="D27" s="1492"/>
      <c r="E27" s="1493"/>
      <c r="F27" s="1494"/>
      <c r="G27" s="1493"/>
      <c r="H27" s="1493"/>
      <c r="I27" s="1493"/>
      <c r="J27" s="1495"/>
      <c r="K27" s="1399"/>
      <c r="L27" s="2193"/>
      <c r="M27" s="2193"/>
      <c r="N27" s="2193"/>
      <c r="O27" s="2193"/>
      <c r="P27" s="2193"/>
      <c r="Q27" s="2193"/>
      <c r="R27" s="2900"/>
      <c r="S27" s="2900"/>
      <c r="T27" s="2900"/>
      <c r="U27" s="2900"/>
      <c r="V27" s="2900"/>
      <c r="W27" s="2193"/>
      <c r="X27" s="2193"/>
      <c r="Y27" s="2193"/>
      <c r="Z27" s="2193"/>
      <c r="AA27" s="2193"/>
      <c r="AB27" s="2193"/>
      <c r="AC27" s="2193"/>
    </row>
    <row r="28" spans="1:40" ht="14.25">
      <c r="A28" s="1483"/>
      <c r="B28" s="1496" t="s">
        <v>989</v>
      </c>
      <c r="C28" s="1497" t="s">
        <v>990</v>
      </c>
      <c r="D28" s="1497" t="s">
        <v>991</v>
      </c>
      <c r="E28" s="1498" t="s">
        <v>992</v>
      </c>
      <c r="F28" s="1499"/>
      <c r="G28" s="1440"/>
      <c r="H28" s="1440"/>
      <c r="I28" s="1440"/>
      <c r="J28" s="1441"/>
      <c r="K28" s="1399"/>
      <c r="L28" s="2193"/>
      <c r="M28" s="2193"/>
      <c r="N28" s="2193"/>
      <c r="O28" s="2193"/>
      <c r="P28" s="2193"/>
      <c r="Q28" s="2193"/>
      <c r="R28" s="2900"/>
      <c r="S28" s="2900"/>
      <c r="T28" s="2900"/>
      <c r="U28" s="2900"/>
      <c r="V28" s="2900"/>
      <c r="W28" s="2193"/>
      <c r="X28" s="2193"/>
      <c r="Y28" s="2193"/>
      <c r="Z28" s="2193"/>
      <c r="AA28" s="2193"/>
      <c r="AB28" s="2193"/>
      <c r="AC28" s="2193"/>
      <c r="AD28" s="1470"/>
      <c r="AE28" s="1470"/>
      <c r="AF28" s="1470"/>
      <c r="AG28" s="1470"/>
    </row>
    <row r="29" spans="1:40" ht="24">
      <c r="A29" s="1500"/>
      <c r="B29" s="1501" t="s">
        <v>993</v>
      </c>
      <c r="C29" s="1060" t="e">
        <f ca="1">ROUND(C5*C18*C19*C20*C21*C24,0)</f>
        <v>#DIV/0!</v>
      </c>
      <c r="D29" s="1502"/>
      <c r="E29" s="1847" t="e">
        <f ca="1">ROUND(C29*D29/10000,0)</f>
        <v>#DIV/0!</v>
      </c>
      <c r="F29" s="1503" t="s">
        <v>1701</v>
      </c>
      <c r="G29" s="1504"/>
      <c r="H29" s="1504"/>
      <c r="I29" s="1504"/>
      <c r="J29" s="1505"/>
      <c r="K29" s="1399"/>
      <c r="L29" s="2193"/>
      <c r="M29" s="2193"/>
      <c r="N29" s="2193"/>
      <c r="O29" s="2193"/>
      <c r="P29" s="2193"/>
      <c r="Q29" s="2193"/>
      <c r="R29" s="2900"/>
      <c r="S29" s="2900"/>
      <c r="T29" s="2900"/>
      <c r="U29" s="2900"/>
      <c r="V29" s="2900"/>
      <c r="W29" s="2193"/>
      <c r="X29" s="2193"/>
      <c r="Y29" s="2193"/>
      <c r="Z29" s="2193"/>
      <c r="AA29" s="2193"/>
      <c r="AB29" s="2193"/>
      <c r="AC29" s="2193"/>
      <c r="AH29" s="1400"/>
      <c r="AI29" s="1400"/>
      <c r="AJ29" s="1403"/>
      <c r="AK29" s="1403"/>
      <c r="AL29" s="1403"/>
      <c r="AM29" s="1403"/>
    </row>
    <row r="30" spans="1:40" ht="24.75" thickBot="1">
      <c r="A30" s="1506"/>
      <c r="B30" s="1507" t="s">
        <v>994</v>
      </c>
      <c r="C30" s="1048" t="e">
        <f ca="1">ROUND(IF(E2="工业",C29*M39,C29*M38),0)</f>
        <v>#DIV/0!</v>
      </c>
      <c r="D30" s="1508"/>
      <c r="E30" s="1847" t="e">
        <f ca="1">ROUND(C30*D30/10000,0)</f>
        <v>#DIV/0!</v>
      </c>
      <c r="F30" s="1509" t="s">
        <v>995</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38" t="s">
        <v>2962</v>
      </c>
      <c r="B33" s="1522" t="s">
        <v>999</v>
      </c>
      <c r="C33" s="1060" t="e">
        <f ca="1">ROUND(D5*C19*C20*C24*F33,0)</f>
        <v>#DIV/0!</v>
      </c>
      <c r="D33" s="1535"/>
      <c r="E33" s="1045" t="e">
        <f ca="1">ROUND(C33*D33/10000,0)</f>
        <v>#DIV/0!</v>
      </c>
      <c r="F33" s="1045">
        <f>SUMIF(修正!A45:A56,G2,修正!B45:B56)</f>
        <v>0</v>
      </c>
      <c r="G33" s="1045" t="e">
        <f t="shared" ref="G33" ca="1" si="6">ROUND(IF(E2="工业",C33*$M$39,C33*$M$38),0)</f>
        <v>#DIV/0!</v>
      </c>
      <c r="H33" s="1045">
        <f>D33</f>
        <v>0</v>
      </c>
      <c r="I33" s="1045" t="e">
        <f ca="1">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9"/>
      <c r="B34" s="1443" t="s">
        <v>1000</v>
      </c>
      <c r="C34" s="1060" t="e">
        <f ca="1">ROUND(D5*C19*C20*C24*F34,0)</f>
        <v>#DIV/0!</v>
      </c>
      <c r="D34" s="1535"/>
      <c r="E34" s="1045" t="e">
        <f t="shared" ref="E34:E39" ca="1" si="7">ROUND(C34*D34/10000,0)</f>
        <v>#DIV/0!</v>
      </c>
      <c r="F34" s="1045">
        <f>SUMIF(修正!A45:A56,G2,修正!C45:C56)</f>
        <v>0</v>
      </c>
      <c r="G34" s="1045" t="e">
        <f ca="1">ROUND(IF(E2="工业",C34*$M$39,C34*$M$38),0)</f>
        <v>#DIV/0!</v>
      </c>
      <c r="H34" s="1045">
        <f t="shared" ref="H34:H39" si="8">D34</f>
        <v>0</v>
      </c>
      <c r="I34" s="1045" t="e">
        <f t="shared" ref="I34:I39" ca="1"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9"/>
      <c r="B35" s="1443" t="s">
        <v>1001</v>
      </c>
      <c r="C35" s="1060" t="e">
        <f ca="1">ROUND(D5*C19*C20*C24*F35,0)</f>
        <v>#DIV/0!</v>
      </c>
      <c r="D35" s="1535"/>
      <c r="E35" s="1045" t="e">
        <f t="shared" ca="1" si="7"/>
        <v>#DIV/0!</v>
      </c>
      <c r="F35" s="1045">
        <f>SUMIF(修正!A45:A56,G2,修正!D45:D56)</f>
        <v>0</v>
      </c>
      <c r="G35" s="1045" t="e">
        <f ca="1">ROUND(IF(E2="工业",C35*$M$39,C35*$M$38),0)</f>
        <v>#DIV/0!</v>
      </c>
      <c r="H35" s="1045">
        <f t="shared" si="8"/>
        <v>0</v>
      </c>
      <c r="I35" s="1045" t="e">
        <f t="shared" ca="1"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40"/>
      <c r="B36" s="1443" t="s">
        <v>1002</v>
      </c>
      <c r="C36" s="1060" t="e">
        <f ca="1">ROUND(D5*C19*C20*C24*F36,0)</f>
        <v>#DIV/0!</v>
      </c>
      <c r="D36" s="1535"/>
      <c r="E36" s="1045" t="e">
        <f t="shared" ca="1" si="7"/>
        <v>#DIV/0!</v>
      </c>
      <c r="F36" s="1045">
        <f>SUMIF(修正!A45:A56,G2,修正!E45:E56)</f>
        <v>0</v>
      </c>
      <c r="G36" s="1045" t="e">
        <f ca="1">ROUND(IF(E2="工业",C36*$M$39,C36*$M$38),0)</f>
        <v>#DIV/0!</v>
      </c>
      <c r="H36" s="1045">
        <f t="shared" si="8"/>
        <v>0</v>
      </c>
      <c r="I36" s="1045" t="e">
        <f t="shared" ca="1"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1003</v>
      </c>
      <c r="C37" s="1045" t="e">
        <f ca="1">ROUND(D5*C19*C20*C24*F37,0)</f>
        <v>#DIV/0!</v>
      </c>
      <c r="D37" s="1535"/>
      <c r="E37" s="1045" t="e">
        <f t="shared" ca="1" si="7"/>
        <v>#DIV/0!</v>
      </c>
      <c r="F37" s="1060">
        <f>SUMIF(修正!A45:A56,G2,修正!F45:F56)</f>
        <v>0</v>
      </c>
      <c r="G37" s="1045" t="e">
        <f ca="1">ROUND(IF(E2="工业",C37*$M$39,C37*$M$38),0)</f>
        <v>#DIV/0!</v>
      </c>
      <c r="H37" s="1045">
        <f t="shared" si="8"/>
        <v>0</v>
      </c>
      <c r="I37" s="1045" t="e">
        <f t="shared" ca="1" si="9"/>
        <v>#DIV/0!</v>
      </c>
      <c r="J37" s="1523"/>
      <c r="K37" s="1399"/>
      <c r="L37" s="1542" t="s">
        <v>1703</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1004</v>
      </c>
      <c r="C38" s="1045" t="e">
        <f ca="1">ROUND(D5*C19*C41*C24*F38,0)</f>
        <v>#DIV/0!</v>
      </c>
      <c r="D38" s="1535"/>
      <c r="E38" s="1045" t="e">
        <f t="shared" ca="1" si="7"/>
        <v>#DIV/0!</v>
      </c>
      <c r="F38" s="1060">
        <f>SUMIF(修正!A45:A56,G2,修正!G45:G56)</f>
        <v>0</v>
      </c>
      <c r="G38" s="1045" t="e">
        <f ca="1">ROUND(IF(E2="工业",C38*$M$39,C38*$M$38),0)</f>
        <v>#DIV/0!</v>
      </c>
      <c r="H38" s="1045">
        <f t="shared" si="8"/>
        <v>0</v>
      </c>
      <c r="I38" s="1045" t="e">
        <f t="shared" ca="1" si="9"/>
        <v>#DIV/0!</v>
      </c>
      <c r="J38" s="1523"/>
      <c r="K38" s="1399"/>
      <c r="L38" s="1544" t="s">
        <v>1705</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1005</v>
      </c>
      <c r="C39" s="1048" t="e">
        <f ca="1">ROUND(D5*C19*C41*C24*F39,0)</f>
        <v>#DIV/0!</v>
      </c>
      <c r="D39" s="1536"/>
      <c r="E39" s="1048" t="e">
        <f t="shared" ca="1" si="7"/>
        <v>#DIV/0!</v>
      </c>
      <c r="F39" s="1062">
        <f>SUMIF(修正!A45:A56,G2,修正!H45:H56)</f>
        <v>0</v>
      </c>
      <c r="G39" s="1048" t="e">
        <f ca="1">ROUND(IF(E2="工业",C39*$M$39,C39*$M$38),0)</f>
        <v>#DIV/0!</v>
      </c>
      <c r="H39" s="1048">
        <f t="shared" si="8"/>
        <v>0</v>
      </c>
      <c r="I39" s="1048" t="e">
        <f t="shared" ca="1" si="9"/>
        <v>#DIV/0!</v>
      </c>
      <c r="J39" s="1525"/>
      <c r="K39" s="1399"/>
      <c r="L39" s="1546" t="s">
        <v>1704</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12.75">
      <c r="A41" s="1401"/>
      <c r="B41" s="3171" t="s">
        <v>2989</v>
      </c>
      <c r="C41" s="838">
        <f ca="1">ROUND(POWER(1+E41,H41-G41)*(POWER(1+E41,G41)-1)/(POWER(1+E41,H41)-1),4)</f>
        <v>0</v>
      </c>
      <c r="D41" s="377" t="s">
        <v>2987</v>
      </c>
      <c r="E41" s="3170">
        <f ca="1">G20</f>
        <v>0.05</v>
      </c>
      <c r="F41" s="377" t="s">
        <v>2988</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5" t="s">
        <v>1006</v>
      </c>
      <c r="B44" s="2396"/>
      <c r="C44" s="2397"/>
      <c r="D44" s="2398"/>
      <c r="E44" s="2398"/>
      <c r="F44" s="2399"/>
      <c r="G44" s="1063"/>
      <c r="H44" s="2399"/>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00" t="s">
        <v>1007</v>
      </c>
      <c r="B45" s="2401">
        <f>1+E47</f>
        <v>1</v>
      </c>
      <c r="C45" s="2402"/>
      <c r="D45" s="2403"/>
      <c r="E45" s="2404"/>
      <c r="F45" s="2405"/>
      <c r="G45" s="2399"/>
      <c r="H45" s="2399"/>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1008</v>
      </c>
      <c r="B46" s="2384" t="s">
        <v>1009</v>
      </c>
      <c r="C46" s="2406" t="s">
        <v>1010</v>
      </c>
      <c r="D46" s="2407" t="s">
        <v>1011</v>
      </c>
      <c r="E46" s="2408" t="s">
        <v>1013</v>
      </c>
      <c r="F46" s="2409" t="s">
        <v>2250</v>
      </c>
      <c r="G46" s="2407" t="s">
        <v>1014</v>
      </c>
      <c r="H46" s="2390" t="s">
        <v>2418</v>
      </c>
      <c r="I46" s="2407" t="s">
        <v>1012</v>
      </c>
      <c r="J46" s="2410" t="s">
        <v>1015</v>
      </c>
      <c r="K46" s="2410" t="s">
        <v>1016</v>
      </c>
      <c r="L46" s="2410" t="s">
        <v>1017</v>
      </c>
      <c r="M46" s="2410" t="s">
        <v>1018</v>
      </c>
      <c r="N46" s="2410" t="s">
        <v>1019</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4" t="s">
        <v>1020</v>
      </c>
      <c r="B47" s="2387" t="str">
        <f>估价对象房地状况!C16</f>
        <v>估价对象位于XX商圈，周边商业氛围成熟，人流量大，商业繁华度好</v>
      </c>
      <c r="C47" s="1047"/>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1021</v>
      </c>
      <c r="B48" s="2384" t="str">
        <f>估价对象房地状况!C18</f>
        <v>估价对象周边道路状况、公共交通通达情况、停车便捷程度，综合评价交通便捷度较好</v>
      </c>
      <c r="C48" s="1047"/>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1022</v>
      </c>
      <c r="B49" s="2384">
        <f>估价对象房地状况!C19</f>
        <v>0</v>
      </c>
      <c r="C49" s="1047"/>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1023</v>
      </c>
      <c r="B50" s="3070" t="s">
        <v>2938</v>
      </c>
      <c r="C50" s="1047"/>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1024</v>
      </c>
      <c r="B51" s="2384">
        <f>估价对象房地状况!C24</f>
        <v>0</v>
      </c>
      <c r="C51" s="1047"/>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1025</v>
      </c>
      <c r="B52" s="3069" t="s">
        <v>2937</v>
      </c>
      <c r="C52" s="1047"/>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6" t="s">
        <v>1026</v>
      </c>
      <c r="B53" s="2385" t="str">
        <f>估价对象房地状况!C21</f>
        <v>估价对象所在区域公共配套设施齐备情况</v>
      </c>
      <c r="C53" s="1047"/>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6" t="s">
        <v>1027</v>
      </c>
      <c r="B54" s="2384" t="str">
        <f>估价对象房地状况!C22</f>
        <v>估价对象所在区域基础设施水平</v>
      </c>
      <c r="C54" s="1047"/>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17" t="s">
        <v>1028</v>
      </c>
      <c r="B55" s="2388" t="str">
        <f>估价对象房地状况!C20</f>
        <v>区域自然环境：；人文环境；综合评价环境状况一般</v>
      </c>
      <c r="C55" s="1047"/>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00" t="s">
        <v>1029</v>
      </c>
      <c r="B56" s="2401">
        <f>1+E58</f>
        <v>1</v>
      </c>
      <c r="C56" s="2420"/>
      <c r="D56" s="2403"/>
      <c r="E56" s="2404"/>
      <c r="F56" s="2405"/>
      <c r="G56" s="2399"/>
      <c r="H56" s="2399"/>
      <c r="I56" s="2399"/>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1008</v>
      </c>
      <c r="B57" s="2384"/>
      <c r="C57" s="2406" t="s">
        <v>1010</v>
      </c>
      <c r="D57" s="2407" t="s">
        <v>1011</v>
      </c>
      <c r="E57" s="2408" t="s">
        <v>1013</v>
      </c>
      <c r="F57" s="2409" t="s">
        <v>2251</v>
      </c>
      <c r="G57" s="2407" t="s">
        <v>1014</v>
      </c>
      <c r="H57" s="2390" t="s">
        <v>2418</v>
      </c>
      <c r="I57" s="2407" t="s">
        <v>1012</v>
      </c>
      <c r="J57" s="2410" t="s">
        <v>1015</v>
      </c>
      <c r="K57" s="2410" t="s">
        <v>1016</v>
      </c>
      <c r="L57" s="2410" t="s">
        <v>1017</v>
      </c>
      <c r="M57" s="2410" t="s">
        <v>1018</v>
      </c>
      <c r="N57" s="2410" t="s">
        <v>1019</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4" t="s">
        <v>1030</v>
      </c>
      <c r="B58" s="2387" t="str">
        <f>估价对象房地状况!C17</f>
        <v>估价对象位于XX商圈，周边办公楼项目较多，入驻率高，办公集聚程度较好</v>
      </c>
      <c r="C58" s="1047"/>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1021</v>
      </c>
      <c r="B59" s="2384" t="str">
        <f>估价对象房地状况!C18</f>
        <v>估价对象周边道路状况、公共交通通达情况、停车便捷程度，综合评价交通便捷度较好</v>
      </c>
      <c r="C59" s="1047"/>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1022</v>
      </c>
      <c r="B60" s="2384">
        <f>估价对象房地状况!C19</f>
        <v>0</v>
      </c>
      <c r="C60" s="1047"/>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1023</v>
      </c>
      <c r="B61" s="3070" t="s">
        <v>2939</v>
      </c>
      <c r="C61" s="1047"/>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1024</v>
      </c>
      <c r="B62" s="2384">
        <f>估价对象房地状况!C24</f>
        <v>0</v>
      </c>
      <c r="C62" s="1047"/>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1025</v>
      </c>
      <c r="B63" s="3069" t="s">
        <v>2937</v>
      </c>
      <c r="C63" s="1047"/>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1026</v>
      </c>
      <c r="B64" s="2385" t="str">
        <f>估价对象房地状况!C21</f>
        <v>估价对象所在区域公共配套设施齐备情况</v>
      </c>
      <c r="C64" s="1047"/>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1027</v>
      </c>
      <c r="B65" s="2385" t="str">
        <f>估价对象房地状况!C22</f>
        <v>估价对象所在区域基础设施水平</v>
      </c>
      <c r="C65" s="1047"/>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17" t="s">
        <v>1028</v>
      </c>
      <c r="B66" s="2389" t="str">
        <f>估价对象房地状况!C20</f>
        <v>区域自然环境：；人文环境；综合评价环境状况一般</v>
      </c>
      <c r="C66" s="1047"/>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00" t="s">
        <v>1031</v>
      </c>
      <c r="B67" s="2401">
        <f>1+E69</f>
        <v>1</v>
      </c>
      <c r="C67" s="2420"/>
      <c r="D67" s="2403"/>
      <c r="E67" s="2404"/>
      <c r="F67" s="2405"/>
      <c r="G67" s="2399"/>
      <c r="H67" s="2399"/>
      <c r="I67" s="2399"/>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1008</v>
      </c>
      <c r="B68" s="2384"/>
      <c r="C68" s="2406" t="s">
        <v>1010</v>
      </c>
      <c r="D68" s="2407" t="s">
        <v>1011</v>
      </c>
      <c r="E68" s="2408" t="s">
        <v>1013</v>
      </c>
      <c r="F68" s="2409" t="s">
        <v>2252</v>
      </c>
      <c r="G68" s="2407" t="s">
        <v>1014</v>
      </c>
      <c r="H68" s="2390" t="s">
        <v>2418</v>
      </c>
      <c r="I68" s="2407" t="s">
        <v>1012</v>
      </c>
      <c r="J68" s="2410" t="s">
        <v>1015</v>
      </c>
      <c r="K68" s="2410" t="s">
        <v>1016</v>
      </c>
      <c r="L68" s="2410" t="s">
        <v>1017</v>
      </c>
      <c r="M68" s="2410" t="s">
        <v>1018</v>
      </c>
      <c r="N68" s="2410" t="s">
        <v>1019</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1032</v>
      </c>
      <c r="B69" s="2387" t="str">
        <f>估价对象房地状况!C15</f>
        <v>估价对象周边居住用地比例、居住小区规模和社区发展完善程度，综合评价居住社区成熟度一般</v>
      </c>
      <c r="C69" s="1156"/>
      <c r="D69" s="2393">
        <f t="shared" ref="D69:D77" si="20">SUMIF($J$68:$N$68,C69,J69:N69)</f>
        <v>0</v>
      </c>
      <c r="E69" s="2412">
        <f>ROUND(SUM(D69:D77),4)</f>
        <v>0</v>
      </c>
      <c r="F69" s="2413">
        <f>IF(E2="住宅",SUMIF(L1:L12,G2,N1:N12),"——")</f>
        <v>0</v>
      </c>
      <c r="G69" s="2394"/>
      <c r="H69" s="2438">
        <f t="shared" ref="H69:H77" si="21">IFERROR(ROUNDDOWN($F$69*I69/2,4),"——")</f>
        <v>0</v>
      </c>
      <c r="I69" s="2411">
        <v>0.14000000000000001</v>
      </c>
      <c r="J69" s="2414">
        <f t="shared" ref="J69:J77" si="22">K69+$G69</f>
        <v>0</v>
      </c>
      <c r="K69" s="2414">
        <f t="shared" ref="K69:K77" si="23">$L69+$G69</f>
        <v>0</v>
      </c>
      <c r="L69" s="2414">
        <v>0</v>
      </c>
      <c r="M69" s="2414">
        <f t="shared" ref="M69:N77" si="24">L69-$G69</f>
        <v>0</v>
      </c>
      <c r="N69" s="2414">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1033</v>
      </c>
      <c r="B70" s="2384" t="str">
        <f>估价对象房地状况!C18</f>
        <v>估价对象周边道路状况、公共交通通达情况、停车便捷程度，综合评价交通便捷度较好</v>
      </c>
      <c r="C70" s="1156"/>
      <c r="D70" s="2393">
        <f t="shared" si="20"/>
        <v>0</v>
      </c>
      <c r="E70" s="2421"/>
      <c r="F70" s="2422"/>
      <c r="G70" s="2394"/>
      <c r="H70" s="2438">
        <f t="shared" si="21"/>
        <v>0</v>
      </c>
      <c r="I70" s="2411">
        <v>0.3</v>
      </c>
      <c r="J70" s="2414">
        <f t="shared" si="22"/>
        <v>0</v>
      </c>
      <c r="K70" s="2414">
        <f t="shared" si="23"/>
        <v>0</v>
      </c>
      <c r="L70" s="2414">
        <v>0</v>
      </c>
      <c r="M70" s="2414">
        <f t="shared" si="24"/>
        <v>0</v>
      </c>
      <c r="N70" s="2414">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1022</v>
      </c>
      <c r="B71" s="2384">
        <f>估价对象房地状况!C19</f>
        <v>0</v>
      </c>
      <c r="C71" s="1156"/>
      <c r="D71" s="2393">
        <f t="shared" si="20"/>
        <v>0</v>
      </c>
      <c r="E71" s="2421"/>
      <c r="F71" s="2422"/>
      <c r="G71" s="2394"/>
      <c r="H71" s="2438">
        <f t="shared" si="21"/>
        <v>0</v>
      </c>
      <c r="I71" s="2411">
        <v>0.08</v>
      </c>
      <c r="J71" s="2414">
        <f t="shared" si="22"/>
        <v>0</v>
      </c>
      <c r="K71" s="2414">
        <f t="shared" si="23"/>
        <v>0</v>
      </c>
      <c r="L71" s="2414">
        <v>0</v>
      </c>
      <c r="M71" s="2414">
        <f t="shared" si="24"/>
        <v>0</v>
      </c>
      <c r="N71" s="2414">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1034</v>
      </c>
      <c r="B72" s="2384">
        <f>估价对象房地状况!C24</f>
        <v>0</v>
      </c>
      <c r="C72" s="1156"/>
      <c r="D72" s="2393">
        <f t="shared" si="20"/>
        <v>0</v>
      </c>
      <c r="E72" s="2421"/>
      <c r="F72" s="2422"/>
      <c r="G72" s="2394"/>
      <c r="H72" s="2438">
        <f t="shared" si="21"/>
        <v>0</v>
      </c>
      <c r="I72" s="2411">
        <v>0.04</v>
      </c>
      <c r="J72" s="2414">
        <f t="shared" si="22"/>
        <v>0</v>
      </c>
      <c r="K72" s="2414">
        <f t="shared" si="23"/>
        <v>0</v>
      </c>
      <c r="L72" s="2414">
        <v>0</v>
      </c>
      <c r="M72" s="2414">
        <f t="shared" si="24"/>
        <v>0</v>
      </c>
      <c r="N72" s="2414">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1026</v>
      </c>
      <c r="B73" s="2385" t="str">
        <f>估价对象房地状况!C21</f>
        <v>估价对象所在区域公共配套设施齐备情况</v>
      </c>
      <c r="C73" s="1156"/>
      <c r="D73" s="2393">
        <f t="shared" si="20"/>
        <v>0</v>
      </c>
      <c r="E73" s="2421"/>
      <c r="F73" s="2422"/>
      <c r="G73" s="2394"/>
      <c r="H73" s="2438">
        <f t="shared" si="21"/>
        <v>0</v>
      </c>
      <c r="I73" s="2411">
        <v>0.08</v>
      </c>
      <c r="J73" s="2414">
        <f t="shared" si="22"/>
        <v>0</v>
      </c>
      <c r="K73" s="2414">
        <f t="shared" si="23"/>
        <v>0</v>
      </c>
      <c r="L73" s="2414">
        <v>0</v>
      </c>
      <c r="M73" s="2414">
        <f t="shared" si="24"/>
        <v>0</v>
      </c>
      <c r="N73" s="2414">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1027</v>
      </c>
      <c r="B74" s="2385" t="str">
        <f>估价对象房地状况!C22</f>
        <v>估价对象所在区域基础设施水平</v>
      </c>
      <c r="C74" s="1156"/>
      <c r="D74" s="2393">
        <f t="shared" si="20"/>
        <v>0</v>
      </c>
      <c r="E74" s="2421"/>
      <c r="F74" s="2422"/>
      <c r="G74" s="2394"/>
      <c r="H74" s="2438">
        <f t="shared" si="21"/>
        <v>0</v>
      </c>
      <c r="I74" s="2411">
        <v>0.12</v>
      </c>
      <c r="J74" s="2414">
        <f t="shared" si="22"/>
        <v>0</v>
      </c>
      <c r="K74" s="2414">
        <f t="shared" si="23"/>
        <v>0</v>
      </c>
      <c r="L74" s="2414">
        <v>0</v>
      </c>
      <c r="M74" s="2414">
        <f t="shared" si="24"/>
        <v>0</v>
      </c>
      <c r="N74" s="2414">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1025</v>
      </c>
      <c r="B75" s="3069" t="s">
        <v>2937</v>
      </c>
      <c r="C75" s="1156"/>
      <c r="D75" s="2393">
        <f t="shared" si="20"/>
        <v>0</v>
      </c>
      <c r="E75" s="2421"/>
      <c r="F75" s="2422"/>
      <c r="G75" s="2394"/>
      <c r="H75" s="2438">
        <f t="shared" si="21"/>
        <v>0</v>
      </c>
      <c r="I75" s="2411">
        <v>0.05</v>
      </c>
      <c r="J75" s="2414">
        <f t="shared" si="22"/>
        <v>0</v>
      </c>
      <c r="K75" s="2414">
        <f t="shared" si="23"/>
        <v>0</v>
      </c>
      <c r="L75" s="2414">
        <v>0</v>
      </c>
      <c r="M75" s="2414">
        <f t="shared" si="24"/>
        <v>0</v>
      </c>
      <c r="N75" s="2414">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1028</v>
      </c>
      <c r="B76" s="2387" t="str">
        <f>估价对象房地状况!C20</f>
        <v>区域自然环境：；人文环境；综合评价环境状况一般</v>
      </c>
      <c r="C76" s="1156"/>
      <c r="D76" s="2393">
        <f t="shared" si="20"/>
        <v>0</v>
      </c>
      <c r="E76" s="2421"/>
      <c r="F76" s="2422"/>
      <c r="G76" s="2394"/>
      <c r="H76" s="2438">
        <f t="shared" si="21"/>
        <v>0</v>
      </c>
      <c r="I76" s="2411">
        <v>0.15</v>
      </c>
      <c r="J76" s="2414">
        <f t="shared" si="22"/>
        <v>0</v>
      </c>
      <c r="K76" s="2414">
        <f t="shared" si="23"/>
        <v>0</v>
      </c>
      <c r="L76" s="2414">
        <v>0</v>
      </c>
      <c r="M76" s="2414">
        <f t="shared" si="24"/>
        <v>0</v>
      </c>
      <c r="N76" s="2414">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17" t="s">
        <v>1035</v>
      </c>
      <c r="B77" s="1848"/>
      <c r="C77" s="1156"/>
      <c r="D77" s="2393">
        <f t="shared" si="20"/>
        <v>0</v>
      </c>
      <c r="E77" s="2423"/>
      <c r="F77" s="2422"/>
      <c r="G77" s="2394"/>
      <c r="H77" s="2438">
        <f t="shared" si="21"/>
        <v>0</v>
      </c>
      <c r="I77" s="2418">
        <v>0.04</v>
      </c>
      <c r="J77" s="2414">
        <f t="shared" si="22"/>
        <v>0</v>
      </c>
      <c r="K77" s="2414">
        <f t="shared" si="23"/>
        <v>0</v>
      </c>
      <c r="L77" s="2414">
        <v>0</v>
      </c>
      <c r="M77" s="2414">
        <f t="shared" si="24"/>
        <v>0</v>
      </c>
      <c r="N77" s="2414">
        <f t="shared" si="24"/>
        <v>0</v>
      </c>
      <c r="AC77" s="1403"/>
      <c r="AD77" s="1402"/>
      <c r="AJ77" s="1401"/>
      <c r="AN77" s="1402"/>
    </row>
    <row r="78" spans="1:40" ht="15">
      <c r="A78" s="2400" t="s">
        <v>1036</v>
      </c>
      <c r="B78" s="2401">
        <f>1+E80</f>
        <v>1</v>
      </c>
      <c r="C78" s="2420"/>
      <c r="D78" s="2403"/>
      <c r="E78" s="2404"/>
      <c r="F78" s="2405"/>
      <c r="G78" s="2399"/>
      <c r="H78" s="2399"/>
      <c r="I78" s="2399"/>
      <c r="J78" s="1063"/>
      <c r="K78" s="1063"/>
      <c r="L78" s="1063"/>
      <c r="M78" s="1063"/>
      <c r="N78" s="1063"/>
      <c r="AC78" s="1403"/>
      <c r="AD78" s="1402"/>
      <c r="AJ78" s="1401"/>
      <c r="AN78" s="1402"/>
    </row>
    <row r="79" spans="1:40" ht="24">
      <c r="A79" s="1064" t="s">
        <v>1008</v>
      </c>
      <c r="B79" s="2384"/>
      <c r="C79" s="2406" t="s">
        <v>1010</v>
      </c>
      <c r="D79" s="2407" t="s">
        <v>1011</v>
      </c>
      <c r="E79" s="2408" t="s">
        <v>1013</v>
      </c>
      <c r="F79" s="2409" t="s">
        <v>2253</v>
      </c>
      <c r="G79" s="2407" t="s">
        <v>1014</v>
      </c>
      <c r="H79" s="2390" t="s">
        <v>2418</v>
      </c>
      <c r="I79" s="2407" t="s">
        <v>1012</v>
      </c>
      <c r="J79" s="2410" t="s">
        <v>1015</v>
      </c>
      <c r="K79" s="2410" t="s">
        <v>1016</v>
      </c>
      <c r="L79" s="2410" t="s">
        <v>1017</v>
      </c>
      <c r="M79" s="2410" t="s">
        <v>1018</v>
      </c>
      <c r="N79" s="2410" t="s">
        <v>1019</v>
      </c>
      <c r="AC79" s="1403"/>
      <c r="AD79" s="1402"/>
      <c r="AJ79" s="1401"/>
      <c r="AN79" s="1402"/>
    </row>
    <row r="80" spans="1:40" ht="36">
      <c r="A80" s="1064" t="s">
        <v>1037</v>
      </c>
      <c r="B80" s="2384" t="str">
        <f>估价对象房地状况!G15</f>
        <v>估价对象位于XX开发区，园区建设成熟度XX，产业集聚程度XX</v>
      </c>
      <c r="C80" s="1047"/>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3"/>
      <c r="AD80" s="1402"/>
      <c r="AJ80" s="1401"/>
      <c r="AN80" s="1402"/>
    </row>
    <row r="81" spans="1:40" ht="48">
      <c r="A81" s="1064" t="s">
        <v>1033</v>
      </c>
      <c r="B81" s="2384" t="str">
        <f>估价对象房地状况!G16</f>
        <v>估价对象周边道路状况、公共交通通达情况、停车便捷程度，综合评价交通便捷度较好</v>
      </c>
      <c r="C81" s="1047"/>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3"/>
      <c r="AD81" s="1402"/>
      <c r="AJ81" s="1401"/>
      <c r="AN81" s="1402"/>
    </row>
    <row r="82" spans="1:40" ht="24">
      <c r="A82" s="1064" t="s">
        <v>1022</v>
      </c>
      <c r="B82" s="2384">
        <f>估价对象房地状况!G17</f>
        <v>0</v>
      </c>
      <c r="C82" s="1047"/>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3"/>
      <c r="AD82" s="1402"/>
      <c r="AJ82" s="1401"/>
      <c r="AN82" s="1402"/>
    </row>
    <row r="83" spans="1:40" ht="14.25">
      <c r="A83" s="1064" t="s">
        <v>1034</v>
      </c>
      <c r="B83" s="2384">
        <f>估价对象房地状况!G22</f>
        <v>0</v>
      </c>
      <c r="C83" s="1047"/>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3"/>
      <c r="AD83" s="1402"/>
      <c r="AJ83" s="1401"/>
      <c r="AN83" s="1402"/>
    </row>
    <row r="84" spans="1:40" ht="24">
      <c r="A84" s="1064" t="s">
        <v>1026</v>
      </c>
      <c r="B84" s="2385" t="str">
        <f>估价对象房地状况!G19</f>
        <v>估价对象所在区域公共配套设施齐备情况</v>
      </c>
      <c r="C84" s="1047"/>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3"/>
      <c r="AD84" s="1402"/>
      <c r="AJ84" s="1401"/>
      <c r="AN84" s="1402"/>
    </row>
    <row r="85" spans="1:40" ht="24">
      <c r="A85" s="1064" t="s">
        <v>1027</v>
      </c>
      <c r="B85" s="2385" t="str">
        <f>估价对象房地状况!G20</f>
        <v>估价对象所在区域基础设施水平</v>
      </c>
      <c r="C85" s="1047"/>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3"/>
      <c r="AD85" s="1402"/>
      <c r="AJ85" s="1401"/>
      <c r="AN85" s="1402"/>
    </row>
    <row r="86" spans="1:40" ht="24">
      <c r="A86" s="1064" t="s">
        <v>1025</v>
      </c>
      <c r="B86" s="3069" t="s">
        <v>2937</v>
      </c>
      <c r="C86" s="1047"/>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3"/>
      <c r="AD86" s="1402"/>
      <c r="AJ86" s="1401"/>
      <c r="AN86" s="1402"/>
    </row>
    <row r="87" spans="1:40" ht="36.75" thickBot="1">
      <c r="A87" s="2417" t="s">
        <v>1038</v>
      </c>
      <c r="B87" s="2386" t="str">
        <f>估价对象房地状况!G18</f>
        <v>该园区内是否有污染型企业，绿化情况，卫生条件，整体环境状况判断</v>
      </c>
      <c r="C87" s="1047"/>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3"/>
      <c r="AD87" s="1402"/>
      <c r="AJ87" s="1401"/>
      <c r="AN87" s="1402"/>
    </row>
    <row r="90" spans="1:40">
      <c r="A90" s="3436" t="s">
        <v>1633</v>
      </c>
      <c r="B90" s="3436"/>
      <c r="C90" s="3436"/>
      <c r="D90" s="3436"/>
      <c r="E90" s="3436"/>
      <c r="F90" s="3436"/>
      <c r="G90" s="3436"/>
      <c r="H90" s="3436"/>
      <c r="I90" s="3436"/>
      <c r="J90" s="3436"/>
      <c r="K90" s="2426"/>
      <c r="L90" s="2426"/>
      <c r="M90" s="2426"/>
      <c r="N90" s="2426"/>
    </row>
    <row r="91" spans="1:40">
      <c r="A91" s="3437" t="s">
        <v>1443</v>
      </c>
      <c r="B91" s="3437" t="s">
        <v>1634</v>
      </c>
      <c r="C91" s="1137" t="s">
        <v>1635</v>
      </c>
      <c r="D91" s="1138"/>
      <c r="E91" s="1138"/>
      <c r="F91" s="1138"/>
      <c r="G91" s="1138"/>
      <c r="H91" s="1138"/>
      <c r="I91" s="1138"/>
      <c r="J91" s="1139"/>
      <c r="K91" s="1131"/>
      <c r="L91" s="1131"/>
      <c r="M91" s="1131"/>
      <c r="N91" s="1131"/>
    </row>
    <row r="92" spans="1:40">
      <c r="A92" s="3437"/>
      <c r="B92" s="3437"/>
      <c r="C92" s="2425" t="s">
        <v>906</v>
      </c>
      <c r="D92" s="2425" t="s">
        <v>884</v>
      </c>
      <c r="E92" s="2425" t="s">
        <v>885</v>
      </c>
      <c r="F92" s="2425" t="s">
        <v>909</v>
      </c>
      <c r="G92" s="2425" t="s">
        <v>887</v>
      </c>
      <c r="H92" s="2425" t="s">
        <v>888</v>
      </c>
      <c r="I92" s="2425" t="s">
        <v>889</v>
      </c>
      <c r="J92" s="2425" t="s">
        <v>890</v>
      </c>
      <c r="K92" s="2425" t="s">
        <v>914</v>
      </c>
      <c r="L92" s="2425" t="s">
        <v>892</v>
      </c>
      <c r="M92" s="2425" t="s">
        <v>893</v>
      </c>
      <c r="N92" s="2425" t="s">
        <v>917</v>
      </c>
    </row>
    <row r="93" spans="1:40">
      <c r="A93" s="3444" t="s">
        <v>2763</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5"/>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5"/>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5"/>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5"/>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5"/>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5"/>
      <c r="B99" s="1140" t="s">
        <v>1636</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6"/>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4" t="s">
        <v>1637</v>
      </c>
      <c r="B101" s="1144" t="s">
        <v>905</v>
      </c>
      <c r="C101" s="1145">
        <f>$G$3</f>
        <v>2.5</v>
      </c>
      <c r="D101" s="1145">
        <f t="shared" ref="D101:N101" si="31">$G$3</f>
        <v>2.5</v>
      </c>
      <c r="E101" s="1145">
        <f t="shared" si="31"/>
        <v>2.5</v>
      </c>
      <c r="F101" s="1145">
        <f t="shared" si="31"/>
        <v>2.5</v>
      </c>
      <c r="G101" s="1145">
        <f t="shared" si="31"/>
        <v>2.5</v>
      </c>
      <c r="H101" s="1145">
        <f t="shared" si="31"/>
        <v>2.5</v>
      </c>
      <c r="I101" s="1145">
        <f t="shared" si="31"/>
        <v>2.5</v>
      </c>
      <c r="J101" s="1145">
        <f t="shared" si="31"/>
        <v>2.5</v>
      </c>
      <c r="K101" s="1145">
        <f t="shared" si="31"/>
        <v>2.5</v>
      </c>
      <c r="L101" s="1145">
        <f t="shared" si="31"/>
        <v>2.5</v>
      </c>
      <c r="M101" s="1145">
        <f t="shared" si="31"/>
        <v>2.5</v>
      </c>
      <c r="N101" s="1145">
        <f t="shared" si="31"/>
        <v>2.5</v>
      </c>
    </row>
    <row r="102" spans="1:14">
      <c r="A102" s="3445"/>
      <c r="B102" s="1140">
        <v>1</v>
      </c>
      <c r="C102" s="1141">
        <f>1.9362/C101</f>
        <v>0.77447999999999995</v>
      </c>
      <c r="D102" s="1141">
        <f>1.9362/D101</f>
        <v>0.77447999999999995</v>
      </c>
      <c r="E102" s="1141">
        <f>1.8629/E101</f>
        <v>0.74516000000000004</v>
      </c>
      <c r="F102" s="1141">
        <f>1.8629/F101</f>
        <v>0.74516000000000004</v>
      </c>
      <c r="G102" s="1141">
        <f>1.8629/G101</f>
        <v>0.74516000000000004</v>
      </c>
      <c r="H102" s="1141">
        <f>1.8629/H101</f>
        <v>0.74516000000000004</v>
      </c>
      <c r="I102" s="1141">
        <f>1.8629/I101</f>
        <v>0.74516000000000004</v>
      </c>
      <c r="J102" s="1141">
        <f>1.942/J101</f>
        <v>0.77679999999999993</v>
      </c>
      <c r="K102" s="1141">
        <f>1.942/K101</f>
        <v>0.77679999999999993</v>
      </c>
      <c r="L102" s="1141">
        <f>1.942/L101</f>
        <v>0.77679999999999993</v>
      </c>
      <c r="M102" s="1141">
        <f>1.942/M101</f>
        <v>0.77679999999999993</v>
      </c>
      <c r="N102" s="1141">
        <f>1.942/N101</f>
        <v>0.77679999999999993</v>
      </c>
    </row>
    <row r="103" spans="1:14">
      <c r="A103" s="3445"/>
      <c r="B103" s="1140">
        <v>2</v>
      </c>
      <c r="C103" s="1141">
        <f>1.4198/C101</f>
        <v>0.56791999999999998</v>
      </c>
      <c r="D103" s="1141">
        <f>1.4198/D101</f>
        <v>0.56791999999999998</v>
      </c>
      <c r="E103" s="1141">
        <f>1.3372/E101</f>
        <v>0.53488000000000002</v>
      </c>
      <c r="F103" s="1141">
        <f>1.3372/F101</f>
        <v>0.53488000000000002</v>
      </c>
      <c r="G103" s="1141">
        <f>1.3372/G101</f>
        <v>0.53488000000000002</v>
      </c>
      <c r="H103" s="1141">
        <f>1.3372/H101</f>
        <v>0.53488000000000002</v>
      </c>
      <c r="I103" s="1141">
        <f>1.3372/I101</f>
        <v>0.53488000000000002</v>
      </c>
      <c r="J103" s="1141">
        <f>1.2799/J101</f>
        <v>0.51195999999999997</v>
      </c>
      <c r="K103" s="1141">
        <f>1.2799/K101</f>
        <v>0.51195999999999997</v>
      </c>
      <c r="L103" s="1141">
        <f>1.2799/L101</f>
        <v>0.51195999999999997</v>
      </c>
      <c r="M103" s="1141">
        <f>1.2799/M101</f>
        <v>0.51195999999999997</v>
      </c>
      <c r="N103" s="1141">
        <f>1.2799/N101</f>
        <v>0.51195999999999997</v>
      </c>
    </row>
    <row r="104" spans="1:14">
      <c r="A104" s="3445"/>
      <c r="B104" s="1140">
        <v>3</v>
      </c>
      <c r="C104" s="1141">
        <f>1.1594/C101</f>
        <v>0.46376000000000001</v>
      </c>
      <c r="D104" s="1141">
        <f>1.1594/D101</f>
        <v>0.46376000000000001</v>
      </c>
      <c r="E104" s="1141">
        <f>1.0788/E101</f>
        <v>0.43152000000000001</v>
      </c>
      <c r="F104" s="1141">
        <f>1.0788/F101</f>
        <v>0.43152000000000001</v>
      </c>
      <c r="G104" s="1141">
        <f>1.0788/G101</f>
        <v>0.43152000000000001</v>
      </c>
      <c r="H104" s="1141">
        <f>1.0788/H101</f>
        <v>0.43152000000000001</v>
      </c>
      <c r="I104" s="1141">
        <f>1.0788/I101</f>
        <v>0.43152000000000001</v>
      </c>
      <c r="J104" s="1141">
        <f>1.0072/J101</f>
        <v>0.40288000000000002</v>
      </c>
      <c r="K104" s="1141">
        <f>1.0072/K101</f>
        <v>0.40288000000000002</v>
      </c>
      <c r="L104" s="1141">
        <f>1.0072/L101</f>
        <v>0.40288000000000002</v>
      </c>
      <c r="M104" s="1141">
        <f>1.0072/M101</f>
        <v>0.40288000000000002</v>
      </c>
      <c r="N104" s="1141">
        <f>1.0072/N101</f>
        <v>0.40288000000000002</v>
      </c>
    </row>
    <row r="105" spans="1:14">
      <c r="A105" s="3445"/>
      <c r="B105" s="1140">
        <v>4</v>
      </c>
      <c r="C105" s="1141">
        <f>0.9622/C101</f>
        <v>0.38488</v>
      </c>
      <c r="D105" s="1141">
        <f>0.9622/D101</f>
        <v>0.38488</v>
      </c>
      <c r="E105" s="1141">
        <f>0.8656/E101</f>
        <v>0.34623999999999999</v>
      </c>
      <c r="F105" s="1141">
        <f>0.8656/F101</f>
        <v>0.34623999999999999</v>
      </c>
      <c r="G105" s="1141">
        <f>0.8656/G101</f>
        <v>0.34623999999999999</v>
      </c>
      <c r="H105" s="1141">
        <f>0.8656/H101</f>
        <v>0.34623999999999999</v>
      </c>
      <c r="I105" s="1141">
        <f>0.8656/I101</f>
        <v>0.34623999999999999</v>
      </c>
      <c r="J105" s="1141">
        <f>0.7525/J101</f>
        <v>0.30099999999999999</v>
      </c>
      <c r="K105" s="1141">
        <f>0.7525/K101</f>
        <v>0.30099999999999999</v>
      </c>
      <c r="L105" s="1141">
        <f>0.7525/L101</f>
        <v>0.30099999999999999</v>
      </c>
      <c r="M105" s="1141">
        <f>0.7525/M101</f>
        <v>0.30099999999999999</v>
      </c>
      <c r="N105" s="1141">
        <f>0.7525/N101</f>
        <v>0.30099999999999999</v>
      </c>
    </row>
    <row r="106" spans="1:14">
      <c r="A106" s="3445"/>
      <c r="B106" s="1140">
        <v>5</v>
      </c>
      <c r="C106" s="1141">
        <f>0.8417/C101</f>
        <v>0.33667999999999998</v>
      </c>
      <c r="D106" s="1141">
        <f>0.8417/D101</f>
        <v>0.33667999999999998</v>
      </c>
      <c r="E106" s="1141">
        <f>0.7371/E101</f>
        <v>0.29483999999999999</v>
      </c>
      <c r="F106" s="1141">
        <f>0.7371/F101</f>
        <v>0.29483999999999999</v>
      </c>
      <c r="G106" s="1141">
        <f>0.7371/G101</f>
        <v>0.29483999999999999</v>
      </c>
      <c r="H106" s="1141">
        <f>0.7371/H101</f>
        <v>0.29483999999999999</v>
      </c>
      <c r="I106" s="1141">
        <f>0.7371/I101</f>
        <v>0.29483999999999999</v>
      </c>
      <c r="J106" s="1141">
        <f>0.5659/J101</f>
        <v>0.22635999999999998</v>
      </c>
      <c r="K106" s="1141">
        <f>0.5659/K101</f>
        <v>0.22635999999999998</v>
      </c>
      <c r="L106" s="1141">
        <f>0.5659/L101</f>
        <v>0.22635999999999998</v>
      </c>
      <c r="M106" s="1141">
        <f>0.5659/M101</f>
        <v>0.22635999999999998</v>
      </c>
      <c r="N106" s="1141">
        <f>0.5659/N101</f>
        <v>0.22635999999999998</v>
      </c>
    </row>
    <row r="107" spans="1:14">
      <c r="A107" s="3445"/>
      <c r="B107" s="1140">
        <v>6</v>
      </c>
      <c r="C107" s="1141">
        <f>0.7608/C101</f>
        <v>0.30432000000000003</v>
      </c>
      <c r="D107" s="1141">
        <f>0.7608/D101</f>
        <v>0.30432000000000003</v>
      </c>
      <c r="E107" s="1141">
        <f>0.6482/E101</f>
        <v>0.25928000000000001</v>
      </c>
      <c r="F107" s="1141">
        <f>0.6482/F101</f>
        <v>0.25928000000000001</v>
      </c>
      <c r="G107" s="1141">
        <f>0.6482/G101</f>
        <v>0.25928000000000001</v>
      </c>
      <c r="H107" s="1141">
        <f>0.6482/H101</f>
        <v>0.25928000000000001</v>
      </c>
      <c r="I107" s="1141">
        <f>0.6482/I101</f>
        <v>0.25928000000000001</v>
      </c>
      <c r="J107" s="1141">
        <f>0.4525/J101</f>
        <v>0.18099999999999999</v>
      </c>
      <c r="K107" s="1141">
        <f>0.4525/K101</f>
        <v>0.18099999999999999</v>
      </c>
      <c r="L107" s="1141">
        <f>0.4525/L101</f>
        <v>0.18099999999999999</v>
      </c>
      <c r="M107" s="1141">
        <f>0.4525/M101</f>
        <v>0.18099999999999999</v>
      </c>
      <c r="N107" s="1141">
        <f>0.4525/N101</f>
        <v>0.18099999999999999</v>
      </c>
    </row>
    <row r="108" spans="1:14">
      <c r="A108" s="3445"/>
      <c r="B108" s="3447" t="s">
        <v>1638</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6"/>
      <c r="B109" s="3448"/>
      <c r="C109" s="1143">
        <f>(-0.163*(C108^2)-0.59*C108+7617)*(10^(-4))/C101</f>
        <v>0.30407392</v>
      </c>
      <c r="D109" s="1143">
        <f>(-0.163*(D108^2)-0.59*D108+7617)*(10^(-4))/D101</f>
        <v>0.30407392</v>
      </c>
      <c r="E109" s="1143">
        <f>(-0.161*(E108^2)-7.509*E108+6533)*(10^(-4))/E101</f>
        <v>0.25850496000000001</v>
      </c>
      <c r="F109" s="1143">
        <f>(-0.161*(F108^2)-7.509*F108+6533)*(10^(-4))/F101</f>
        <v>0.25850496000000001</v>
      </c>
      <c r="G109" s="1143">
        <f>(-0.161*(G108^2)-7.509*G108+6533)*(10^(-4))/G101</f>
        <v>0.25850496000000001</v>
      </c>
      <c r="H109" s="1143">
        <f>(-0.161*(H108^2)-7.509*H108+6533)*(10^(-4))/H101</f>
        <v>0.25850496000000001</v>
      </c>
      <c r="I109" s="1143">
        <f>(-0.161*(I108^2)-7.509*I108+6533)*(10^(-4))/I101</f>
        <v>0.25850496000000001</v>
      </c>
      <c r="J109" s="1143">
        <f>(-0.214*(J108^2)-21.991*J108+4665)*(10^(-4))/J101</f>
        <v>0.17901504000000001</v>
      </c>
      <c r="K109" s="1143">
        <f>(-0.214*(K108^2)-21.991*K108+4665)*(10^(-4))/K101</f>
        <v>0.17901504000000001</v>
      </c>
      <c r="L109" s="1143">
        <f>(-0.214*(L108^2)-21.991*L108+4665)*(10^(-4))/L101</f>
        <v>0.17901504000000001</v>
      </c>
      <c r="M109" s="1143">
        <f>(-0.214*(M108^2)-21.991*M108+4665)*(10^(-4))/M101</f>
        <v>0.17901504000000001</v>
      </c>
      <c r="N109" s="1143">
        <f>(-0.214*(N108^2)-21.991*N108+4665)*(10^(-4))/N101</f>
        <v>0.17901504000000001</v>
      </c>
    </row>
    <row r="110" spans="1:14">
      <c r="A110" s="3431" t="s">
        <v>1639</v>
      </c>
      <c r="B110" s="3431"/>
      <c r="C110" s="3431"/>
      <c r="D110" s="3431"/>
      <c r="E110" s="3431"/>
      <c r="F110" s="3431"/>
      <c r="G110" s="3431"/>
      <c r="H110" s="3431"/>
      <c r="I110" s="3431"/>
      <c r="J110" s="3431"/>
      <c r="K110" s="2424"/>
      <c r="L110" s="2424"/>
      <c r="M110" s="2424"/>
      <c r="N110" s="2424"/>
    </row>
    <row r="112" spans="1:14" ht="12.75" thickBot="1"/>
    <row r="113" spans="1:13" ht="25.5" thickBot="1">
      <c r="A113" s="1013" t="s">
        <v>895</v>
      </c>
      <c r="B113" s="2427">
        <f>G3</f>
        <v>2.5</v>
      </c>
      <c r="C113" s="1014" t="s">
        <v>896</v>
      </c>
      <c r="D113" s="1015">
        <f>SUMPRODUCT((A115:A118=F113)*(B114:M114=H113)*B115:M118)</f>
        <v>0</v>
      </c>
      <c r="E113" s="1016" t="s">
        <v>897</v>
      </c>
      <c r="F113" s="1017" t="str">
        <f>E2</f>
        <v>住宅</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v>
      </c>
      <c r="C115" s="1027">
        <f>B115</f>
        <v>0.91</v>
      </c>
      <c r="D115" s="1027">
        <f>ROUND(0.8331-0.0109*B113,4)</f>
        <v>0.80589999999999995</v>
      </c>
      <c r="E115" s="1027">
        <f>D115</f>
        <v>0.80589999999999995</v>
      </c>
      <c r="F115" s="1027">
        <f>E115</f>
        <v>0.80589999999999995</v>
      </c>
      <c r="G115" s="1027">
        <f>F115</f>
        <v>0.80589999999999995</v>
      </c>
      <c r="H115" s="1027">
        <f>G115</f>
        <v>0.80589999999999995</v>
      </c>
      <c r="I115" s="1027">
        <f>ROUND(0.689-0.0155*B113,4)</f>
        <v>0.65029999999999999</v>
      </c>
      <c r="J115" s="1027">
        <f t="shared" ref="J115:M118" si="33">I115</f>
        <v>0.65029999999999999</v>
      </c>
      <c r="K115" s="1027">
        <f t="shared" si="33"/>
        <v>0.65029999999999999</v>
      </c>
      <c r="L115" s="1027">
        <f t="shared" si="33"/>
        <v>0.65029999999999999</v>
      </c>
      <c r="M115" s="1028">
        <f t="shared" si="33"/>
        <v>0.65029999999999999</v>
      </c>
    </row>
    <row r="116" spans="1:13" ht="12.75">
      <c r="A116" s="1026" t="s">
        <v>900</v>
      </c>
      <c r="B116" s="1027">
        <f>ROUND(0.949-0.012*B113,4)</f>
        <v>0.91900000000000004</v>
      </c>
      <c r="C116" s="1027">
        <f>B116</f>
        <v>0.91900000000000004</v>
      </c>
      <c r="D116" s="1027">
        <f>ROUND(0.8567-0.013*B113,4)</f>
        <v>0.82420000000000004</v>
      </c>
      <c r="E116" s="1027">
        <f t="shared" ref="E116:H117" si="34">D116</f>
        <v>0.82420000000000004</v>
      </c>
      <c r="F116" s="1027">
        <f t="shared" si="34"/>
        <v>0.82420000000000004</v>
      </c>
      <c r="G116" s="1027">
        <f t="shared" si="34"/>
        <v>0.82420000000000004</v>
      </c>
      <c r="H116" s="1027">
        <f t="shared" si="34"/>
        <v>0.82420000000000004</v>
      </c>
      <c r="I116" s="1027">
        <f>ROUND(0.7694-0.014*B113,4)</f>
        <v>0.73440000000000005</v>
      </c>
      <c r="J116" s="1027">
        <f t="shared" si="33"/>
        <v>0.73440000000000005</v>
      </c>
      <c r="K116" s="1027">
        <f t="shared" si="33"/>
        <v>0.73440000000000005</v>
      </c>
      <c r="L116" s="1027">
        <f t="shared" si="33"/>
        <v>0.73440000000000005</v>
      </c>
      <c r="M116" s="1028">
        <f t="shared" si="33"/>
        <v>0.73440000000000005</v>
      </c>
    </row>
    <row r="117" spans="1:13" ht="12.75">
      <c r="A117" s="1029" t="s">
        <v>901</v>
      </c>
      <c r="B117" s="1027">
        <f>ROUND(0.8808-0.006*B113,4)</f>
        <v>0.86580000000000001</v>
      </c>
      <c r="C117" s="1027">
        <f>B117</f>
        <v>0.86580000000000001</v>
      </c>
      <c r="D117" s="1027">
        <f>ROUND(0.8748-0.008*B113,4)</f>
        <v>0.8548</v>
      </c>
      <c r="E117" s="1027">
        <f t="shared" si="34"/>
        <v>0.8548</v>
      </c>
      <c r="F117" s="1027">
        <f t="shared" si="34"/>
        <v>0.8548</v>
      </c>
      <c r="G117" s="1027">
        <f t="shared" si="34"/>
        <v>0.8548</v>
      </c>
      <c r="H117" s="1027">
        <f t="shared" si="34"/>
        <v>0.8548</v>
      </c>
      <c r="I117" s="1027">
        <f>ROUND(0.7412-0.0095*B113,4)</f>
        <v>0.71750000000000003</v>
      </c>
      <c r="J117" s="1027">
        <f t="shared" si="33"/>
        <v>0.71750000000000003</v>
      </c>
      <c r="K117" s="1027">
        <f t="shared" si="33"/>
        <v>0.71750000000000003</v>
      </c>
      <c r="L117" s="1027">
        <f t="shared" si="33"/>
        <v>0.71750000000000003</v>
      </c>
      <c r="M117" s="1028">
        <f t="shared" si="33"/>
        <v>0.71750000000000003</v>
      </c>
    </row>
    <row r="118" spans="1:13" ht="13.5" thickBot="1">
      <c r="A118" s="1030" t="s">
        <v>902</v>
      </c>
      <c r="B118" s="1031">
        <f>ROUND(0.7275-0.01*B113,4)</f>
        <v>0.70250000000000001</v>
      </c>
      <c r="C118" s="1031">
        <f>B118</f>
        <v>0.70250000000000001</v>
      </c>
      <c r="D118" s="1031">
        <f>ROUND(0.7043-0.012*B113,4)</f>
        <v>0.67430000000000001</v>
      </c>
      <c r="E118" s="1031">
        <f>D118</f>
        <v>0.67430000000000001</v>
      </c>
      <c r="F118" s="1031">
        <f>E118</f>
        <v>0.67430000000000001</v>
      </c>
      <c r="G118" s="1031">
        <f>ROUND(0.6299-0.0122*B113,4)</f>
        <v>0.59940000000000004</v>
      </c>
      <c r="H118" s="1031">
        <f>G118</f>
        <v>0.59940000000000004</v>
      </c>
      <c r="I118" s="1031">
        <f>ROUND(0.5667-0.0136*B113,4)</f>
        <v>0.53269999999999995</v>
      </c>
      <c r="J118" s="1031">
        <f t="shared" si="33"/>
        <v>0.53269999999999995</v>
      </c>
      <c r="K118" s="1031">
        <f t="shared" si="33"/>
        <v>0.53269999999999995</v>
      </c>
      <c r="L118" s="1031">
        <f t="shared" si="33"/>
        <v>0.53269999999999995</v>
      </c>
      <c r="M118" s="1032">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31"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7" customFormat="1" ht="19.5" customHeight="1">
      <c r="A18" s="3437" t="s">
        <v>1007</v>
      </c>
      <c r="B18" s="1151" t="s">
        <v>1446</v>
      </c>
      <c r="C18" s="1128" t="s">
        <v>1447</v>
      </c>
      <c r="D18" s="1129"/>
      <c r="E18" s="1151">
        <v>1</v>
      </c>
      <c r="F18" s="1130" t="s">
        <v>1448</v>
      </c>
      <c r="G18" s="1131"/>
      <c r="H18" s="1102"/>
      <c r="I18" s="1102"/>
    </row>
    <row r="19" spans="1:9" s="1597" customFormat="1" ht="19.5" customHeight="1">
      <c r="A19" s="3437"/>
      <c r="B19" s="3437" t="s">
        <v>1449</v>
      </c>
      <c r="C19" s="1128" t="s">
        <v>1450</v>
      </c>
      <c r="D19" s="1129"/>
      <c r="E19" s="1151">
        <v>0.9</v>
      </c>
      <c r="F19" s="1130" t="s">
        <v>1451</v>
      </c>
      <c r="G19" s="1131"/>
      <c r="H19" s="1102"/>
      <c r="I19" s="1102"/>
    </row>
    <row r="20" spans="1:9" s="1597" customFormat="1" ht="19.5" customHeight="1">
      <c r="A20" s="3437"/>
      <c r="B20" s="3437"/>
      <c r="C20" s="1128" t="s">
        <v>1452</v>
      </c>
      <c r="D20" s="1129"/>
      <c r="E20" s="1151">
        <v>1.1000000000000001</v>
      </c>
      <c r="F20" s="1130" t="s">
        <v>1453</v>
      </c>
      <c r="G20" s="1131"/>
      <c r="H20" s="1102"/>
      <c r="I20" s="1102"/>
    </row>
    <row r="21" spans="1:9" s="1597" customFormat="1" ht="19.5" customHeight="1">
      <c r="A21" s="3437"/>
      <c r="B21" s="3437"/>
      <c r="C21" s="1128" t="s">
        <v>1454</v>
      </c>
      <c r="D21" s="1129"/>
      <c r="E21" s="1151">
        <v>0.8</v>
      </c>
      <c r="F21" s="1130" t="s">
        <v>1455</v>
      </c>
      <c r="G21" s="1131"/>
      <c r="H21" s="1102"/>
      <c r="I21" s="1102"/>
    </row>
    <row r="22" spans="1:9" s="1597" customFormat="1" ht="19.5" customHeight="1">
      <c r="A22" s="3437"/>
      <c r="B22" s="3437"/>
      <c r="C22" s="1128" t="s">
        <v>1456</v>
      </c>
      <c r="D22" s="1129"/>
      <c r="E22" s="1151">
        <v>0.5</v>
      </c>
      <c r="F22" s="1130"/>
      <c r="G22" s="1131"/>
      <c r="H22" s="1102"/>
      <c r="I22" s="1102"/>
    </row>
    <row r="23" spans="1:9" s="1597" customFormat="1" ht="19.5" customHeight="1">
      <c r="A23" s="3437" t="s">
        <v>1029</v>
      </c>
      <c r="B23" s="1151" t="s">
        <v>1446</v>
      </c>
      <c r="C23" s="1128" t="s">
        <v>1457</v>
      </c>
      <c r="D23" s="1129"/>
      <c r="E23" s="1151">
        <v>1</v>
      </c>
      <c r="F23" s="1130" t="s">
        <v>1458</v>
      </c>
      <c r="G23" s="1131"/>
      <c r="H23" s="1102"/>
      <c r="I23" s="1102"/>
    </row>
    <row r="24" spans="1:9" s="1597" customFormat="1" ht="19.5" customHeight="1">
      <c r="A24" s="3437"/>
      <c r="B24" s="3437" t="s">
        <v>1449</v>
      </c>
      <c r="C24" s="1128" t="s">
        <v>1459</v>
      </c>
      <c r="D24" s="1129"/>
      <c r="E24" s="1151">
        <v>0.5</v>
      </c>
      <c r="F24" s="1130"/>
      <c r="G24" s="1131"/>
      <c r="H24" s="1102"/>
      <c r="I24" s="1102"/>
    </row>
    <row r="25" spans="1:9" s="1597" customFormat="1" ht="19.5" customHeight="1">
      <c r="A25" s="3437"/>
      <c r="B25" s="3437"/>
      <c r="C25" s="1128" t="s">
        <v>1460</v>
      </c>
      <c r="D25" s="1129"/>
      <c r="E25" s="1151">
        <v>1.1000000000000001</v>
      </c>
      <c r="F25" s="1130"/>
      <c r="G25" s="1131"/>
      <c r="H25" s="1102"/>
      <c r="I25" s="1102"/>
    </row>
    <row r="26" spans="1:9" s="1597" customFormat="1" ht="19.5" customHeight="1">
      <c r="A26" s="3437"/>
      <c r="B26" s="3437"/>
      <c r="C26" s="1128" t="s">
        <v>1461</v>
      </c>
      <c r="D26" s="1129"/>
      <c r="E26" s="1151">
        <v>1.1000000000000001</v>
      </c>
      <c r="F26" s="1130"/>
      <c r="G26" s="1131"/>
      <c r="H26" s="1102"/>
      <c r="I26" s="1102"/>
    </row>
    <row r="27" spans="1:9" s="1597" customFormat="1" ht="19.5" customHeight="1">
      <c r="A27" s="3437"/>
      <c r="B27" s="3437"/>
      <c r="C27" s="1128" t="s">
        <v>1462</v>
      </c>
      <c r="D27" s="1129"/>
      <c r="E27" s="1151">
        <v>0.9</v>
      </c>
      <c r="F27" s="1130" t="s">
        <v>1463</v>
      </c>
      <c r="G27" s="1131"/>
      <c r="H27" s="1102"/>
      <c r="I27" s="1102"/>
    </row>
    <row r="28" spans="1:9" s="1597" customFormat="1" ht="19.5" customHeight="1">
      <c r="A28" s="3437"/>
      <c r="B28" s="3437"/>
      <c r="C28" s="1128" t="s">
        <v>1464</v>
      </c>
      <c r="D28" s="1129"/>
      <c r="E28" s="1151">
        <v>0.9</v>
      </c>
      <c r="F28" s="1130" t="s">
        <v>1465</v>
      </c>
      <c r="G28" s="1131"/>
      <c r="H28" s="1102"/>
      <c r="I28" s="1102"/>
    </row>
    <row r="29" spans="1:9" s="1597" customFormat="1" ht="19.5" customHeight="1">
      <c r="A29" s="3437"/>
      <c r="B29" s="3437"/>
      <c r="C29" s="1128" t="s">
        <v>1466</v>
      </c>
      <c r="D29" s="1129"/>
      <c r="E29" s="1151">
        <v>0.9</v>
      </c>
      <c r="F29" s="1130" t="s">
        <v>1467</v>
      </c>
      <c r="G29" s="1131"/>
      <c r="H29" s="1102"/>
      <c r="I29" s="1102"/>
    </row>
    <row r="30" spans="1:9" s="1597" customFormat="1" ht="19.5" customHeight="1">
      <c r="A30" s="3437"/>
      <c r="B30" s="3437"/>
      <c r="C30" s="1128" t="s">
        <v>1468</v>
      </c>
      <c r="D30" s="1129"/>
      <c r="E30" s="1151">
        <v>0.9</v>
      </c>
      <c r="F30" s="1130" t="s">
        <v>1469</v>
      </c>
      <c r="G30" s="1131"/>
      <c r="H30" s="1102"/>
      <c r="I30" s="1102"/>
    </row>
    <row r="31" spans="1:9" s="1597" customFormat="1" ht="19.5" customHeight="1">
      <c r="A31" s="3437"/>
      <c r="B31" s="3437"/>
      <c r="C31" s="1128" t="s">
        <v>1470</v>
      </c>
      <c r="D31" s="1129"/>
      <c r="E31" s="1151">
        <v>0.8</v>
      </c>
      <c r="F31" s="1130" t="s">
        <v>1471</v>
      </c>
      <c r="G31" s="1131"/>
      <c r="H31" s="1102"/>
      <c r="I31" s="1102"/>
    </row>
    <row r="32" spans="1:9" s="1597" customFormat="1" ht="19.5" customHeight="1">
      <c r="A32" s="3437"/>
      <c r="B32" s="3437"/>
      <c r="C32" s="1128" t="s">
        <v>1472</v>
      </c>
      <c r="D32" s="1129"/>
      <c r="E32" s="1151">
        <v>0.8</v>
      </c>
      <c r="F32" s="1130" t="s">
        <v>1473</v>
      </c>
      <c r="G32" s="1131"/>
      <c r="H32" s="1102"/>
      <c r="I32" s="1102"/>
    </row>
    <row r="33" spans="1:9" s="1597" customFormat="1" ht="19.5" customHeight="1">
      <c r="A33" s="3437" t="s">
        <v>1474</v>
      </c>
      <c r="B33" s="1151" t="s">
        <v>1446</v>
      </c>
      <c r="C33" s="1128" t="s">
        <v>1475</v>
      </c>
      <c r="D33" s="1129"/>
      <c r="E33" s="1151">
        <v>1</v>
      </c>
      <c r="F33" s="1130" t="s">
        <v>1476</v>
      </c>
      <c r="G33" s="1131"/>
      <c r="H33" s="1102"/>
      <c r="I33" s="1102"/>
    </row>
    <row r="34" spans="1:9" s="1597" customFormat="1" ht="19.5" customHeight="1">
      <c r="A34" s="3437"/>
      <c r="B34" s="1151" t="s">
        <v>1449</v>
      </c>
      <c r="C34" s="1128" t="s">
        <v>1477</v>
      </c>
      <c r="D34" s="1129"/>
      <c r="E34" s="1151">
        <v>1.5</v>
      </c>
      <c r="F34" s="1130" t="s">
        <v>1478</v>
      </c>
      <c r="G34" s="1131"/>
      <c r="H34" s="1102"/>
      <c r="I34" s="1102"/>
    </row>
    <row r="35" spans="1:9" s="1597" customFormat="1" ht="19.5" customHeight="1">
      <c r="A35" s="3437" t="s">
        <v>1432</v>
      </c>
      <c r="B35" s="1151" t="s">
        <v>1446</v>
      </c>
      <c r="C35" s="1128" t="s">
        <v>1479</v>
      </c>
      <c r="D35" s="1129"/>
      <c r="E35" s="1151">
        <v>1</v>
      </c>
      <c r="F35" s="1130" t="s">
        <v>1480</v>
      </c>
      <c r="G35" s="1131"/>
      <c r="H35" s="1102"/>
      <c r="I35" s="1102"/>
    </row>
    <row r="36" spans="1:9" s="1597" customFormat="1" ht="19.5" customHeight="1">
      <c r="A36" s="3437"/>
      <c r="B36" s="3437" t="s">
        <v>1449</v>
      </c>
      <c r="C36" s="1128" t="s">
        <v>1481</v>
      </c>
      <c r="D36" s="1129"/>
      <c r="E36" s="1151">
        <v>1</v>
      </c>
      <c r="F36" s="1130" t="s">
        <v>1482</v>
      </c>
      <c r="G36" s="1131"/>
      <c r="H36" s="1102"/>
      <c r="I36" s="1102"/>
    </row>
    <row r="37" spans="1:9" s="1597" customFormat="1" ht="19.5" customHeight="1">
      <c r="A37" s="3437"/>
      <c r="B37" s="3437"/>
      <c r="C37" s="1128" t="s">
        <v>1483</v>
      </c>
      <c r="D37" s="1129"/>
      <c r="E37" s="1151">
        <v>1.5</v>
      </c>
      <c r="F37" s="1130" t="s">
        <v>1484</v>
      </c>
      <c r="G37" s="1131"/>
      <c r="H37" s="1102"/>
      <c r="I37" s="1102"/>
    </row>
    <row r="38" spans="1:9" s="1597" customFormat="1" ht="19.5" customHeight="1">
      <c r="A38" s="3437"/>
      <c r="B38" s="3437"/>
      <c r="C38" s="1128" t="s">
        <v>1485</v>
      </c>
      <c r="D38" s="1129"/>
      <c r="E38" s="1151">
        <v>1</v>
      </c>
      <c r="F38" s="1130" t="s">
        <v>1486</v>
      </c>
      <c r="G38" s="1131"/>
      <c r="H38" s="1102"/>
      <c r="I38" s="1102"/>
    </row>
    <row r="39" spans="1:9" s="1597" customFormat="1" ht="19.5" customHeight="1">
      <c r="A39" s="3437"/>
      <c r="B39" s="3437"/>
      <c r="C39" s="1128" t="s">
        <v>1487</v>
      </c>
      <c r="D39" s="1129"/>
      <c r="E39" s="1151">
        <v>1</v>
      </c>
      <c r="F39" s="1130" t="s">
        <v>1488</v>
      </c>
      <c r="G39" s="1131"/>
      <c r="H39" s="1102"/>
      <c r="I39" s="1102"/>
    </row>
    <row r="40" spans="1:9" s="1597" customFormat="1" ht="19.5" customHeight="1">
      <c r="A40" s="1598" t="s">
        <v>1489</v>
      </c>
      <c r="B40" s="1598"/>
      <c r="C40" s="1598"/>
      <c r="D40" s="1598"/>
      <c r="E40" s="1598"/>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37" t="s">
        <v>1501</v>
      </c>
      <c r="C61" s="1065" t="s">
        <v>1502</v>
      </c>
      <c r="D61" s="1065" t="s">
        <v>1503</v>
      </c>
      <c r="E61" s="1136">
        <v>0.5</v>
      </c>
      <c r="F61" s="1151">
        <v>80</v>
      </c>
      <c r="H61" s="1102">
        <f>SUMIF(C59:C119,基准地价!C8,E59:E119)</f>
        <v>0</v>
      </c>
    </row>
    <row r="62" spans="1:8" s="1102" customFormat="1" ht="24">
      <c r="A62" s="1151">
        <v>2</v>
      </c>
      <c r="B62" s="3437"/>
      <c r="C62" s="1065" t="s">
        <v>1504</v>
      </c>
      <c r="D62" s="1065" t="s">
        <v>1505</v>
      </c>
      <c r="E62" s="1136">
        <v>0.5</v>
      </c>
      <c r="F62" s="1151">
        <v>80</v>
      </c>
    </row>
    <row r="63" spans="1:8" s="1102" customFormat="1" ht="36">
      <c r="A63" s="1151">
        <v>3</v>
      </c>
      <c r="B63" s="3437"/>
      <c r="C63" s="1065" t="s">
        <v>1506</v>
      </c>
      <c r="D63" s="1065" t="s">
        <v>1507</v>
      </c>
      <c r="E63" s="1136">
        <v>0.5</v>
      </c>
      <c r="F63" s="1151">
        <v>80</v>
      </c>
    </row>
    <row r="64" spans="1:8" s="1102" customFormat="1" ht="36">
      <c r="A64" s="1151">
        <v>4</v>
      </c>
      <c r="B64" s="3437"/>
      <c r="C64" s="1065" t="s">
        <v>1508</v>
      </c>
      <c r="D64" s="1065" t="s">
        <v>1509</v>
      </c>
      <c r="E64" s="1136">
        <v>0.4</v>
      </c>
      <c r="F64" s="1151">
        <v>60</v>
      </c>
    </row>
    <row r="65" spans="1:6" s="1102" customFormat="1" ht="36">
      <c r="A65" s="1151">
        <v>5</v>
      </c>
      <c r="B65" s="3437"/>
      <c r="C65" s="1065" t="s">
        <v>1510</v>
      </c>
      <c r="D65" s="1065" t="s">
        <v>1511</v>
      </c>
      <c r="E65" s="1136">
        <v>0.2</v>
      </c>
      <c r="F65" s="1151">
        <v>30</v>
      </c>
    </row>
    <row r="66" spans="1:6" s="1102" customFormat="1" ht="36">
      <c r="A66" s="1151">
        <v>6</v>
      </c>
      <c r="B66" s="3437"/>
      <c r="C66" s="1065" t="s">
        <v>1512</v>
      </c>
      <c r="D66" s="1065" t="s">
        <v>1513</v>
      </c>
      <c r="E66" s="1136">
        <v>0.3</v>
      </c>
      <c r="F66" s="1151">
        <v>50</v>
      </c>
    </row>
    <row r="67" spans="1:6" s="1102" customFormat="1" ht="36">
      <c r="A67" s="1151">
        <v>7</v>
      </c>
      <c r="B67" s="3437"/>
      <c r="C67" s="1065" t="s">
        <v>1514</v>
      </c>
      <c r="D67" s="1065" t="s">
        <v>1515</v>
      </c>
      <c r="E67" s="1136">
        <v>0.2</v>
      </c>
      <c r="F67" s="1151">
        <v>30</v>
      </c>
    </row>
    <row r="68" spans="1:6" s="1102" customFormat="1" ht="36">
      <c r="A68" s="1151">
        <v>8</v>
      </c>
      <c r="B68" s="3437"/>
      <c r="C68" s="1065" t="s">
        <v>1516</v>
      </c>
      <c r="D68" s="1065" t="s">
        <v>1517</v>
      </c>
      <c r="E68" s="1136">
        <v>0.2</v>
      </c>
      <c r="F68" s="1151">
        <v>30</v>
      </c>
    </row>
    <row r="69" spans="1:6" s="1102" customFormat="1" ht="36">
      <c r="A69" s="1151">
        <v>9</v>
      </c>
      <c r="B69" s="3437"/>
      <c r="C69" s="1065" t="s">
        <v>1518</v>
      </c>
      <c r="D69" s="1065" t="s">
        <v>1519</v>
      </c>
      <c r="E69" s="1136">
        <v>0.2</v>
      </c>
      <c r="F69" s="1151">
        <v>30</v>
      </c>
    </row>
    <row r="70" spans="1:6" s="1102" customFormat="1" ht="48">
      <c r="A70" s="1151">
        <v>10</v>
      </c>
      <c r="B70" s="3437"/>
      <c r="C70" s="1065" t="s">
        <v>1520</v>
      </c>
      <c r="D70" s="1065" t="s">
        <v>1521</v>
      </c>
      <c r="E70" s="1136">
        <v>0.2</v>
      </c>
      <c r="F70" s="1151">
        <v>30</v>
      </c>
    </row>
    <row r="71" spans="1:6" s="1102" customFormat="1" ht="48">
      <c r="A71" s="1151">
        <v>11</v>
      </c>
      <c r="B71" s="3437"/>
      <c r="C71" s="1065" t="s">
        <v>1522</v>
      </c>
      <c r="D71" s="1065" t="s">
        <v>1523</v>
      </c>
      <c r="E71" s="1136">
        <v>0.2</v>
      </c>
      <c r="F71" s="1151">
        <v>30</v>
      </c>
    </row>
    <row r="72" spans="1:6" s="1102" customFormat="1" ht="36">
      <c r="A72" s="1151">
        <v>12</v>
      </c>
      <c r="B72" s="3437"/>
      <c r="C72" s="1065" t="s">
        <v>1524</v>
      </c>
      <c r="D72" s="1065" t="s">
        <v>1525</v>
      </c>
      <c r="E72" s="1136">
        <v>0.5</v>
      </c>
      <c r="F72" s="1151">
        <v>80</v>
      </c>
    </row>
    <row r="73" spans="1:6" s="1102" customFormat="1" ht="24">
      <c r="A73" s="1151">
        <v>13</v>
      </c>
      <c r="B73" s="3437"/>
      <c r="C73" s="1065" t="s">
        <v>1526</v>
      </c>
      <c r="D73" s="1065" t="s">
        <v>1527</v>
      </c>
      <c r="E73" s="1136">
        <v>0.4</v>
      </c>
      <c r="F73" s="1151">
        <v>60</v>
      </c>
    </row>
    <row r="74" spans="1:6" s="1102" customFormat="1" ht="24">
      <c r="A74" s="1151">
        <v>14</v>
      </c>
      <c r="B74" s="3437"/>
      <c r="C74" s="1065" t="s">
        <v>1528</v>
      </c>
      <c r="D74" s="1065" t="s">
        <v>1529</v>
      </c>
      <c r="E74" s="1136">
        <v>0.2</v>
      </c>
      <c r="F74" s="1151">
        <v>30</v>
      </c>
    </row>
    <row r="75" spans="1:6" s="1102" customFormat="1" ht="24">
      <c r="A75" s="1151">
        <v>15</v>
      </c>
      <c r="B75" s="3437"/>
      <c r="C75" s="1065" t="s">
        <v>1530</v>
      </c>
      <c r="D75" s="1065" t="s">
        <v>1531</v>
      </c>
      <c r="E75" s="1136">
        <v>0.2</v>
      </c>
      <c r="F75" s="1151">
        <v>30</v>
      </c>
    </row>
    <row r="76" spans="1:6" s="1102" customFormat="1" ht="24">
      <c r="A76" s="1151">
        <v>16</v>
      </c>
      <c r="B76" s="3437" t="s">
        <v>1532</v>
      </c>
      <c r="C76" s="1065" t="s">
        <v>1533</v>
      </c>
      <c r="D76" s="1065" t="s">
        <v>1534</v>
      </c>
      <c r="E76" s="1136">
        <v>0.5</v>
      </c>
      <c r="F76" s="1151">
        <v>80</v>
      </c>
    </row>
    <row r="77" spans="1:6" s="1102" customFormat="1" ht="24">
      <c r="A77" s="1151">
        <v>17</v>
      </c>
      <c r="B77" s="3437"/>
      <c r="C77" s="1065" t="s">
        <v>1535</v>
      </c>
      <c r="D77" s="1065" t="s">
        <v>1536</v>
      </c>
      <c r="E77" s="1136">
        <v>0.5</v>
      </c>
      <c r="F77" s="1151">
        <v>80</v>
      </c>
    </row>
    <row r="78" spans="1:6" s="1102" customFormat="1" ht="24">
      <c r="A78" s="1151">
        <v>18</v>
      </c>
      <c r="B78" s="3437"/>
      <c r="C78" s="1065" t="s">
        <v>1537</v>
      </c>
      <c r="D78" s="1065" t="s">
        <v>1538</v>
      </c>
      <c r="E78" s="1136">
        <v>0.2</v>
      </c>
      <c r="F78" s="1151">
        <v>30</v>
      </c>
    </row>
    <row r="79" spans="1:6" s="1102" customFormat="1" ht="24">
      <c r="A79" s="1151">
        <v>19</v>
      </c>
      <c r="B79" s="3437"/>
      <c r="C79" s="1065" t="s">
        <v>1539</v>
      </c>
      <c r="D79" s="1065" t="s">
        <v>1540</v>
      </c>
      <c r="E79" s="1136">
        <v>0.5</v>
      </c>
      <c r="F79" s="1151">
        <v>80</v>
      </c>
    </row>
    <row r="80" spans="1:6" s="1102" customFormat="1" ht="36">
      <c r="A80" s="1151">
        <v>20</v>
      </c>
      <c r="B80" s="3437"/>
      <c r="C80" s="1065" t="s">
        <v>1541</v>
      </c>
      <c r="D80" s="1065" t="s">
        <v>1542</v>
      </c>
      <c r="E80" s="1136">
        <v>0.2</v>
      </c>
      <c r="F80" s="1151">
        <v>30</v>
      </c>
    </row>
    <row r="81" spans="1:6" s="1102" customFormat="1" ht="36">
      <c r="A81" s="1151">
        <v>21</v>
      </c>
      <c r="B81" s="3437"/>
      <c r="C81" s="1065" t="s">
        <v>1543</v>
      </c>
      <c r="D81" s="1065" t="s">
        <v>1544</v>
      </c>
      <c r="E81" s="1136">
        <v>0.2</v>
      </c>
      <c r="F81" s="1151">
        <v>30</v>
      </c>
    </row>
    <row r="82" spans="1:6" s="1102" customFormat="1" ht="48">
      <c r="A82" s="1151">
        <v>22</v>
      </c>
      <c r="B82" s="3437"/>
      <c r="C82" s="1065" t="s">
        <v>1545</v>
      </c>
      <c r="D82" s="1065" t="s">
        <v>1546</v>
      </c>
      <c r="E82" s="1136">
        <v>0.2</v>
      </c>
      <c r="F82" s="1151">
        <v>30</v>
      </c>
    </row>
    <row r="83" spans="1:6" s="1102" customFormat="1" ht="48">
      <c r="A83" s="1151">
        <v>23</v>
      </c>
      <c r="B83" s="3437"/>
      <c r="C83" s="1065" t="s">
        <v>1547</v>
      </c>
      <c r="D83" s="1065" t="s">
        <v>1548</v>
      </c>
      <c r="E83" s="1136">
        <v>0.2</v>
      </c>
      <c r="F83" s="1151">
        <v>30</v>
      </c>
    </row>
    <row r="84" spans="1:6" s="1102" customFormat="1" ht="36">
      <c r="A84" s="1151">
        <v>24</v>
      </c>
      <c r="B84" s="3437"/>
      <c r="C84" s="1065" t="s">
        <v>1549</v>
      </c>
      <c r="D84" s="1065" t="s">
        <v>1550</v>
      </c>
      <c r="E84" s="1136">
        <v>0.2</v>
      </c>
      <c r="F84" s="1151">
        <v>30</v>
      </c>
    </row>
    <row r="85" spans="1:6" s="1102" customFormat="1" ht="36">
      <c r="A85" s="1151">
        <v>25</v>
      </c>
      <c r="B85" s="3437"/>
      <c r="C85" s="1065" t="s">
        <v>1551</v>
      </c>
      <c r="D85" s="1065" t="s">
        <v>1552</v>
      </c>
      <c r="E85" s="1136">
        <v>0.5</v>
      </c>
      <c r="F85" s="1151">
        <v>80</v>
      </c>
    </row>
    <row r="86" spans="1:6" s="1102" customFormat="1" ht="36">
      <c r="A86" s="1151">
        <v>26</v>
      </c>
      <c r="B86" s="3437"/>
      <c r="C86" s="1065" t="s">
        <v>1553</v>
      </c>
      <c r="D86" s="1065" t="s">
        <v>1554</v>
      </c>
      <c r="E86" s="1136">
        <v>0.2</v>
      </c>
      <c r="F86" s="1151">
        <v>30</v>
      </c>
    </row>
    <row r="87" spans="1:6" s="1102" customFormat="1" ht="36">
      <c r="A87" s="1151">
        <v>27</v>
      </c>
      <c r="B87" s="3437"/>
      <c r="C87" s="1065" t="s">
        <v>1555</v>
      </c>
      <c r="D87" s="1065" t="s">
        <v>1556</v>
      </c>
      <c r="E87" s="1136">
        <v>0.2</v>
      </c>
      <c r="F87" s="1151">
        <v>30</v>
      </c>
    </row>
    <row r="88" spans="1:6" s="1102" customFormat="1" ht="36">
      <c r="A88" s="1151">
        <v>28</v>
      </c>
      <c r="B88" s="3437"/>
      <c r="C88" s="1065" t="s">
        <v>1557</v>
      </c>
      <c r="D88" s="1065" t="s">
        <v>1558</v>
      </c>
      <c r="E88" s="1136">
        <v>0.2</v>
      </c>
      <c r="F88" s="1151">
        <v>30</v>
      </c>
    </row>
    <row r="89" spans="1:6" s="1102" customFormat="1" ht="24">
      <c r="A89" s="1151">
        <v>29</v>
      </c>
      <c r="B89" s="3437"/>
      <c r="C89" s="1065" t="s">
        <v>1559</v>
      </c>
      <c r="D89" s="1065" t="s">
        <v>1560</v>
      </c>
      <c r="E89" s="1136">
        <v>0.2</v>
      </c>
      <c r="F89" s="1151">
        <v>30</v>
      </c>
    </row>
    <row r="90" spans="1:6" s="1102" customFormat="1" ht="24">
      <c r="A90" s="1151">
        <v>30</v>
      </c>
      <c r="B90" s="3437"/>
      <c r="C90" s="1065" t="s">
        <v>1561</v>
      </c>
      <c r="D90" s="1065" t="s">
        <v>1562</v>
      </c>
      <c r="E90" s="1136">
        <v>0.2</v>
      </c>
      <c r="F90" s="1151">
        <v>30</v>
      </c>
    </row>
    <row r="91" spans="1:6" s="1102" customFormat="1" ht="36">
      <c r="A91" s="1151">
        <v>31</v>
      </c>
      <c r="B91" s="3437"/>
      <c r="C91" s="1065" t="s">
        <v>1563</v>
      </c>
      <c r="D91" s="1065" t="s">
        <v>1564</v>
      </c>
      <c r="E91" s="1136">
        <v>0.2</v>
      </c>
      <c r="F91" s="1151">
        <v>30</v>
      </c>
    </row>
    <row r="92" spans="1:6" s="1102" customFormat="1" ht="24">
      <c r="A92" s="1151">
        <v>32</v>
      </c>
      <c r="B92" s="3437" t="s">
        <v>1565</v>
      </c>
      <c r="C92" s="1151" t="s">
        <v>1566</v>
      </c>
      <c r="D92" s="1065" t="s">
        <v>1567</v>
      </c>
      <c r="E92" s="1136">
        <v>0.2</v>
      </c>
      <c r="F92" s="1151">
        <v>30</v>
      </c>
    </row>
    <row r="93" spans="1:6" s="1102" customFormat="1" ht="36">
      <c r="A93" s="1151">
        <v>33</v>
      </c>
      <c r="B93" s="3437"/>
      <c r="C93" s="1151" t="s">
        <v>1568</v>
      </c>
      <c r="D93" s="1065" t="s">
        <v>1569</v>
      </c>
      <c r="E93" s="1136">
        <v>0.2</v>
      </c>
      <c r="F93" s="1151">
        <v>30</v>
      </c>
    </row>
    <row r="94" spans="1:6" s="1102" customFormat="1" ht="48">
      <c r="A94" s="1151">
        <v>34</v>
      </c>
      <c r="B94" s="3437"/>
      <c r="C94" s="1151" t="s">
        <v>1570</v>
      </c>
      <c r="D94" s="1065" t="s">
        <v>1571</v>
      </c>
      <c r="E94" s="1136">
        <v>0.2</v>
      </c>
      <c r="F94" s="1151">
        <v>30</v>
      </c>
    </row>
    <row r="95" spans="1:6" s="1102" customFormat="1" ht="36">
      <c r="A95" s="1151">
        <v>35</v>
      </c>
      <c r="B95" s="3437"/>
      <c r="C95" s="1151" t="s">
        <v>1572</v>
      </c>
      <c r="D95" s="1065" t="s">
        <v>1573</v>
      </c>
      <c r="E95" s="1136">
        <v>0.2</v>
      </c>
      <c r="F95" s="1151">
        <v>30</v>
      </c>
    </row>
    <row r="96" spans="1:6" s="1102" customFormat="1" ht="48">
      <c r="A96" s="1151">
        <v>36</v>
      </c>
      <c r="B96" s="3437"/>
      <c r="C96" s="1065" t="s">
        <v>1574</v>
      </c>
      <c r="D96" s="1065" t="s">
        <v>1575</v>
      </c>
      <c r="E96" s="1136">
        <v>0.2</v>
      </c>
      <c r="F96" s="1151">
        <v>30</v>
      </c>
    </row>
    <row r="97" spans="1:6" s="1102" customFormat="1" ht="36">
      <c r="A97" s="1151">
        <v>37</v>
      </c>
      <c r="B97" s="3437"/>
      <c r="C97" s="1151" t="s">
        <v>1576</v>
      </c>
      <c r="D97" s="1065" t="s">
        <v>1577</v>
      </c>
      <c r="E97" s="1136">
        <v>0.2</v>
      </c>
      <c r="F97" s="1151">
        <v>30</v>
      </c>
    </row>
    <row r="98" spans="1:6" s="1102" customFormat="1" ht="36">
      <c r="A98" s="1151">
        <v>38</v>
      </c>
      <c r="B98" s="3437"/>
      <c r="C98" s="1151" t="s">
        <v>1578</v>
      </c>
      <c r="D98" s="1065" t="s">
        <v>1579</v>
      </c>
      <c r="E98" s="1136">
        <v>0.2</v>
      </c>
      <c r="F98" s="1151">
        <v>30</v>
      </c>
    </row>
    <row r="99" spans="1:6" s="1102" customFormat="1" ht="36">
      <c r="A99" s="1151">
        <v>39</v>
      </c>
      <c r="B99" s="3437" t="s">
        <v>1580</v>
      </c>
      <c r="C99" s="1151" t="s">
        <v>1581</v>
      </c>
      <c r="D99" s="1065" t="s">
        <v>1582</v>
      </c>
      <c r="E99" s="1136">
        <v>0.3</v>
      </c>
      <c r="F99" s="1151">
        <v>50</v>
      </c>
    </row>
    <row r="100" spans="1:6" s="1102" customFormat="1" ht="24">
      <c r="A100" s="1151">
        <v>40</v>
      </c>
      <c r="B100" s="3437"/>
      <c r="C100" s="1151" t="s">
        <v>1583</v>
      </c>
      <c r="D100" s="1065" t="s">
        <v>1584</v>
      </c>
      <c r="E100" s="1136">
        <v>0.2</v>
      </c>
      <c r="F100" s="1151">
        <v>30</v>
      </c>
    </row>
    <row r="101" spans="1:6" s="1102" customFormat="1" ht="36">
      <c r="A101" s="1151">
        <v>41</v>
      </c>
      <c r="B101" s="3437"/>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37" t="s">
        <v>1595</v>
      </c>
      <c r="C105" s="1151" t="s">
        <v>1596</v>
      </c>
      <c r="D105" s="1065" t="s">
        <v>1597</v>
      </c>
      <c r="E105" s="1136">
        <v>0.2</v>
      </c>
      <c r="F105" s="1151">
        <v>30</v>
      </c>
    </row>
    <row r="106" spans="1:6" s="1102" customFormat="1" ht="36">
      <c r="A106" s="1151">
        <v>46</v>
      </c>
      <c r="B106" s="3437"/>
      <c r="C106" s="1151" t="s">
        <v>1598</v>
      </c>
      <c r="D106" s="1065" t="s">
        <v>1599</v>
      </c>
      <c r="E106" s="1136">
        <v>0.2</v>
      </c>
      <c r="F106" s="1151">
        <v>30</v>
      </c>
    </row>
    <row r="107" spans="1:6" s="1102" customFormat="1" ht="36">
      <c r="A107" s="1151">
        <v>47</v>
      </c>
      <c r="B107" s="3437" t="s">
        <v>1600</v>
      </c>
      <c r="C107" s="1151" t="s">
        <v>1601</v>
      </c>
      <c r="D107" s="1065" t="s">
        <v>1602</v>
      </c>
      <c r="E107" s="1136">
        <v>0.3</v>
      </c>
      <c r="F107" s="1151">
        <v>50</v>
      </c>
    </row>
    <row r="108" spans="1:6" s="1102" customFormat="1" ht="36">
      <c r="A108" s="1151">
        <v>48</v>
      </c>
      <c r="B108" s="3437"/>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37" t="s">
        <v>1611</v>
      </c>
      <c r="C111" s="1151" t="s">
        <v>1612</v>
      </c>
      <c r="D111" s="1065" t="s">
        <v>1613</v>
      </c>
      <c r="E111" s="1136">
        <v>0.2</v>
      </c>
      <c r="F111" s="1151">
        <v>30</v>
      </c>
    </row>
    <row r="112" spans="1:6" s="1102" customFormat="1" ht="24">
      <c r="A112" s="1151">
        <v>52</v>
      </c>
      <c r="B112" s="3437"/>
      <c r="C112" s="1151" t="s">
        <v>1614</v>
      </c>
      <c r="D112" s="1065" t="s">
        <v>1615</v>
      </c>
      <c r="E112" s="1136">
        <v>0.2</v>
      </c>
      <c r="F112" s="1151">
        <v>30</v>
      </c>
    </row>
    <row r="113" spans="1:14" s="1102" customFormat="1" ht="24">
      <c r="A113" s="1151">
        <v>53</v>
      </c>
      <c r="B113" s="3437"/>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37" t="s">
        <v>1624</v>
      </c>
      <c r="C116" s="1151" t="s">
        <v>1625</v>
      </c>
      <c r="D116" s="1065" t="s">
        <v>1626</v>
      </c>
      <c r="E116" s="1136">
        <v>0.2</v>
      </c>
      <c r="F116" s="1151">
        <v>30</v>
      </c>
    </row>
    <row r="117" spans="1:14" ht="36">
      <c r="A117" s="1151">
        <v>57</v>
      </c>
      <c r="B117" s="3437"/>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36" t="s">
        <v>1633</v>
      </c>
      <c r="B121" s="3436"/>
      <c r="C121" s="3436"/>
      <c r="D121" s="3436"/>
      <c r="E121" s="3436"/>
      <c r="F121" s="3436"/>
      <c r="G121" s="3436"/>
      <c r="H121" s="3436"/>
      <c r="I121" s="3436"/>
      <c r="J121" s="3436"/>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49" t="s">
        <v>1039</v>
      </c>
      <c r="B1" s="3449"/>
      <c r="C1" s="3449"/>
      <c r="D1" s="3449"/>
      <c r="E1" s="3449"/>
      <c r="F1" s="3449"/>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50" t="s">
        <v>1052</v>
      </c>
      <c r="B2" s="3450"/>
      <c r="C2" s="3450"/>
      <c r="D2" s="3450"/>
      <c r="E2" s="3450"/>
      <c r="F2" s="3450"/>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51"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52"/>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2422</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2423</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20" workbookViewId="0">
      <selection activeCell="G222" sqref="G222"/>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3181">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3181">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3181">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3" t="s">
        <v>2079</v>
      </c>
      <c r="B1" s="3453"/>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1096</v>
      </c>
      <c r="B6" s="1857" t="s">
        <v>2088</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2089</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2090</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2091</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2092</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2093</v>
      </c>
      <c r="C72" s="1867"/>
      <c r="D72" s="1867"/>
      <c r="E72" s="1867"/>
      <c r="F72" s="1859">
        <v>0.05</v>
      </c>
    </row>
    <row r="73" spans="1:6" ht="14.25" thickBot="1">
      <c r="A73" s="1853" t="s">
        <v>924</v>
      </c>
      <c r="B73" s="1857" t="s">
        <v>2094</v>
      </c>
      <c r="C73" s="1867"/>
      <c r="D73" s="1867"/>
      <c r="E73" s="1867"/>
      <c r="F73" s="1859">
        <v>0.05</v>
      </c>
    </row>
    <row r="74" spans="1:6" ht="14.25" thickBot="1">
      <c r="A74" s="1853" t="s">
        <v>924</v>
      </c>
      <c r="B74" s="1857" t="s">
        <v>2095</v>
      </c>
      <c r="C74" s="1867"/>
      <c r="D74" s="1867"/>
      <c r="E74" s="1867"/>
      <c r="F74" s="1859">
        <v>0.05</v>
      </c>
    </row>
    <row r="75" spans="1:6" ht="14.25" thickBot="1">
      <c r="A75" s="1861" t="s">
        <v>924</v>
      </c>
      <c r="B75" s="1868" t="s">
        <v>2096</v>
      </c>
      <c r="C75" s="1864"/>
      <c r="D75" s="1864"/>
      <c r="E75" s="1864"/>
      <c r="F75" s="1869">
        <v>0.05</v>
      </c>
    </row>
    <row r="76" spans="1:6" ht="14.25" thickBot="1">
      <c r="A76" s="1853" t="s">
        <v>1407</v>
      </c>
      <c r="B76" s="1854" t="s">
        <v>2097</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2098</v>
      </c>
      <c r="C102" s="1867"/>
      <c r="D102" s="1867"/>
      <c r="E102" s="1867"/>
      <c r="F102" s="1859">
        <v>0.05</v>
      </c>
    </row>
    <row r="103" spans="1:6" ht="24.75" thickBot="1">
      <c r="A103" s="1853" t="s">
        <v>1407</v>
      </c>
      <c r="B103" s="1857" t="s">
        <v>2099</v>
      </c>
      <c r="C103" s="1867"/>
      <c r="D103" s="1867"/>
      <c r="E103" s="1867"/>
      <c r="F103" s="1859">
        <v>0.05</v>
      </c>
    </row>
    <row r="104" spans="1:6" ht="14.25" thickBot="1">
      <c r="A104" s="1853" t="s">
        <v>1407</v>
      </c>
      <c r="B104" s="1857" t="s">
        <v>2100</v>
      </c>
      <c r="C104" s="1867"/>
      <c r="D104" s="1867"/>
      <c r="E104" s="1867"/>
      <c r="F104" s="1859">
        <v>0.05</v>
      </c>
    </row>
    <row r="105" spans="1:6" ht="14.25" thickBot="1">
      <c r="A105" s="1853" t="s">
        <v>1407</v>
      </c>
      <c r="B105" s="1857" t="s">
        <v>2101</v>
      </c>
      <c r="C105" s="1867"/>
      <c r="D105" s="1867"/>
      <c r="E105" s="1867"/>
      <c r="F105" s="1859">
        <v>0.05</v>
      </c>
    </row>
    <row r="106" spans="1:6" ht="14.25" thickBot="1">
      <c r="A106" s="1853" t="s">
        <v>1407</v>
      </c>
      <c r="B106" s="1857" t="s">
        <v>2102</v>
      </c>
      <c r="C106" s="1867"/>
      <c r="D106" s="1867"/>
      <c r="E106" s="1867"/>
      <c r="F106" s="1859">
        <v>0.05</v>
      </c>
    </row>
    <row r="107" spans="1:6" ht="24.75" thickBot="1">
      <c r="A107" s="1853" t="s">
        <v>1407</v>
      </c>
      <c r="B107" s="1857" t="s">
        <v>2103</v>
      </c>
      <c r="C107" s="1867"/>
      <c r="D107" s="1867"/>
      <c r="E107" s="1867"/>
      <c r="F107" s="1859">
        <v>0.05</v>
      </c>
    </row>
    <row r="108" spans="1:6" ht="24.75" thickBot="1">
      <c r="A108" s="1853" t="s">
        <v>1407</v>
      </c>
      <c r="B108" s="1857" t="s">
        <v>2104</v>
      </c>
      <c r="C108" s="1867"/>
      <c r="D108" s="1867"/>
      <c r="E108" s="1867"/>
      <c r="F108" s="1859">
        <v>0.05</v>
      </c>
    </row>
    <row r="109" spans="1:6" ht="24.75" thickBot="1">
      <c r="A109" s="1861" t="s">
        <v>1407</v>
      </c>
      <c r="B109" s="1868" t="s">
        <v>2105</v>
      </c>
      <c r="C109" s="1864"/>
      <c r="D109" s="1864"/>
      <c r="E109" s="1864"/>
      <c r="F109" s="1869">
        <v>0.05</v>
      </c>
    </row>
    <row r="110" spans="1:6" ht="14.25" thickBot="1">
      <c r="A110" s="1853" t="s">
        <v>1409</v>
      </c>
      <c r="B110" s="1854" t="s">
        <v>2106</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2107</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2108</v>
      </c>
      <c r="C138" s="1858">
        <v>0.105</v>
      </c>
      <c r="D138" s="1858">
        <v>0.125</v>
      </c>
      <c r="E138" s="1858">
        <v>0.112</v>
      </c>
      <c r="F138" s="1866"/>
    </row>
    <row r="139" spans="1:6" ht="14.25" thickBot="1">
      <c r="A139" s="1853" t="s">
        <v>1409</v>
      </c>
      <c r="B139" s="1857" t="s">
        <v>2109</v>
      </c>
      <c r="C139" s="1858">
        <v>0.127</v>
      </c>
      <c r="D139" s="1858">
        <v>0.127</v>
      </c>
      <c r="E139" s="1858">
        <v>0.122</v>
      </c>
      <c r="F139" s="1859">
        <v>0.13</v>
      </c>
    </row>
    <row r="140" spans="1:6" ht="14.25" thickBot="1">
      <c r="A140" s="1853" t="s">
        <v>1409</v>
      </c>
      <c r="B140" s="1857" t="s">
        <v>2110</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2111</v>
      </c>
      <c r="C144" s="1871">
        <v>0.126</v>
      </c>
      <c r="D144" s="1871">
        <v>0.126</v>
      </c>
      <c r="E144" s="1871">
        <v>0.121</v>
      </c>
      <c r="F144" s="1866"/>
    </row>
    <row r="145" spans="1:6" ht="14.25" thickBot="1">
      <c r="A145" s="1861" t="s">
        <v>1409</v>
      </c>
      <c r="B145" s="1872" t="s">
        <v>2112</v>
      </c>
      <c r="C145" s="1873"/>
      <c r="D145" s="1873"/>
      <c r="E145" s="1873"/>
      <c r="F145" s="1874">
        <v>0.05</v>
      </c>
    </row>
    <row r="146" spans="1:6" ht="24.75" thickBot="1">
      <c r="A146" s="1875" t="s">
        <v>1409</v>
      </c>
      <c r="B146" s="1860" t="s">
        <v>2113</v>
      </c>
      <c r="C146" s="1867"/>
      <c r="D146" s="1867"/>
      <c r="E146" s="1867"/>
      <c r="F146" s="1876">
        <v>0.05</v>
      </c>
    </row>
    <row r="147" spans="1:6" ht="24.75" thickBot="1">
      <c r="A147" s="1853" t="s">
        <v>1409</v>
      </c>
      <c r="B147" s="1857" t="s">
        <v>2114</v>
      </c>
      <c r="C147" s="1867"/>
      <c r="D147" s="1867"/>
      <c r="E147" s="1867"/>
      <c r="F147" s="1859">
        <v>0.05</v>
      </c>
    </row>
    <row r="148" spans="1:6" ht="24.75" thickBot="1">
      <c r="A148" s="1853" t="s">
        <v>1409</v>
      </c>
      <c r="B148" s="1857" t="s">
        <v>2115</v>
      </c>
      <c r="C148" s="1867"/>
      <c r="D148" s="1867"/>
      <c r="E148" s="1867"/>
      <c r="F148" s="1859">
        <v>0.05</v>
      </c>
    </row>
    <row r="149" spans="1:6" ht="24.75" thickBot="1">
      <c r="A149" s="1853" t="s">
        <v>1409</v>
      </c>
      <c r="B149" s="1857" t="s">
        <v>2116</v>
      </c>
      <c r="C149" s="1867"/>
      <c r="D149" s="1867"/>
      <c r="E149" s="1867"/>
      <c r="F149" s="1859">
        <v>0.05</v>
      </c>
    </row>
    <row r="150" spans="1:6" ht="24.75" thickBot="1">
      <c r="A150" s="1853" t="s">
        <v>1409</v>
      </c>
      <c r="B150" s="1857" t="s">
        <v>2117</v>
      </c>
      <c r="C150" s="1867"/>
      <c r="D150" s="1867"/>
      <c r="E150" s="1867"/>
      <c r="F150" s="1859">
        <v>0.05</v>
      </c>
    </row>
    <row r="151" spans="1:6" ht="24.75" thickBot="1">
      <c r="A151" s="1853" t="s">
        <v>1409</v>
      </c>
      <c r="B151" s="1857" t="s">
        <v>2118</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2119</v>
      </c>
      <c r="C153" s="1867"/>
      <c r="D153" s="1867"/>
      <c r="E153" s="1867"/>
      <c r="F153" s="1859">
        <v>0.05</v>
      </c>
    </row>
    <row r="154" spans="1:6" ht="14.25" thickBot="1">
      <c r="A154" s="1853" t="s">
        <v>1409</v>
      </c>
      <c r="B154" s="1857" t="s">
        <v>2120</v>
      </c>
      <c r="C154" s="1867"/>
      <c r="D154" s="1867"/>
      <c r="E154" s="1867"/>
      <c r="F154" s="1859">
        <v>0.05</v>
      </c>
    </row>
    <row r="155" spans="1:6" ht="24.75" thickBot="1">
      <c r="A155" s="1853" t="s">
        <v>1409</v>
      </c>
      <c r="B155" s="1857" t="s">
        <v>2121</v>
      </c>
      <c r="C155" s="1867"/>
      <c r="D155" s="1867"/>
      <c r="E155" s="1867"/>
      <c r="F155" s="1859">
        <v>0.05</v>
      </c>
    </row>
    <row r="156" spans="1:6" ht="24.75" thickBot="1">
      <c r="A156" s="1853" t="s">
        <v>1409</v>
      </c>
      <c r="B156" s="1857" t="s">
        <v>2122</v>
      </c>
      <c r="C156" s="1867"/>
      <c r="D156" s="1867"/>
      <c r="E156" s="1867"/>
      <c r="F156" s="1859">
        <v>0.05</v>
      </c>
    </row>
    <row r="157" spans="1:6" ht="14.25" thickBot="1">
      <c r="A157" s="1861" t="s">
        <v>1409</v>
      </c>
      <c r="B157" s="1868" t="s">
        <v>2123</v>
      </c>
      <c r="C157" s="1864"/>
      <c r="D157" s="1864"/>
      <c r="E157" s="1864"/>
      <c r="F157" s="1869">
        <v>0.05</v>
      </c>
    </row>
    <row r="158" spans="1:6" ht="14.25" thickBot="1">
      <c r="A158" s="1853" t="s">
        <v>1411</v>
      </c>
      <c r="B158" s="1854" t="s">
        <v>2124</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2125</v>
      </c>
      <c r="C171" s="1858">
        <v>0.127</v>
      </c>
      <c r="D171" s="1858">
        <v>0.126</v>
      </c>
      <c r="E171" s="1858">
        <v>0.126</v>
      </c>
      <c r="F171" s="1859">
        <v>0.11799999999999999</v>
      </c>
    </row>
    <row r="172" spans="1:6" ht="14.25" thickBot="1">
      <c r="A172" s="1853" t="s">
        <v>1411</v>
      </c>
      <c r="B172" s="1857" t="s">
        <v>2126</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2127</v>
      </c>
      <c r="C174" s="1858">
        <v>0.13</v>
      </c>
      <c r="D174" s="1858">
        <v>0.13</v>
      </c>
      <c r="E174" s="1858">
        <v>0.13</v>
      </c>
      <c r="F174" s="1859">
        <v>0.13</v>
      </c>
    </row>
    <row r="175" spans="1:6" ht="14.25" thickBot="1">
      <c r="A175" s="1853" t="s">
        <v>1411</v>
      </c>
      <c r="B175" s="1857" t="s">
        <v>2128</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2129</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2130</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2131</v>
      </c>
      <c r="C185" s="1858">
        <v>0.127</v>
      </c>
      <c r="D185" s="1858">
        <v>0.127</v>
      </c>
      <c r="E185" s="1858">
        <v>0.128</v>
      </c>
      <c r="F185" s="1859">
        <v>0.13</v>
      </c>
    </row>
    <row r="186" spans="1:6" ht="24.75" thickBot="1">
      <c r="A186" s="1853" t="s">
        <v>1411</v>
      </c>
      <c r="B186" s="1857" t="s">
        <v>2132</v>
      </c>
      <c r="C186" s="1867"/>
      <c r="D186" s="1867"/>
      <c r="E186" s="1867"/>
      <c r="F186" s="1859">
        <v>0.05</v>
      </c>
    </row>
    <row r="187" spans="1:6" ht="14.25" thickBot="1">
      <c r="A187" s="1853" t="s">
        <v>1411</v>
      </c>
      <c r="B187" s="1857" t="s">
        <v>2133</v>
      </c>
      <c r="C187" s="1867"/>
      <c r="D187" s="1867"/>
      <c r="E187" s="1867"/>
      <c r="F187" s="1859">
        <v>0.05</v>
      </c>
    </row>
    <row r="188" spans="1:6" ht="14.25" thickBot="1">
      <c r="A188" s="1853" t="s">
        <v>1411</v>
      </c>
      <c r="B188" s="1857" t="s">
        <v>2134</v>
      </c>
      <c r="C188" s="1867"/>
      <c r="D188" s="1867"/>
      <c r="E188" s="1867"/>
      <c r="F188" s="1859">
        <v>0.05</v>
      </c>
    </row>
    <row r="189" spans="1:6" ht="24.75" thickBot="1">
      <c r="A189" s="1853" t="s">
        <v>1411</v>
      </c>
      <c r="B189" s="1857" t="s">
        <v>2135</v>
      </c>
      <c r="C189" s="1867"/>
      <c r="D189" s="1867"/>
      <c r="E189" s="1867"/>
      <c r="F189" s="1859">
        <v>0.05</v>
      </c>
    </row>
    <row r="190" spans="1:6" ht="24.75" thickBot="1">
      <c r="A190" s="1853" t="s">
        <v>1411</v>
      </c>
      <c r="B190" s="1857" t="s">
        <v>2136</v>
      </c>
      <c r="C190" s="1867"/>
      <c r="D190" s="1867"/>
      <c r="E190" s="1867"/>
      <c r="F190" s="1859">
        <v>0.05</v>
      </c>
    </row>
    <row r="191" spans="1:6" ht="24.75" thickBot="1">
      <c r="A191" s="1853" t="s">
        <v>1411</v>
      </c>
      <c r="B191" s="1857" t="s">
        <v>2137</v>
      </c>
      <c r="C191" s="1867"/>
      <c r="D191" s="1867"/>
      <c r="E191" s="1867"/>
      <c r="F191" s="1859">
        <v>0.05</v>
      </c>
    </row>
    <row r="192" spans="1:6" ht="24.75" thickBot="1">
      <c r="A192" s="1853" t="s">
        <v>1411</v>
      </c>
      <c r="B192" s="1857" t="s">
        <v>2138</v>
      </c>
      <c r="C192" s="1867"/>
      <c r="D192" s="1867"/>
      <c r="E192" s="1867"/>
      <c r="F192" s="1859">
        <v>0.05</v>
      </c>
    </row>
    <row r="193" spans="1:6" ht="24.75" thickBot="1">
      <c r="A193" s="1853" t="s">
        <v>1411</v>
      </c>
      <c r="B193" s="1857" t="s">
        <v>2139</v>
      </c>
      <c r="C193" s="1867"/>
      <c r="D193" s="1867"/>
      <c r="E193" s="1867"/>
      <c r="F193" s="1859">
        <v>0.05</v>
      </c>
    </row>
    <row r="194" spans="1:6" ht="24.75" thickBot="1">
      <c r="A194" s="1853" t="s">
        <v>1411</v>
      </c>
      <c r="B194" s="1857" t="s">
        <v>2140</v>
      </c>
      <c r="C194" s="1867"/>
      <c r="D194" s="1867"/>
      <c r="E194" s="1867"/>
      <c r="F194" s="1859">
        <v>0.05</v>
      </c>
    </row>
    <row r="195" spans="1:6" ht="14.25" thickBot="1">
      <c r="A195" s="1853" t="s">
        <v>1411</v>
      </c>
      <c r="B195" s="1857" t="s">
        <v>2141</v>
      </c>
      <c r="C195" s="1867"/>
      <c r="D195" s="1867"/>
      <c r="E195" s="1867"/>
      <c r="F195" s="1859">
        <v>0.05</v>
      </c>
    </row>
    <row r="196" spans="1:6" ht="24.75" thickBot="1">
      <c r="A196" s="1853" t="s">
        <v>1411</v>
      </c>
      <c r="B196" s="1857" t="s">
        <v>2142</v>
      </c>
      <c r="C196" s="1867"/>
      <c r="D196" s="1867"/>
      <c r="E196" s="1867"/>
      <c r="F196" s="1859">
        <v>0.05</v>
      </c>
    </row>
    <row r="197" spans="1:6" ht="24.75" thickBot="1">
      <c r="A197" s="1853" t="s">
        <v>1411</v>
      </c>
      <c r="B197" s="1857" t="s">
        <v>2143</v>
      </c>
      <c r="C197" s="1867"/>
      <c r="D197" s="1867"/>
      <c r="E197" s="1867"/>
      <c r="F197" s="1859">
        <v>0.05</v>
      </c>
    </row>
    <row r="198" spans="1:6" ht="24.75" thickBot="1">
      <c r="A198" s="1853" t="s">
        <v>1411</v>
      </c>
      <c r="B198" s="1857" t="s">
        <v>2144</v>
      </c>
      <c r="C198" s="1867"/>
      <c r="D198" s="1867"/>
      <c r="E198" s="1867"/>
      <c r="F198" s="1859">
        <v>0.05</v>
      </c>
    </row>
    <row r="199" spans="1:6" ht="24.75" thickBot="1">
      <c r="A199" s="1853" t="s">
        <v>1411</v>
      </c>
      <c r="B199" s="1857" t="s">
        <v>2145</v>
      </c>
      <c r="C199" s="1867"/>
      <c r="D199" s="1867"/>
      <c r="E199" s="1867"/>
      <c r="F199" s="1859">
        <v>0.05</v>
      </c>
    </row>
    <row r="200" spans="1:6" ht="24.75" thickBot="1">
      <c r="A200" s="1853" t="s">
        <v>1411</v>
      </c>
      <c r="B200" s="1857" t="s">
        <v>2146</v>
      </c>
      <c r="C200" s="1867"/>
      <c r="D200" s="1867"/>
      <c r="E200" s="1867"/>
      <c r="F200" s="1859">
        <v>0.05</v>
      </c>
    </row>
    <row r="201" spans="1:6" ht="24.75" thickBot="1">
      <c r="A201" s="1853" t="s">
        <v>1411</v>
      </c>
      <c r="B201" s="1857" t="s">
        <v>2147</v>
      </c>
      <c r="C201" s="1867"/>
      <c r="D201" s="1867"/>
      <c r="E201" s="1867"/>
      <c r="F201" s="1859">
        <v>0.05</v>
      </c>
    </row>
    <row r="202" spans="1:6" ht="24.75" thickBot="1">
      <c r="A202" s="1853" t="s">
        <v>1411</v>
      </c>
      <c r="B202" s="1857" t="s">
        <v>2148</v>
      </c>
      <c r="C202" s="1867"/>
      <c r="D202" s="1867"/>
      <c r="E202" s="1867"/>
      <c r="F202" s="1859">
        <v>0.05</v>
      </c>
    </row>
    <row r="203" spans="1:6" ht="24.75" thickBot="1">
      <c r="A203" s="1853" t="s">
        <v>1411</v>
      </c>
      <c r="B203" s="1857" t="s">
        <v>2149</v>
      </c>
      <c r="C203" s="1867"/>
      <c r="D203" s="1867"/>
      <c r="E203" s="1867"/>
      <c r="F203" s="1859">
        <v>0.05</v>
      </c>
    </row>
    <row r="204" spans="1:6" ht="14.25" thickBot="1">
      <c r="A204" s="1853" t="s">
        <v>1411</v>
      </c>
      <c r="B204" s="1857" t="s">
        <v>2150</v>
      </c>
      <c r="C204" s="1867"/>
      <c r="D204" s="1867"/>
      <c r="E204" s="1867"/>
      <c r="F204" s="1859">
        <v>0.05</v>
      </c>
    </row>
    <row r="205" spans="1:6" ht="14.25" thickBot="1">
      <c r="A205" s="1861" t="s">
        <v>1411</v>
      </c>
      <c r="B205" s="1868" t="s">
        <v>2151</v>
      </c>
      <c r="C205" s="1864"/>
      <c r="D205" s="1864"/>
      <c r="E205" s="1864"/>
      <c r="F205" s="1869">
        <v>0.05</v>
      </c>
    </row>
    <row r="206" spans="1:6" ht="14.25" thickBot="1">
      <c r="A206" s="1853" t="s">
        <v>1413</v>
      </c>
      <c r="B206" s="1854" t="s">
        <v>2152</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2153</v>
      </c>
      <c r="C210" s="1858">
        <v>0.15</v>
      </c>
      <c r="D210" s="1858">
        <v>0.15</v>
      </c>
      <c r="E210" s="1858">
        <v>0.15</v>
      </c>
      <c r="F210" s="1859">
        <v>0.13800000000000001</v>
      </c>
    </row>
    <row r="211" spans="1:6" ht="14.25" thickBot="1">
      <c r="A211" s="1853" t="s">
        <v>1413</v>
      </c>
      <c r="B211" s="1857" t="s">
        <v>2154</v>
      </c>
      <c r="C211" s="1858">
        <v>0.13700000000000001</v>
      </c>
      <c r="D211" s="1858">
        <v>0.13500000000000001</v>
      </c>
      <c r="E211" s="1858">
        <v>0.13600000000000001</v>
      </c>
      <c r="F211" s="1859">
        <v>0.1</v>
      </c>
    </row>
    <row r="212" spans="1:6" ht="14.25" thickBot="1">
      <c r="A212" s="1853" t="s">
        <v>1413</v>
      </c>
      <c r="B212" s="1857" t="s">
        <v>2155</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2156</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2157</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2158</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2159</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2160</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2161</v>
      </c>
      <c r="C231" s="1858">
        <v>0.128</v>
      </c>
      <c r="D231" s="1858">
        <v>0.125</v>
      </c>
      <c r="E231" s="1858">
        <v>0.13200000000000001</v>
      </c>
      <c r="F231" s="1866"/>
    </row>
    <row r="232" spans="1:6" ht="14.25" thickBot="1">
      <c r="A232" s="1853" t="s">
        <v>1413</v>
      </c>
      <c r="B232" s="1857" t="s">
        <v>2162</v>
      </c>
      <c r="C232" s="1858">
        <v>0.14499999999999999</v>
      </c>
      <c r="D232" s="1858">
        <v>0.14399999999999999</v>
      </c>
      <c r="E232" s="1858">
        <v>0.14599999999999999</v>
      </c>
      <c r="F232" s="1859">
        <v>0.13800000000000001</v>
      </c>
    </row>
    <row r="233" spans="1:6" ht="14.25" thickBot="1">
      <c r="A233" s="1853" t="s">
        <v>1413</v>
      </c>
      <c r="B233" s="1857" t="s">
        <v>2163</v>
      </c>
      <c r="C233" s="1858">
        <v>0.14499999999999999</v>
      </c>
      <c r="D233" s="1858">
        <v>0.14299999999999999</v>
      </c>
      <c r="E233" s="1858">
        <v>0.14199999999999999</v>
      </c>
      <c r="F233" s="1866"/>
    </row>
    <row r="234" spans="1:6" ht="14.25" thickBot="1">
      <c r="A234" s="1853" t="s">
        <v>1413</v>
      </c>
      <c r="B234" s="1857" t="s">
        <v>2164</v>
      </c>
      <c r="C234" s="1858">
        <v>0.14000000000000001</v>
      </c>
      <c r="D234" s="1858">
        <v>0.14000000000000001</v>
      </c>
      <c r="E234" s="1858">
        <v>0.14399999999999999</v>
      </c>
      <c r="F234" s="1866"/>
    </row>
    <row r="235" spans="1:6" ht="14.25" thickBot="1">
      <c r="A235" s="1853" t="s">
        <v>1413</v>
      </c>
      <c r="B235" s="1857" t="s">
        <v>2165</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2166</v>
      </c>
      <c r="C237" s="1867"/>
      <c r="D237" s="1867"/>
      <c r="E237" s="1867"/>
      <c r="F237" s="1859">
        <v>0.05</v>
      </c>
    </row>
    <row r="238" spans="1:6" ht="24.75" thickBot="1">
      <c r="A238" s="1853" t="s">
        <v>1413</v>
      </c>
      <c r="B238" s="1857" t="s">
        <v>2167</v>
      </c>
      <c r="C238" s="1867"/>
      <c r="D238" s="1867"/>
      <c r="E238" s="1867"/>
      <c r="F238" s="1859">
        <v>0.05</v>
      </c>
    </row>
    <row r="239" spans="1:6" ht="24.75" thickBot="1">
      <c r="A239" s="1853" t="s">
        <v>1413</v>
      </c>
      <c r="B239" s="1857" t="s">
        <v>2168</v>
      </c>
      <c r="C239" s="1867"/>
      <c r="D239" s="1867"/>
      <c r="E239" s="1867"/>
      <c r="F239" s="1859">
        <v>0.05</v>
      </c>
    </row>
    <row r="240" spans="1:6" ht="24.75" thickBot="1">
      <c r="A240" s="1853" t="s">
        <v>1413</v>
      </c>
      <c r="B240" s="1857" t="s">
        <v>2169</v>
      </c>
      <c r="C240" s="1867"/>
      <c r="D240" s="1867"/>
      <c r="E240" s="1867"/>
      <c r="F240" s="1859">
        <v>0.05</v>
      </c>
    </row>
    <row r="241" spans="1:6" ht="24.75" thickBot="1">
      <c r="A241" s="1853" t="s">
        <v>1413</v>
      </c>
      <c r="B241" s="1857" t="s">
        <v>2170</v>
      </c>
      <c r="C241" s="1867"/>
      <c r="D241" s="1867"/>
      <c r="E241" s="1867"/>
      <c r="F241" s="1859">
        <v>0.05</v>
      </c>
    </row>
    <row r="242" spans="1:6" ht="24.75" thickBot="1">
      <c r="A242" s="1853" t="s">
        <v>1413</v>
      </c>
      <c r="B242" s="1857" t="s">
        <v>2171</v>
      </c>
      <c r="C242" s="1867"/>
      <c r="D242" s="1867"/>
      <c r="E242" s="1867"/>
      <c r="F242" s="1859">
        <v>0.05</v>
      </c>
    </row>
    <row r="243" spans="1:6" ht="24.75" thickBot="1">
      <c r="A243" s="1853" t="s">
        <v>1413</v>
      </c>
      <c r="B243" s="1857" t="s">
        <v>2172</v>
      </c>
      <c r="C243" s="1867"/>
      <c r="D243" s="1867"/>
      <c r="E243" s="1867"/>
      <c r="F243" s="1859">
        <v>0.05</v>
      </c>
    </row>
    <row r="244" spans="1:6" ht="24.75" thickBot="1">
      <c r="A244" s="1861" t="s">
        <v>1413</v>
      </c>
      <c r="B244" s="1868" t="s">
        <v>2173</v>
      </c>
      <c r="C244" s="1864"/>
      <c r="D244" s="1864"/>
      <c r="E244" s="1864"/>
      <c r="F244" s="1869">
        <v>0.05</v>
      </c>
    </row>
    <row r="245" spans="1:6" ht="14.25" thickBot="1">
      <c r="A245" s="1853" t="s">
        <v>1415</v>
      </c>
      <c r="B245" s="1854" t="s">
        <v>2174</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2175</v>
      </c>
      <c r="C247" s="1858">
        <v>0.15</v>
      </c>
      <c r="D247" s="1858">
        <v>0.15</v>
      </c>
      <c r="E247" s="1858">
        <v>0.15</v>
      </c>
      <c r="F247" s="1859">
        <v>0.15</v>
      </c>
    </row>
    <row r="248" spans="1:6" ht="14.25" thickBot="1">
      <c r="A248" s="1853" t="s">
        <v>1415</v>
      </c>
      <c r="B248" s="1857" t="s">
        <v>2176</v>
      </c>
      <c r="C248" s="1858">
        <v>0.15</v>
      </c>
      <c r="D248" s="1858">
        <v>0.15</v>
      </c>
      <c r="E248" s="1858">
        <v>0.15</v>
      </c>
      <c r="F248" s="1859">
        <v>0.14000000000000001</v>
      </c>
    </row>
    <row r="249" spans="1:6" ht="14.25" thickBot="1">
      <c r="A249" s="1853" t="s">
        <v>1415</v>
      </c>
      <c r="B249" s="1857" t="s">
        <v>2177</v>
      </c>
      <c r="C249" s="1858">
        <v>0.15</v>
      </c>
      <c r="D249" s="1858">
        <v>0.14899999999999999</v>
      </c>
      <c r="E249" s="1858">
        <v>0.15</v>
      </c>
      <c r="F249" s="1859">
        <v>0.1</v>
      </c>
    </row>
    <row r="250" spans="1:6" ht="14.25" thickBot="1">
      <c r="A250" s="1853" t="s">
        <v>1415</v>
      </c>
      <c r="B250" s="1857" t="s">
        <v>2178</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2179</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2180</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2181</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2182</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2183</v>
      </c>
      <c r="C273" s="1858">
        <v>0.14199999999999999</v>
      </c>
      <c r="D273" s="1858">
        <v>0.14299999999999999</v>
      </c>
      <c r="E273" s="1858">
        <v>0.15</v>
      </c>
      <c r="F273" s="1859">
        <v>0.1</v>
      </c>
    </row>
    <row r="274" spans="1:6" ht="14.25" thickBot="1">
      <c r="A274" s="1853" t="s">
        <v>1415</v>
      </c>
      <c r="B274" s="1857" t="s">
        <v>2184</v>
      </c>
      <c r="C274" s="1858">
        <v>0.14799999999999999</v>
      </c>
      <c r="D274" s="1858">
        <v>0.14799999999999999</v>
      </c>
      <c r="E274" s="1858">
        <v>0.15</v>
      </c>
      <c r="F274" s="1859">
        <v>6.7000000000000004E-2</v>
      </c>
    </row>
    <row r="275" spans="1:6" ht="14.25" thickBot="1">
      <c r="A275" s="1853" t="s">
        <v>1415</v>
      </c>
      <c r="B275" s="1857" t="s">
        <v>2185</v>
      </c>
      <c r="C275" s="1858">
        <v>0.15</v>
      </c>
      <c r="D275" s="1858">
        <v>0.15</v>
      </c>
      <c r="E275" s="1858">
        <v>0.15</v>
      </c>
      <c r="F275" s="1859">
        <v>0.15</v>
      </c>
    </row>
    <row r="276" spans="1:6" ht="14.25" thickBot="1">
      <c r="A276" s="1853" t="s">
        <v>1415</v>
      </c>
      <c r="B276" s="1857" t="s">
        <v>2186</v>
      </c>
      <c r="C276" s="1858">
        <v>0.14499999999999999</v>
      </c>
      <c r="D276" s="1858">
        <v>0.14299999999999999</v>
      </c>
      <c r="E276" s="1858">
        <v>0.15</v>
      </c>
      <c r="F276" s="1859">
        <v>5.8999999999999997E-2</v>
      </c>
    </row>
    <row r="277" spans="1:6" ht="14.25" thickBot="1">
      <c r="A277" s="1853" t="s">
        <v>1415</v>
      </c>
      <c r="B277" s="1857" t="s">
        <v>2187</v>
      </c>
      <c r="C277" s="1858">
        <v>0.15</v>
      </c>
      <c r="D277" s="1858">
        <v>0.15</v>
      </c>
      <c r="E277" s="1858">
        <v>0.15</v>
      </c>
      <c r="F277" s="1859">
        <v>0.121</v>
      </c>
    </row>
    <row r="278" spans="1:6" ht="14.25" thickBot="1">
      <c r="A278" s="1853" t="s">
        <v>1415</v>
      </c>
      <c r="B278" s="1857" t="s">
        <v>2188</v>
      </c>
      <c r="C278" s="1858">
        <v>0.15</v>
      </c>
      <c r="D278" s="1858">
        <v>0.15</v>
      </c>
      <c r="E278" s="1858">
        <v>0.15</v>
      </c>
      <c r="F278" s="1859">
        <v>0.13800000000000001</v>
      </c>
    </row>
    <row r="279" spans="1:6" ht="24.75" thickBot="1">
      <c r="A279" s="1853" t="s">
        <v>1415</v>
      </c>
      <c r="B279" s="1857" t="s">
        <v>2189</v>
      </c>
      <c r="C279" s="1867"/>
      <c r="D279" s="1867"/>
      <c r="E279" s="1867"/>
      <c r="F279" s="1859">
        <v>0.05</v>
      </c>
    </row>
    <row r="280" spans="1:6" ht="24.75" thickBot="1">
      <c r="A280" s="1853" t="s">
        <v>1415</v>
      </c>
      <c r="B280" s="1857" t="s">
        <v>2190</v>
      </c>
      <c r="C280" s="1867"/>
      <c r="D280" s="1867"/>
      <c r="E280" s="1867"/>
      <c r="F280" s="1859">
        <v>0.05</v>
      </c>
    </row>
    <row r="281" spans="1:6" ht="24.75" thickBot="1">
      <c r="A281" s="1853" t="s">
        <v>1415</v>
      </c>
      <c r="B281" s="1857" t="s">
        <v>2191</v>
      </c>
      <c r="C281" s="1867"/>
      <c r="D281" s="1867"/>
      <c r="E281" s="1867"/>
      <c r="F281" s="1859">
        <v>0.05</v>
      </c>
    </row>
    <row r="282" spans="1:6" ht="24.75" thickBot="1">
      <c r="A282" s="1853" t="s">
        <v>1415</v>
      </c>
      <c r="B282" s="1857" t="s">
        <v>2192</v>
      </c>
      <c r="C282" s="1867"/>
      <c r="D282" s="1867"/>
      <c r="E282" s="1867"/>
      <c r="F282" s="1859">
        <v>0.05</v>
      </c>
    </row>
    <row r="283" spans="1:6" ht="24.75" thickBot="1">
      <c r="A283" s="1853" t="s">
        <v>1415</v>
      </c>
      <c r="B283" s="1857" t="s">
        <v>2193</v>
      </c>
      <c r="C283" s="1867"/>
      <c r="D283" s="1867"/>
      <c r="E283" s="1867"/>
      <c r="F283" s="1859">
        <v>0.05</v>
      </c>
    </row>
    <row r="284" spans="1:6" ht="24.75" thickBot="1">
      <c r="A284" s="1853" t="s">
        <v>1415</v>
      </c>
      <c r="B284" s="1857" t="s">
        <v>2194</v>
      </c>
      <c r="C284" s="1867"/>
      <c r="D284" s="1867"/>
      <c r="E284" s="1867"/>
      <c r="F284" s="1859">
        <v>0.05</v>
      </c>
    </row>
    <row r="285" spans="1:6" ht="24.75" thickBot="1">
      <c r="A285" s="1853" t="s">
        <v>1415</v>
      </c>
      <c r="B285" s="1857" t="s">
        <v>2195</v>
      </c>
      <c r="C285" s="1867"/>
      <c r="D285" s="1867"/>
      <c r="E285" s="1867"/>
      <c r="F285" s="1859">
        <v>0.05</v>
      </c>
    </row>
    <row r="286" spans="1:6" ht="24.75" thickBot="1">
      <c r="A286" s="1853" t="s">
        <v>1415</v>
      </c>
      <c r="B286" s="1857" t="s">
        <v>2196</v>
      </c>
      <c r="C286" s="1867"/>
      <c r="D286" s="1867"/>
      <c r="E286" s="1867"/>
      <c r="F286" s="1859">
        <v>0.05</v>
      </c>
    </row>
    <row r="287" spans="1:6" ht="24.75" thickBot="1">
      <c r="A287" s="1853" t="s">
        <v>1415</v>
      </c>
      <c r="B287" s="1857" t="s">
        <v>2197</v>
      </c>
      <c r="C287" s="1867"/>
      <c r="D287" s="1867"/>
      <c r="E287" s="1867"/>
      <c r="F287" s="1859">
        <v>0.05</v>
      </c>
    </row>
    <row r="288" spans="1:6" ht="24.75" thickBot="1">
      <c r="A288" s="1853" t="s">
        <v>1415</v>
      </c>
      <c r="B288" s="1857" t="s">
        <v>2198</v>
      </c>
      <c r="C288" s="1867"/>
      <c r="D288" s="1867"/>
      <c r="E288" s="1867"/>
      <c r="F288" s="1859">
        <v>0.05</v>
      </c>
    </row>
    <row r="289" spans="1:6" ht="24.75" thickBot="1">
      <c r="A289" s="1861" t="s">
        <v>1415</v>
      </c>
      <c r="B289" s="1868" t="s">
        <v>2199</v>
      </c>
      <c r="C289" s="1864"/>
      <c r="D289" s="1864"/>
      <c r="E289" s="1864"/>
      <c r="F289" s="1869">
        <v>0.05</v>
      </c>
    </row>
    <row r="290" spans="1:6" ht="14.25" thickBot="1">
      <c r="A290" s="1853" t="s">
        <v>1419</v>
      </c>
      <c r="B290" s="1854" t="s">
        <v>2200</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2201</v>
      </c>
      <c r="C292" s="1858">
        <v>0.15</v>
      </c>
      <c r="D292" s="1858">
        <v>0.15</v>
      </c>
      <c r="E292" s="1858">
        <v>0.15</v>
      </c>
      <c r="F292" s="1859">
        <v>0.14699999999999999</v>
      </c>
    </row>
    <row r="293" spans="1:6" ht="14.25" thickBot="1">
      <c r="A293" s="1853" t="s">
        <v>1419</v>
      </c>
      <c r="B293" s="1857" t="s">
        <v>2202</v>
      </c>
      <c r="C293" s="1867"/>
      <c r="D293" s="1867"/>
      <c r="E293" s="1867"/>
      <c r="F293" s="1859">
        <v>0.1</v>
      </c>
    </row>
    <row r="294" spans="1:6" ht="14.25" thickBot="1">
      <c r="A294" s="1853" t="s">
        <v>1419</v>
      </c>
      <c r="B294" s="1857" t="s">
        <v>2203</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2204</v>
      </c>
      <c r="C296" s="1858">
        <v>0.15</v>
      </c>
      <c r="D296" s="1858">
        <v>0.15</v>
      </c>
      <c r="E296" s="1858">
        <v>0.15</v>
      </c>
      <c r="F296" s="1859">
        <v>0.15</v>
      </c>
    </row>
    <row r="297" spans="1:6" ht="14.25" thickBot="1">
      <c r="A297" s="1853" t="s">
        <v>1419</v>
      </c>
      <c r="B297" s="1857" t="s">
        <v>2205</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2206</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2207</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2208</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2209</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2210</v>
      </c>
      <c r="C310" s="1858">
        <v>0.15</v>
      </c>
      <c r="D310" s="1858">
        <v>0.15</v>
      </c>
      <c r="E310" s="1858">
        <v>0.15</v>
      </c>
      <c r="F310" s="1859">
        <v>0.13700000000000001</v>
      </c>
    </row>
    <row r="311" spans="1:6" ht="14.25" thickBot="1">
      <c r="A311" s="1853" t="s">
        <v>1419</v>
      </c>
      <c r="B311" s="1857" t="s">
        <v>2211</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2212</v>
      </c>
      <c r="C313" s="1858">
        <v>0.15</v>
      </c>
      <c r="D313" s="1858">
        <v>0.15</v>
      </c>
      <c r="E313" s="1858">
        <v>0.15</v>
      </c>
      <c r="F313" s="1859">
        <v>0.15</v>
      </c>
    </row>
    <row r="314" spans="1:6" ht="24.75" thickBot="1">
      <c r="A314" s="1853" t="s">
        <v>1419</v>
      </c>
      <c r="B314" s="1857" t="s">
        <v>2213</v>
      </c>
      <c r="C314" s="1867"/>
      <c r="D314" s="1867"/>
      <c r="E314" s="1867"/>
      <c r="F314" s="1859">
        <v>0.05</v>
      </c>
    </row>
    <row r="315" spans="1:6" ht="24.75" thickBot="1">
      <c r="A315" s="1853" t="s">
        <v>1419</v>
      </c>
      <c r="B315" s="1857" t="s">
        <v>2214</v>
      </c>
      <c r="C315" s="1867"/>
      <c r="D315" s="1867"/>
      <c r="E315" s="1867"/>
      <c r="F315" s="1859">
        <v>0.05</v>
      </c>
    </row>
    <row r="316" spans="1:6" ht="24.75" thickBot="1">
      <c r="A316" s="1861" t="s">
        <v>1419</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1107</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1176</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1196</v>
      </c>
      <c r="C328" s="1858">
        <v>0.15</v>
      </c>
      <c r="D328" s="1858">
        <v>0.15</v>
      </c>
      <c r="E328" s="1858">
        <v>0.15</v>
      </c>
      <c r="F328" s="1859">
        <v>0.14099999999999999</v>
      </c>
    </row>
    <row r="329" spans="1:6" ht="14.25" thickBot="1">
      <c r="A329" s="1853" t="s">
        <v>2216</v>
      </c>
      <c r="B329" s="1857" t="s">
        <v>1206</v>
      </c>
      <c r="C329" s="1858">
        <v>0.15</v>
      </c>
      <c r="D329" s="1858">
        <v>0.15</v>
      </c>
      <c r="E329" s="1858">
        <v>0.15</v>
      </c>
      <c r="F329" s="1859">
        <v>0.15</v>
      </c>
    </row>
    <row r="330" spans="1:6" ht="14.25" thickBot="1">
      <c r="A330" s="1853" t="s">
        <v>2216</v>
      </c>
      <c r="B330" s="1857" t="s">
        <v>1216</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1236</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1256</v>
      </c>
      <c r="C334" s="1858">
        <v>0.15</v>
      </c>
      <c r="D334" s="1858">
        <v>0.15</v>
      </c>
      <c r="E334" s="1858">
        <v>0.15</v>
      </c>
      <c r="F334" s="1859">
        <v>0.15</v>
      </c>
    </row>
    <row r="335" spans="1:6" ht="14.25" thickBot="1">
      <c r="A335" s="1853" t="s">
        <v>2216</v>
      </c>
      <c r="B335" s="1857" t="s">
        <v>1266</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1284</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受贵公司委托，我公司对北京市一区西出让国有建设用地使用权市场价格进行了预评估。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7" spans="1:4" ht="56.25">
      <c r="A7" s="1793" t="s">
        <v>2746</v>
      </c>
    </row>
    <row r="8" spans="1:4" ht="18.75">
      <c r="A8" s="1792" t="s">
        <v>1906</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2026</v>
      </c>
    </row>
    <row r="11" spans="1:4" ht="18.75">
      <c r="A11" s="1778" t="str">
        <f>TEXT(项目基本情况!D3,"yyyy年m月d日;;")&amp;IF(项目基本情况!B3=项目基本情况!D3,"（评估专业人员勘察现场之日）","")</f>
        <v>2019年2月14日（评估专业人员勘察现场之日）</v>
      </c>
    </row>
    <row r="12" spans="1:4" ht="18.75">
      <c r="A12" s="1795" t="s">
        <v>2025</v>
      </c>
    </row>
    <row r="13" spans="1:4" ht="18.75">
      <c r="A13" s="1789" t="s">
        <v>2942</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2073</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根据《国有土地使用证》[]，估价对象（分摊）出让国有建设用地使用权面积为19600平方米。根据《建设工程规划许可证》[]、《出让合同》[]，估价对象规划建筑面积为86130.88平方米。</v>
      </c>
    </row>
    <row r="21" spans="1:1" ht="18.75">
      <c r="A21" s="1789" t="s">
        <v>2074</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本次估价对象为出让国有建设用地使用权，《国有土地使用证》[]证载土地终止日期为商业2044年8月27日、办公2054年8月27日、地下车库2054年8月27日。截至估价期日，出让国有建设用地使用权剩余土地使用年限为。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2075</v>
      </c>
    </row>
    <row r="25" spans="1:1" ht="75">
      <c r="A25" s="1789"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2950</v>
      </c>
      <c r="B1" s="3078"/>
      <c r="C1" s="3078"/>
      <c r="D1" s="3078"/>
      <c r="E1" s="3078"/>
      <c r="F1" s="3078"/>
    </row>
    <row r="2" spans="1:6" ht="14.25">
      <c r="A2" s="3079" t="s">
        <v>2945</v>
      </c>
      <c r="B2" s="3080" t="e">
        <f ca="1">SUMIF(B7:B14,"&lt;&gt;#ref!",B7:B14)</f>
        <v>#DIV/0!</v>
      </c>
      <c r="C2" s="3079" t="s">
        <v>2946</v>
      </c>
      <c r="D2" s="3078"/>
      <c r="E2" s="3078"/>
      <c r="F2" s="3078"/>
    </row>
    <row r="3" spans="1:6" ht="14.25">
      <c r="A3" s="3079" t="s">
        <v>2978</v>
      </c>
      <c r="B3" s="3080" t="e">
        <f ca="1">ROUND(B2*10000/E3,0)</f>
        <v>#DIV/0!</v>
      </c>
      <c r="C3" s="3079" t="s">
        <v>2078</v>
      </c>
      <c r="D3" s="3079" t="s">
        <v>2947</v>
      </c>
      <c r="E3" s="3080">
        <f ca="1">SUMIF(E7:E14,"&lt;&gt;#ref!",E7:E14)</f>
        <v>0</v>
      </c>
      <c r="F3" s="3078"/>
    </row>
    <row r="4" spans="1:6" ht="14.25">
      <c r="A4" s="3079" t="s">
        <v>2954</v>
      </c>
      <c r="B4" s="3080" t="e">
        <f ca="1">ROUND(B2*10000/E4,0)</f>
        <v>#DIV/0!</v>
      </c>
      <c r="C4" s="3079" t="s">
        <v>2078</v>
      </c>
      <c r="D4" s="3079" t="s">
        <v>2955</v>
      </c>
      <c r="E4" s="3080">
        <f ca="1">SUMIF(F7:F14,"&lt;&gt;#ref!",F7:F14)</f>
        <v>0</v>
      </c>
      <c r="F4" s="3078"/>
    </row>
    <row r="5" spans="1:6" ht="14.25">
      <c r="A5" s="3081"/>
      <c r="B5" s="1879"/>
      <c r="C5" s="1879"/>
      <c r="D5" s="1879"/>
      <c r="E5" s="1879"/>
      <c r="F5" s="3078"/>
    </row>
    <row r="6" spans="1:6" ht="28.5">
      <c r="A6" s="3082" t="s">
        <v>2951</v>
      </c>
      <c r="B6" s="3079" t="s">
        <v>2948</v>
      </c>
      <c r="C6" s="3080"/>
      <c r="D6" s="1879"/>
      <c r="E6" s="3079" t="s">
        <v>2949</v>
      </c>
      <c r="F6" s="3079" t="s">
        <v>2953</v>
      </c>
    </row>
    <row r="7" spans="1:6" ht="14.25">
      <c r="A7" s="259" t="s">
        <v>2952</v>
      </c>
      <c r="B7" s="3083" t="e">
        <f ca="1">SUMIF(INDIRECT("'"&amp;A7&amp;"'"&amp;"!A:A"),"总价",INDIRECT("'"&amp;A7&amp;"'"&amp;"!B:B"))</f>
        <v>#DIV/0!</v>
      </c>
      <c r="C7" s="3079" t="s">
        <v>2946</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2946</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2946</v>
      </c>
      <c r="D9" s="1879"/>
      <c r="E9" s="3084" t="e">
        <f t="shared" ca="1" si="1"/>
        <v>#REF!</v>
      </c>
      <c r="F9" s="3084" t="e">
        <f t="shared" ca="1" si="2"/>
        <v>#REF!</v>
      </c>
    </row>
    <row r="10" spans="1:6" ht="14.25">
      <c r="A10" s="259"/>
      <c r="B10" s="3083" t="e">
        <f t="shared" ca="1" si="0"/>
        <v>#REF!</v>
      </c>
      <c r="C10" s="3079" t="s">
        <v>2946</v>
      </c>
      <c r="D10" s="1879"/>
      <c r="E10" s="3084" t="e">
        <f t="shared" ca="1" si="1"/>
        <v>#REF!</v>
      </c>
      <c r="F10" s="3084" t="e">
        <f t="shared" ca="1" si="2"/>
        <v>#REF!</v>
      </c>
    </row>
    <row r="11" spans="1:6" ht="14.25">
      <c r="A11" s="259"/>
      <c r="B11" s="3083" t="e">
        <f t="shared" ca="1" si="0"/>
        <v>#REF!</v>
      </c>
      <c r="C11" s="3079" t="s">
        <v>2946</v>
      </c>
      <c r="D11" s="1879"/>
      <c r="E11" s="3084" t="e">
        <f t="shared" ca="1" si="1"/>
        <v>#REF!</v>
      </c>
      <c r="F11" s="3084" t="e">
        <f t="shared" ca="1" si="2"/>
        <v>#REF!</v>
      </c>
    </row>
    <row r="12" spans="1:6" ht="14.25">
      <c r="A12" s="259"/>
      <c r="B12" s="3083" t="e">
        <f t="shared" ca="1" si="0"/>
        <v>#REF!</v>
      </c>
      <c r="C12" s="3079" t="s">
        <v>2946</v>
      </c>
      <c r="D12" s="1879"/>
      <c r="E12" s="3084" t="e">
        <f t="shared" ca="1" si="1"/>
        <v>#REF!</v>
      </c>
      <c r="F12" s="3084" t="e">
        <f t="shared" ca="1" si="2"/>
        <v>#REF!</v>
      </c>
    </row>
    <row r="13" spans="1:6" ht="14.25">
      <c r="A13" s="259"/>
      <c r="B13" s="3083" t="e">
        <f t="shared" ca="1" si="0"/>
        <v>#REF!</v>
      </c>
      <c r="C13" s="3079" t="s">
        <v>2946</v>
      </c>
      <c r="D13" s="1879"/>
      <c r="E13" s="3084" t="e">
        <f t="shared" ca="1" si="1"/>
        <v>#REF!</v>
      </c>
      <c r="F13" s="3084" t="e">
        <f t="shared" ca="1" si="2"/>
        <v>#REF!</v>
      </c>
    </row>
    <row r="14" spans="1:6" ht="14.25">
      <c r="A14" s="3077"/>
      <c r="B14" s="3083" t="e">
        <f t="shared" ca="1" si="0"/>
        <v>#REF!</v>
      </c>
      <c r="C14" s="3079" t="s">
        <v>2946</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3" t="s">
        <v>2374</v>
      </c>
      <c r="F1" s="2364">
        <f ca="1">J54</f>
        <v>-1.5</v>
      </c>
      <c r="G1" s="773">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48"/>
      <c r="D2" s="2053"/>
      <c r="E2" s="2054"/>
      <c r="F2" s="2054"/>
      <c r="G2" s="1588"/>
      <c r="H2" s="1360"/>
      <c r="I2" s="2055"/>
      <c r="J2" s="2055"/>
      <c r="K2" s="2056"/>
      <c r="L2" s="2055"/>
      <c r="M2" s="2055"/>
    </row>
    <row r="3" spans="1:25" ht="18" customHeight="1">
      <c r="A3" s="1643" t="s">
        <v>1686</v>
      </c>
      <c r="B3" s="1389">
        <f ca="1">ROUND(B2*10000/'数据-汇总表'!E3,0)</f>
        <v>0</v>
      </c>
      <c r="C3" s="1348"/>
      <c r="D3" s="2053"/>
      <c r="E3" s="2054"/>
      <c r="F3" s="2054"/>
      <c r="G3" s="1588"/>
      <c r="H3" s="775" t="s">
        <v>695</v>
      </c>
      <c r="I3" s="2055"/>
      <c r="J3" s="2055"/>
      <c r="K3" s="2056"/>
      <c r="L3" s="2055"/>
      <c r="M3" s="2055"/>
    </row>
    <row r="4" spans="1:25" ht="18" customHeight="1">
      <c r="A4" s="1644" t="s">
        <v>696</v>
      </c>
      <c r="B4" s="1349">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2458</v>
      </c>
      <c r="C7" s="53">
        <f ca="1">C8+C12+C14</f>
        <v>0</v>
      </c>
      <c r="D7" s="2472" t="s">
        <v>2461</v>
      </c>
      <c r="E7" s="2466"/>
      <c r="F7" s="2467"/>
      <c r="G7" s="1590"/>
      <c r="H7" s="780">
        <v>1</v>
      </c>
      <c r="I7" s="781" t="s">
        <v>2458</v>
      </c>
      <c r="J7" s="53">
        <f ca="1">J8+J12+J14</f>
        <v>0</v>
      </c>
      <c r="K7" s="2472" t="s">
        <v>2461</v>
      </c>
      <c r="L7" s="2466"/>
      <c r="M7" s="2467"/>
    </row>
    <row r="8" spans="1:25" ht="18" customHeight="1">
      <c r="A8" s="1828" t="s">
        <v>1824</v>
      </c>
      <c r="B8" s="3455" t="s">
        <v>2463</v>
      </c>
      <c r="C8" s="1823">
        <f ca="1">ROUND(F8*F10*F9*(1-F11)/10000,0)</f>
        <v>0</v>
      </c>
      <c r="D8" s="1820" t="s">
        <v>2534</v>
      </c>
      <c r="E8" s="61" t="s">
        <v>637</v>
      </c>
      <c r="F8" s="784">
        <f ca="1">INDIRECT("'数据-取费表'!u"&amp;$G$1)</f>
        <v>4</v>
      </c>
      <c r="G8" s="1590"/>
      <c r="H8" s="2480" t="s">
        <v>1824</v>
      </c>
      <c r="I8" s="3455" t="s">
        <v>2463</v>
      </c>
      <c r="J8" s="782">
        <f ca="1">ROUND(M8*M10*M9*(1-M11)/10000,0)</f>
        <v>0</v>
      </c>
      <c r="K8" s="340" t="s">
        <v>2534</v>
      </c>
      <c r="L8" s="783" t="s">
        <v>1738</v>
      </c>
      <c r="M8" s="784">
        <f ca="1">INDIRECT("'数据-取费表'!z"&amp;$G$1)</f>
        <v>0</v>
      </c>
    </row>
    <row r="9" spans="1:25" ht="18" customHeight="1">
      <c r="A9" s="2476"/>
      <c r="B9" s="3456"/>
      <c r="C9" s="1824"/>
      <c r="D9" s="1821"/>
      <c r="E9" s="61" t="s">
        <v>638</v>
      </c>
      <c r="F9" s="784">
        <f ca="1">IF(INDIRECT("'数据-取费表'!ah"&amp;$G$1)="",INDIRECT("'数据-取费表'!k"&amp;$G$1),INDIRECT("'数据-取费表'!ah"&amp;$G$1))</f>
        <v>0</v>
      </c>
      <c r="G9" s="1590"/>
      <c r="H9" s="2465"/>
      <c r="I9" s="3456"/>
      <c r="J9" s="787"/>
      <c r="K9" s="788"/>
      <c r="L9" s="783" t="s">
        <v>1739</v>
      </c>
      <c r="M9" s="784">
        <f ca="1">F9</f>
        <v>0</v>
      </c>
    </row>
    <row r="10" spans="1:25" ht="18" customHeight="1">
      <c r="A10" s="2469"/>
      <c r="B10" s="3457"/>
      <c r="C10" s="1824"/>
      <c r="D10" s="1821"/>
      <c r="E10" s="61" t="s">
        <v>639</v>
      </c>
      <c r="F10" s="784">
        <f ca="1">INDIRECT("'数据-取费表'!ai"&amp;$G$1)</f>
        <v>365</v>
      </c>
      <c r="G10" s="1590"/>
      <c r="H10" s="2465"/>
      <c r="I10" s="3457"/>
      <c r="J10" s="787"/>
      <c r="K10" s="788"/>
      <c r="L10" s="783" t="s">
        <v>1740</v>
      </c>
      <c r="M10" s="784">
        <f ca="1">INDIRECT("'数据-取费表'!ai"&amp;$G$1)</f>
        <v>365</v>
      </c>
    </row>
    <row r="11" spans="1:25" ht="18" customHeight="1">
      <c r="A11" s="785"/>
      <c r="B11" s="3458"/>
      <c r="C11" s="1824"/>
      <c r="D11" s="1821"/>
      <c r="E11" s="61" t="s">
        <v>640</v>
      </c>
      <c r="F11" s="793">
        <f ca="1">INDIRECT("'数据-取费表'!w"&amp;$G$1)</f>
        <v>0.1</v>
      </c>
      <c r="G11" s="1590"/>
      <c r="H11" s="2481"/>
      <c r="I11" s="3457"/>
      <c r="J11" s="787"/>
      <c r="K11" s="788"/>
      <c r="L11" s="794" t="s">
        <v>1741</v>
      </c>
      <c r="M11" s="795">
        <f ca="1">INDIRECT("'数据-取费表'!ab"&amp;$G$1)</f>
        <v>0</v>
      </c>
    </row>
    <row r="12" spans="1:25" ht="18" customHeight="1">
      <c r="A12" s="1828" t="s">
        <v>1825</v>
      </c>
      <c r="B12" s="2470" t="s">
        <v>2459</v>
      </c>
      <c r="C12" s="798">
        <f ca="1">ROUND(IF(F12="押一",C8/12*F13,IF(F12="押二",C8/12*2*F13,IF(F12="押三",C8/12*3*F13,C13*F13))),0)</f>
        <v>0</v>
      </c>
      <c r="D12" s="2477" t="s">
        <v>2975</v>
      </c>
      <c r="E12" s="2474" t="s">
        <v>2464</v>
      </c>
      <c r="F12" s="2597"/>
      <c r="G12" s="1590"/>
      <c r="H12" s="2537" t="s">
        <v>1825</v>
      </c>
      <c r="I12" s="2542" t="s">
        <v>2459</v>
      </c>
      <c r="J12" s="782">
        <f ca="1">ROUND(IF(M12="押一",J8/12*M13,IF(M12="押二",J8/12*2*M13,IF(M12="押三",J8/12*3*M13,J13*M13))),0)</f>
        <v>0</v>
      </c>
      <c r="K12" s="2477" t="s">
        <v>2975</v>
      </c>
      <c r="L12" s="2474" t="s">
        <v>2464</v>
      </c>
      <c r="M12" s="2597"/>
    </row>
    <row r="13" spans="1:25" ht="18" customHeight="1">
      <c r="A13" s="789"/>
      <c r="B13" s="2471" t="s">
        <v>2573</v>
      </c>
      <c r="C13" s="2475"/>
      <c r="D13" s="788"/>
      <c r="E13" s="2474" t="s">
        <v>2456</v>
      </c>
      <c r="F13" s="795">
        <f ca="1">'数据-取费表'!B39</f>
        <v>1.4999999999999999E-2</v>
      </c>
      <c r="G13" s="1590"/>
      <c r="H13" s="2538"/>
      <c r="I13" s="2471" t="s">
        <v>2573</v>
      </c>
      <c r="J13" s="2475"/>
      <c r="K13" s="2539"/>
      <c r="L13" s="2474" t="s">
        <v>2456</v>
      </c>
      <c r="M13" s="2468">
        <f ca="1">'数据-取费表'!B39</f>
        <v>1.4999999999999999E-2</v>
      </c>
    </row>
    <row r="14" spans="1:25" ht="18" customHeight="1" thickBot="1">
      <c r="A14" s="2513" t="s">
        <v>2467</v>
      </c>
      <c r="B14" s="2514" t="s">
        <v>2460</v>
      </c>
      <c r="C14" s="2515"/>
      <c r="D14" s="2516"/>
      <c r="E14" s="2517"/>
      <c r="F14" s="2518"/>
      <c r="G14" s="1590"/>
      <c r="H14" s="2527" t="s">
        <v>2467</v>
      </c>
      <c r="I14" s="2540" t="s">
        <v>2460</v>
      </c>
      <c r="J14" s="2541"/>
      <c r="K14" s="2516"/>
      <c r="L14" s="2517"/>
      <c r="M14" s="2530"/>
    </row>
    <row r="15" spans="1:25" ht="18" customHeight="1" thickTop="1">
      <c r="A15" s="1827" t="s">
        <v>1874</v>
      </c>
      <c r="B15" s="1825" t="s">
        <v>641</v>
      </c>
      <c r="C15" s="791">
        <f ca="1">ROUND(C31*F15,0)</f>
        <v>0</v>
      </c>
      <c r="D15" s="1832" t="s">
        <v>642</v>
      </c>
      <c r="E15" s="794" t="s">
        <v>643</v>
      </c>
      <c r="F15" s="799">
        <f ca="1">INDIRECT("'数据-取费表'!y"&amp;$G$1)</f>
        <v>1</v>
      </c>
      <c r="G15" s="1590"/>
      <c r="H15" s="1827" t="s">
        <v>1826</v>
      </c>
      <c r="I15" s="1825" t="s">
        <v>644</v>
      </c>
      <c r="J15" s="1817">
        <f ca="1">ROUND(J16*J17,0)</f>
        <v>0</v>
      </c>
      <c r="K15" s="1819" t="s">
        <v>642</v>
      </c>
      <c r="L15" s="800"/>
      <c r="M15" s="801"/>
    </row>
    <row r="16" spans="1:25" ht="18" customHeight="1">
      <c r="A16" s="802" t="s">
        <v>1875</v>
      </c>
      <c r="B16" s="783" t="s">
        <v>645</v>
      </c>
      <c r="C16" s="803">
        <f ca="1">INDIRECT("'数据-取费表'!m"&amp;$G$1)+INDIRECT("'数据-取费表'!t"&amp;$G$1)</f>
        <v>0</v>
      </c>
      <c r="D16" s="1977" t="s">
        <v>646</v>
      </c>
      <c r="E16" s="1978"/>
      <c r="F16" s="804"/>
      <c r="G16" s="1590"/>
      <c r="H16" s="802" t="s">
        <v>2069</v>
      </c>
      <c r="I16" s="2229" t="s">
        <v>2824</v>
      </c>
      <c r="J16" s="53">
        <f ca="1">C31</f>
        <v>0</v>
      </c>
      <c r="K16" s="26"/>
      <c r="L16" s="800"/>
      <c r="M16" s="801"/>
    </row>
    <row r="17" spans="1:25" s="2062" customFormat="1" ht="18" customHeight="1">
      <c r="A17" s="802" t="s">
        <v>1849</v>
      </c>
      <c r="B17" s="783" t="s">
        <v>647</v>
      </c>
      <c r="C17" s="53">
        <f ca="1">ROUND(C16*F17,0)</f>
        <v>0</v>
      </c>
      <c r="D17" s="805" t="s">
        <v>648</v>
      </c>
      <c r="E17" s="805" t="s">
        <v>649</v>
      </c>
      <c r="F17" s="806">
        <f>'数据-取费表'!B33</f>
        <v>0.03</v>
      </c>
      <c r="G17" s="1591"/>
      <c r="H17" s="802" t="s">
        <v>2070</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0"/>
      <c r="H18" s="796" t="s">
        <v>1827</v>
      </c>
      <c r="I18" s="797" t="s">
        <v>651</v>
      </c>
      <c r="J18" s="798">
        <f ca="1">ROUND(J19+J24+J25+J26,0)</f>
        <v>0</v>
      </c>
      <c r="K18" s="26" t="s">
        <v>652</v>
      </c>
      <c r="L18" s="1980"/>
      <c r="M18" s="56"/>
    </row>
    <row r="19" spans="1:25" s="2062" customFormat="1" ht="18" customHeight="1">
      <c r="A19" s="802" t="s">
        <v>1851</v>
      </c>
      <c r="B19" s="783" t="s">
        <v>653</v>
      </c>
      <c r="C19" s="53">
        <f ca="1">ROUND(F19*(INDIRECT("'数据-取费表'!k"&amp;$G$1)+INDIRECT("'数据-取费表'!S"&amp;$G$1))/10000,0)</f>
        <v>0</v>
      </c>
      <c r="D19" s="783" t="s">
        <v>654</v>
      </c>
      <c r="E19" s="783" t="s">
        <v>655</v>
      </c>
      <c r="F19" s="56">
        <f>'数据-取费表'!B35</f>
        <v>200</v>
      </c>
      <c r="G19" s="1591"/>
      <c r="H19" s="802" t="s">
        <v>2069</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1852</v>
      </c>
      <c r="B20" s="783" t="s">
        <v>659</v>
      </c>
      <c r="C20" s="53">
        <f ca="1">ROUND(C16*F20,0)</f>
        <v>0</v>
      </c>
      <c r="D20" s="783" t="s">
        <v>648</v>
      </c>
      <c r="E20" s="783" t="s">
        <v>649</v>
      </c>
      <c r="F20" s="808">
        <f>'数据-取费表'!B36</f>
        <v>1.4999999999999999E-2</v>
      </c>
      <c r="G20" s="1591"/>
      <c r="H20" s="802" t="s">
        <v>1831</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1876</v>
      </c>
      <c r="B21" s="783" t="s">
        <v>662</v>
      </c>
      <c r="C21" s="53">
        <f ca="1">SUM(C16:C20)</f>
        <v>0</v>
      </c>
      <c r="D21" s="260" t="s">
        <v>663</v>
      </c>
      <c r="E21" s="1980"/>
      <c r="F21" s="56"/>
      <c r="G21" s="1590"/>
      <c r="H21" s="1828" t="s">
        <v>1849</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1877</v>
      </c>
      <c r="B22" s="783" t="s">
        <v>666</v>
      </c>
      <c r="C22" s="53">
        <f ca="1">ROUND(C21*F22,0)</f>
        <v>0</v>
      </c>
      <c r="D22" s="811" t="s">
        <v>667</v>
      </c>
      <c r="E22" s="783" t="s">
        <v>649</v>
      </c>
      <c r="F22" s="808">
        <f>'数据-取费表'!B37</f>
        <v>0.02</v>
      </c>
      <c r="G22" s="1591"/>
      <c r="H22" s="1830" t="s">
        <v>1850</v>
      </c>
      <c r="I22" s="1820" t="s">
        <v>668</v>
      </c>
      <c r="J22" s="54">
        <f ca="1">ROUND(M22*M23/10000,0)</f>
        <v>0</v>
      </c>
      <c r="K22" s="813" t="s">
        <v>669</v>
      </c>
      <c r="L22" s="783" t="s">
        <v>670</v>
      </c>
      <c r="M22" s="639">
        <f>'数据-取费表'!B52</f>
        <v>1.5</v>
      </c>
      <c r="N22" s="2061"/>
      <c r="O22" s="2061"/>
      <c r="P22" s="2061"/>
      <c r="Q22" s="2061"/>
      <c r="R22" s="2061"/>
      <c r="S22" s="2061"/>
      <c r="T22" s="2061"/>
      <c r="U22" s="2061"/>
      <c r="V22" s="2061"/>
      <c r="W22" s="2061"/>
      <c r="X22" s="2061"/>
      <c r="Y22" s="2061"/>
    </row>
    <row r="23" spans="1:25" s="2062" customFormat="1" ht="18" customHeight="1">
      <c r="A23" s="802" t="s">
        <v>1878</v>
      </c>
      <c r="B23" s="783" t="s">
        <v>671</v>
      </c>
      <c r="C23" s="53" t="s">
        <v>1</v>
      </c>
      <c r="D23" s="811" t="s">
        <v>672</v>
      </c>
      <c r="E23" s="783" t="s">
        <v>673</v>
      </c>
      <c r="F23" s="808">
        <f>'数据-取费表'!B38</f>
        <v>0.02</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1879</v>
      </c>
      <c r="B24" s="783" t="s">
        <v>675</v>
      </c>
      <c r="C24" s="53"/>
      <c r="D24" s="2548" t="str">
        <f>IF(F25&lt;=1,"单利计息。","复利计息。")&amp;"建造成本、管理费用、销售费用产生的利息。"</f>
        <v>复利计息。建造成本、管理费用、销售费用产生的利息。</v>
      </c>
      <c r="E24" s="1980"/>
      <c r="F24" s="56"/>
      <c r="G24" s="1590"/>
      <c r="H24" s="1829" t="s">
        <v>2070</v>
      </c>
      <c r="I24" s="783" t="s">
        <v>676</v>
      </c>
      <c r="J24" s="53">
        <f ca="1">ROUND(J16*M24,0)</f>
        <v>0</v>
      </c>
      <c r="K24" s="1975" t="s">
        <v>677</v>
      </c>
      <c r="L24" s="783" t="s">
        <v>649</v>
      </c>
      <c r="M24" s="816">
        <f ca="1">INDIRECT("'数据-取费表'!Ak"&amp;$G$1)</f>
        <v>0.02</v>
      </c>
    </row>
    <row r="25" spans="1:25" s="2062" customFormat="1" ht="18" customHeight="1">
      <c r="A25" s="802" t="s">
        <v>1875</v>
      </c>
      <c r="B25" s="783" t="s">
        <v>2437</v>
      </c>
      <c r="C25" s="53">
        <f ca="1">ROUND(IF('数据-取费表'!B22&lt;=1,(C21+C22)*F26*F25/2,(C21+C22)*(POWER((1+F26),F25/2)-1)),0)</f>
        <v>0</v>
      </c>
      <c r="D25" s="2547" t="str">
        <f>IF(F25&lt;=1,"(建造成本+管理费用)×利率×(建设周期÷2)","(建造成本+管理费用)×((1+利率)^(建设周期÷2)-1)")</f>
        <v>(建造成本+管理费用)×((1+利率)^(建设周期÷2)-1)</v>
      </c>
      <c r="E25" s="783" t="s">
        <v>678</v>
      </c>
      <c r="F25" s="639">
        <f>'数据-取费表'!B20</f>
        <v>1.5</v>
      </c>
      <c r="G25" s="1591"/>
      <c r="H25" s="802" t="s">
        <v>1878</v>
      </c>
      <c r="I25" s="783" t="s">
        <v>679</v>
      </c>
      <c r="J25" s="53">
        <f ca="1">ROUND(J15*M25,0)</f>
        <v>0</v>
      </c>
      <c r="K25" s="1975" t="s">
        <v>680</v>
      </c>
      <c r="L25" s="783" t="s">
        <v>649</v>
      </c>
      <c r="M25" s="817">
        <f ca="1">INDIRECT("'数据-取费表'!Al"&amp;$G$1)</f>
        <v>2E-3</v>
      </c>
      <c r="N25" s="2061"/>
      <c r="O25" s="2061"/>
      <c r="P25" s="2061"/>
      <c r="Q25" s="2061"/>
      <c r="R25" s="2061"/>
      <c r="S25" s="2061"/>
      <c r="T25" s="2061"/>
      <c r="U25" s="2061"/>
      <c r="V25" s="2061"/>
      <c r="W25" s="2061"/>
      <c r="X25" s="2061"/>
      <c r="Y25" s="2061"/>
    </row>
    <row r="26" spans="1:25" s="2062" customFormat="1" ht="18" customHeight="1">
      <c r="A26" s="802" t="s">
        <v>1849</v>
      </c>
      <c r="B26" s="783" t="s">
        <v>681</v>
      </c>
      <c r="C26" s="53">
        <f ca="1">ROUND(IF('数据-取费表'!B22&lt;=1,F23*F26*F25/2,F23*(POWER((1+F26),F25/2)-1)),4)</f>
        <v>6.9999999999999999E-4</v>
      </c>
      <c r="D26" s="2547" t="str">
        <f>IF(F25&lt;=1,"销售费用×利率×(建设周期÷2)","销售费用×((1+利率)^(建设周期÷2)-1)")</f>
        <v>销售费用×((1+利率)^(建设周期÷2)-1)</v>
      </c>
      <c r="E26" s="783" t="s">
        <v>682</v>
      </c>
      <c r="F26" s="818">
        <f ca="1">'数据-取费表'!B40</f>
        <v>4.7500000000000001E-2</v>
      </c>
      <c r="G26" s="1591"/>
      <c r="H26" s="802" t="s">
        <v>1879</v>
      </c>
      <c r="I26" s="783" t="s">
        <v>666</v>
      </c>
      <c r="J26" s="53">
        <f ca="1">ROUND(J7*M26,0)</f>
        <v>0</v>
      </c>
      <c r="K26" s="1975" t="s">
        <v>683</v>
      </c>
      <c r="L26" s="783" t="s">
        <v>649</v>
      </c>
      <c r="M26" s="793">
        <f ca="1">INDIRECT("'数据-取费表'!Am"&amp;$G$1)</f>
        <v>0.03</v>
      </c>
      <c r="N26" s="2061"/>
      <c r="O26" s="2061"/>
      <c r="P26" s="2061"/>
      <c r="Q26" s="2061"/>
      <c r="R26" s="2061"/>
      <c r="S26" s="2061"/>
      <c r="T26" s="2061"/>
      <c r="U26" s="2061"/>
      <c r="V26" s="2061"/>
      <c r="W26" s="2061"/>
      <c r="X26" s="2061"/>
      <c r="Y26" s="2061"/>
    </row>
    <row r="27" spans="1:25" ht="18" customHeight="1">
      <c r="A27" s="802" t="s">
        <v>1881</v>
      </c>
      <c r="B27" s="783" t="s">
        <v>684</v>
      </c>
      <c r="C27" s="53"/>
      <c r="D27" s="260" t="s">
        <v>685</v>
      </c>
      <c r="E27" s="1980"/>
      <c r="F27" s="56"/>
      <c r="G27" s="1590"/>
      <c r="H27" s="796" t="s">
        <v>1828</v>
      </c>
      <c r="I27" s="2983" t="s">
        <v>2821</v>
      </c>
      <c r="J27" s="798">
        <f ca="1">J7-J18</f>
        <v>0</v>
      </c>
      <c r="K27" s="1977" t="s">
        <v>700</v>
      </c>
      <c r="L27" s="1979"/>
      <c r="M27" s="819"/>
    </row>
    <row r="28" spans="1:25" ht="18" customHeight="1">
      <c r="A28" s="802" t="s">
        <v>1875</v>
      </c>
      <c r="B28" s="783" t="s">
        <v>2438</v>
      </c>
      <c r="C28" s="53">
        <f ca="1">ROUND((C21+C22)*F28,0)</f>
        <v>0</v>
      </c>
      <c r="D28" s="811" t="s">
        <v>701</v>
      </c>
      <c r="E28" s="794" t="s">
        <v>702</v>
      </c>
      <c r="F28" s="793">
        <f ca="1">INDIRECT("'数据-取费表'!q"&amp;$G$1)</f>
        <v>0.2</v>
      </c>
      <c r="G28" s="1590"/>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4.0000000000000001E-3</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1882</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6" t="s">
        <v>1883</v>
      </c>
      <c r="B31" s="2517" t="s">
        <v>2822</v>
      </c>
      <c r="C31" s="2520">
        <f ca="1">ROUND((C21+C22+C25+C28)/(1-F23-C26-C29-C30),0)</f>
        <v>0</v>
      </c>
      <c r="D31" s="2521"/>
      <c r="E31" s="2522"/>
      <c r="F31" s="2523"/>
      <c r="G31" s="1591"/>
      <c r="H31" s="822" t="s">
        <v>1872</v>
      </c>
      <c r="I31" s="2984" t="s">
        <v>2823</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3"/>
      <c r="F32" s="2467"/>
      <c r="G32" s="2060"/>
      <c r="H32" s="2063"/>
      <c r="I32" s="2064"/>
      <c r="J32" s="2065"/>
      <c r="K32" s="2066"/>
      <c r="L32" s="2067"/>
      <c r="M32" s="2068"/>
    </row>
    <row r="33" spans="1:18" ht="18" customHeight="1">
      <c r="A33" s="802" t="s">
        <v>1876</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1875</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0"/>
      <c r="H35" s="2075"/>
      <c r="I35" s="2075"/>
      <c r="J35" s="2075"/>
      <c r="K35" s="2076"/>
      <c r="L35" s="2075"/>
      <c r="M35" s="2075"/>
    </row>
    <row r="36" spans="1:18" ht="18" customHeight="1">
      <c r="A36" s="812" t="s">
        <v>1880</v>
      </c>
      <c r="B36" s="340" t="s">
        <v>668</v>
      </c>
      <c r="C36" s="54">
        <f ca="1">ROUND(F36*F37/10000,1)</f>
        <v>0</v>
      </c>
      <c r="D36" s="813" t="s">
        <v>669</v>
      </c>
      <c r="E36" s="783" t="s">
        <v>670</v>
      </c>
      <c r="F36" s="639">
        <f>'数据-取费表'!B52</f>
        <v>1.5</v>
      </c>
      <c r="G36" s="2060"/>
      <c r="H36" s="2063"/>
      <c r="I36" s="3454"/>
      <c r="J36" s="2077"/>
      <c r="K36" s="2078"/>
      <c r="L36" s="2077"/>
      <c r="M36" s="2077"/>
    </row>
    <row r="37" spans="1:18" ht="18" customHeight="1">
      <c r="A37" s="814"/>
      <c r="B37" s="792"/>
      <c r="C37" s="69"/>
      <c r="D37" s="815"/>
      <c r="E37" s="783" t="s">
        <v>674</v>
      </c>
      <c r="F37" s="784">
        <f ca="1">INDIRECT("'数据-取费表'!r"&amp;$G$1)</f>
        <v>0</v>
      </c>
      <c r="G37" s="2060"/>
      <c r="H37" s="2063"/>
      <c r="I37" s="3454"/>
      <c r="J37" s="2075"/>
      <c r="K37" s="2076"/>
      <c r="L37" s="2075"/>
      <c r="M37" s="2075"/>
    </row>
    <row r="38" spans="1:18" ht="18" customHeight="1">
      <c r="A38" s="802" t="s">
        <v>1877</v>
      </c>
      <c r="B38" s="783" t="s">
        <v>676</v>
      </c>
      <c r="C38" s="53">
        <f ca="1">ROUND(C31*F38,1)</f>
        <v>0</v>
      </c>
      <c r="D38" s="1975" t="s">
        <v>691</v>
      </c>
      <c r="E38" s="783" t="s">
        <v>649</v>
      </c>
      <c r="F38" s="816">
        <f ca="1">INDIRECT("'数据-取费表'!Ak"&amp;$G$1)</f>
        <v>0.02</v>
      </c>
      <c r="G38" s="2060"/>
      <c r="H38" s="2075"/>
      <c r="I38" s="2079"/>
      <c r="J38" s="1986"/>
      <c r="K38" s="2080"/>
      <c r="L38" s="2075"/>
      <c r="M38" s="2075"/>
    </row>
    <row r="39" spans="1:18" ht="18" customHeight="1">
      <c r="A39" s="802" t="s">
        <v>1878</v>
      </c>
      <c r="B39" s="783" t="s">
        <v>679</v>
      </c>
      <c r="C39" s="53">
        <f ca="1">ROUND(C15*F39,1)</f>
        <v>0</v>
      </c>
      <c r="D39" s="1975" t="s">
        <v>680</v>
      </c>
      <c r="E39" s="783" t="s">
        <v>649</v>
      </c>
      <c r="F39" s="817">
        <f ca="1">INDIRECT("'数据-取费表'!Al"&amp;$G$1)</f>
        <v>2E-3</v>
      </c>
      <c r="G39" s="2060"/>
      <c r="H39" s="2075"/>
      <c r="I39" s="2079"/>
      <c r="J39" s="1986"/>
      <c r="K39" s="2080"/>
      <c r="L39" s="2075"/>
      <c r="M39" s="2075"/>
    </row>
    <row r="40" spans="1:18" ht="18" customHeight="1" thickBot="1">
      <c r="A40" s="2536" t="s">
        <v>1879</v>
      </c>
      <c r="B40" s="2522" t="s">
        <v>666</v>
      </c>
      <c r="C40" s="2520">
        <f ca="1">ROUND(C7*F40,1)</f>
        <v>0</v>
      </c>
      <c r="D40" s="2521" t="s">
        <v>683</v>
      </c>
      <c r="E40" s="2522" t="s">
        <v>649</v>
      </c>
      <c r="F40" s="2518">
        <f ca="1">INDIRECT("'数据-取费表'!Am"&amp;$G$1)</f>
        <v>0.03</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2" t="s">
        <v>1876</v>
      </c>
      <c r="B42" s="834" t="s">
        <v>693</v>
      </c>
      <c r="C42" s="828">
        <f ca="1">C7-C32</f>
        <v>0</v>
      </c>
      <c r="D42" s="1977" t="s">
        <v>694</v>
      </c>
      <c r="E42" s="1979"/>
      <c r="F42" s="819"/>
      <c r="G42" s="2060"/>
      <c r="H42" s="2060"/>
      <c r="I42" s="2060"/>
      <c r="J42" s="2060"/>
      <c r="K42" s="2081"/>
      <c r="L42" s="2060"/>
      <c r="M42" s="2060"/>
    </row>
    <row r="43" spans="1:18" ht="18" customHeight="1">
      <c r="A43" s="802" t="s">
        <v>1877</v>
      </c>
      <c r="B43" s="834" t="s">
        <v>711</v>
      </c>
      <c r="C43" s="835">
        <f ca="1">ROUND(C15*F43,0)</f>
        <v>0</v>
      </c>
      <c r="D43" s="1353" t="s">
        <v>712</v>
      </c>
      <c r="E43" s="3095" t="s">
        <v>2963</v>
      </c>
      <c r="F43" s="3096">
        <f ca="1">INDIRECT("'数据-取费表'!j"&amp;$G$1)</f>
        <v>0</v>
      </c>
      <c r="G43" s="2060"/>
      <c r="H43" s="2060"/>
      <c r="I43" s="2060"/>
      <c r="J43" s="2060"/>
      <c r="K43" s="2081"/>
      <c r="L43" s="2060"/>
      <c r="M43" s="2060"/>
    </row>
    <row r="44" spans="1:18" ht="18" customHeight="1">
      <c r="A44" s="802" t="s">
        <v>1878</v>
      </c>
      <c r="B44" s="834" t="s">
        <v>713</v>
      </c>
      <c r="C44" s="1354">
        <f ca="1">C42-C43</f>
        <v>0</v>
      </c>
      <c r="D44" s="462" t="s">
        <v>714</v>
      </c>
      <c r="E44" s="463"/>
      <c r="F44" s="464"/>
      <c r="G44" s="2060"/>
      <c r="H44" s="2060"/>
      <c r="I44" s="2060"/>
      <c r="J44" s="2060"/>
      <c r="K44" s="2081"/>
      <c r="L44" s="2060"/>
      <c r="M44" s="2060"/>
    </row>
    <row r="45" spans="1:18" ht="18" customHeight="1">
      <c r="A45" s="802" t="s">
        <v>1879</v>
      </c>
      <c r="B45" s="1353" t="s">
        <v>715</v>
      </c>
      <c r="C45" s="3010">
        <f ca="1">ROUND(-PV(F45,F46,C44,0),0)</f>
        <v>0</v>
      </c>
      <c r="D45" s="1355" t="s">
        <v>716</v>
      </c>
      <c r="E45" s="805" t="s">
        <v>717</v>
      </c>
      <c r="F45" s="829">
        <f ca="1">INDIRECT("'数据-取费表'!h"&amp;$G$1)</f>
        <v>0</v>
      </c>
      <c r="G45" s="2060"/>
      <c r="H45" s="2060"/>
      <c r="I45" s="2060"/>
      <c r="J45" s="2060"/>
      <c r="K45" s="2081"/>
      <c r="L45" s="2060"/>
      <c r="M45" s="2060"/>
    </row>
    <row r="46" spans="1:18" ht="18" customHeight="1" thickBot="1">
      <c r="A46" s="830"/>
      <c r="B46" s="1356"/>
      <c r="C46" s="1357"/>
      <c r="D46" s="1358"/>
      <c r="E46" s="3097" t="s">
        <v>2966</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4" t="s">
        <v>2343</v>
      </c>
      <c r="J47" s="2355"/>
      <c r="K47" s="2356"/>
      <c r="L47" s="3130" t="str">
        <f ca="1">IF(M48="住宅",0,IF(L49&gt;J52,L61,J61))</f>
        <v>0</v>
      </c>
      <c r="O47" s="2370" t="s">
        <v>2410</v>
      </c>
      <c r="P47" s="1590"/>
      <c r="Q47" s="1602"/>
      <c r="R47" s="1590"/>
    </row>
    <row r="48" spans="1:18" s="2057" customFormat="1" ht="18" customHeight="1" thickBot="1">
      <c r="A48" s="2082"/>
      <c r="C48" s="2085"/>
      <c r="D48" s="2086"/>
      <c r="E48" s="2086"/>
      <c r="F48" s="2087"/>
      <c r="G48" s="2088"/>
      <c r="I48" s="3120" t="s">
        <v>2344</v>
      </c>
      <c r="J48" s="2357"/>
      <c r="K48" s="3127" t="s">
        <v>2349</v>
      </c>
      <c r="L48" s="3131">
        <f ca="1">INDIRECT("'数据-取费表'!d"&amp;$G$1)</f>
        <v>0</v>
      </c>
      <c r="M48" s="3094" t="str">
        <f>IF(ISNUMBER(FIND("住宅",C1)),"住宅","非住宅")</f>
        <v>非住宅</v>
      </c>
      <c r="O48" s="2371" t="s">
        <v>2375</v>
      </c>
      <c r="P48" s="2372" t="s">
        <v>2376</v>
      </c>
      <c r="Q48" s="2373" t="s">
        <v>2377</v>
      </c>
      <c r="R48" s="2372" t="s">
        <v>2378</v>
      </c>
    </row>
    <row r="49" spans="1:18" s="2057" customFormat="1" ht="18" customHeight="1" thickBot="1">
      <c r="A49" s="2082"/>
      <c r="D49" s="2089"/>
      <c r="E49" s="2090"/>
      <c r="F49" s="2087"/>
      <c r="G49" s="2088"/>
      <c r="H49" s="2091"/>
      <c r="I49" s="3099" t="s">
        <v>2345</v>
      </c>
      <c r="J49" s="2358"/>
      <c r="K49" s="3128" t="s">
        <v>2351</v>
      </c>
      <c r="L49" s="1906">
        <f ca="1">INDIRECT("'数据-取费表'!f"&amp;$G$1)</f>
        <v>0</v>
      </c>
      <c r="O49" s="2374" t="s">
        <v>2379</v>
      </c>
      <c r="P49" s="2375" t="s">
        <v>2405</v>
      </c>
      <c r="Q49" s="2376">
        <f ca="1">C41+J31</f>
        <v>0</v>
      </c>
      <c r="R49" s="2375" t="s">
        <v>2380</v>
      </c>
    </row>
    <row r="50" spans="1:18" s="2057" customFormat="1" ht="18" customHeight="1" thickBot="1">
      <c r="A50" s="2082"/>
      <c r="D50" s="2092"/>
      <c r="E50" s="2092"/>
      <c r="F50" s="2086"/>
      <c r="G50" s="2093"/>
      <c r="H50" s="2091"/>
      <c r="I50" s="3099" t="s">
        <v>2346</v>
      </c>
      <c r="J50" s="2359"/>
      <c r="K50" s="3129" t="s">
        <v>2352</v>
      </c>
      <c r="L50" s="2360"/>
      <c r="O50" s="2374" t="s">
        <v>2381</v>
      </c>
      <c r="P50" s="2375" t="s">
        <v>2406</v>
      </c>
      <c r="Q50" s="2376" t="str">
        <f ca="1">J61</f>
        <v>0</v>
      </c>
      <c r="R50" s="2375" t="s">
        <v>2382</v>
      </c>
    </row>
    <row r="51" spans="1:18" s="2057" customFormat="1" ht="18" customHeight="1" thickBot="1">
      <c r="A51" s="2094"/>
      <c r="D51" s="2092"/>
      <c r="E51" s="2092"/>
      <c r="F51" s="2083"/>
      <c r="H51" s="2091"/>
      <c r="I51" s="3099" t="s">
        <v>2347</v>
      </c>
      <c r="J51" s="3124">
        <f>SUMPRODUCT((I64:I66=J48)*(J63:L63=J49)*(J64:L66))</f>
        <v>0</v>
      </c>
      <c r="K51" s="3129" t="s">
        <v>2353</v>
      </c>
      <c r="L51" s="2360"/>
      <c r="O51" s="2377" t="s">
        <v>2383</v>
      </c>
      <c r="P51" s="2375" t="s">
        <v>2407</v>
      </c>
      <c r="Q51" s="2376">
        <f ca="1">C31</f>
        <v>0</v>
      </c>
      <c r="R51" s="2375" t="s">
        <v>2380</v>
      </c>
    </row>
    <row r="52" spans="1:18" s="2057" customFormat="1" ht="18" customHeight="1" thickBot="1">
      <c r="A52" s="2094"/>
      <c r="F52" s="2083"/>
      <c r="I52" s="3121" t="s">
        <v>2348</v>
      </c>
      <c r="J52" s="3125">
        <f>IF(J50="",J51,J50+J51-YEAR('数据-取费表'!B3))</f>
        <v>0</v>
      </c>
      <c r="K52" s="3099" t="s">
        <v>2354</v>
      </c>
      <c r="L52" s="3132">
        <f ca="1">ROUND(-PV(INDIRECT("'数据-取费表'!h"&amp;$G$1),L49,(C40-C14*J36),0),0)</f>
        <v>0</v>
      </c>
      <c r="O52" s="2377" t="s">
        <v>2384</v>
      </c>
      <c r="P52" s="2375" t="s">
        <v>2385</v>
      </c>
      <c r="Q52" s="2378" t="e">
        <f ca="1">J59</f>
        <v>#VALUE!</v>
      </c>
      <c r="R52" s="2379"/>
    </row>
    <row r="53" spans="1:18" s="2057" customFormat="1" ht="18" customHeight="1" thickBot="1">
      <c r="A53" s="2094"/>
      <c r="F53" s="2083"/>
      <c r="I53" s="3122" t="s">
        <v>2421</v>
      </c>
      <c r="J53" s="2361"/>
      <c r="K53" s="3122" t="s">
        <v>2420</v>
      </c>
      <c r="L53" s="2361"/>
      <c r="O53" s="2377" t="s">
        <v>2386</v>
      </c>
      <c r="P53" s="2375" t="s">
        <v>2387</v>
      </c>
      <c r="Q53" s="2378">
        <f>J53</f>
        <v>0</v>
      </c>
      <c r="R53" s="2379"/>
    </row>
    <row r="54" spans="1:18" s="2057" customFormat="1" ht="29.25" thickBot="1">
      <c r="A54" s="2094"/>
      <c r="I54" s="3123" t="s">
        <v>2979</v>
      </c>
      <c r="J54" s="3126">
        <f ca="1">IF(M48="住宅",MAX(J52,L49-'数据-取费表'!B20),MIN(J52,L49-'数据-取费表'!B20))</f>
        <v>-1.5</v>
      </c>
      <c r="K54" s="3459"/>
      <c r="L54" s="3460"/>
      <c r="O54" s="2377" t="s">
        <v>2388</v>
      </c>
      <c r="P54" s="2375" t="s">
        <v>2389</v>
      </c>
      <c r="Q54" s="2376">
        <f ca="1">J54</f>
        <v>-1.5</v>
      </c>
      <c r="R54" s="2375" t="s">
        <v>2390</v>
      </c>
    </row>
    <row r="55" spans="1:18" s="2057" customFormat="1" ht="18" customHeight="1" thickBot="1">
      <c r="A55" s="2094"/>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4" t="s">
        <v>2391</v>
      </c>
      <c r="P55" s="2375" t="s">
        <v>2408</v>
      </c>
      <c r="Q55" s="2376">
        <f ca="1">Q49+Q50</f>
        <v>0</v>
      </c>
      <c r="R55" s="2379" t="s">
        <v>2392</v>
      </c>
    </row>
    <row r="56" spans="1:18" s="2057" customFormat="1" ht="16.5" thickBot="1">
      <c r="A56" s="2094"/>
      <c r="B56" s="2095"/>
      <c r="C56" s="2095"/>
      <c r="I56" s="3135" t="s">
        <v>2355</v>
      </c>
      <c r="J56" s="3074" t="e">
        <f ca="1">ROUND(IF(J48="钢混",J58/J51,1-(1-2%)*(J51-J58)/J51),3)</f>
        <v>#VALUE!</v>
      </c>
      <c r="K56" s="3136" t="s">
        <v>2356</v>
      </c>
      <c r="L56" s="2362"/>
      <c r="O56" s="2380" t="s">
        <v>2411</v>
      </c>
      <c r="P56" s="1590"/>
      <c r="Q56" s="1602"/>
      <c r="R56" s="1590"/>
    </row>
    <row r="57" spans="1:18" s="2057" customFormat="1" ht="43.5" thickBot="1">
      <c r="A57" s="2094"/>
      <c r="B57" s="2095"/>
      <c r="C57" s="2095"/>
      <c r="I57" s="3137" t="s">
        <v>2357</v>
      </c>
      <c r="J57" s="3147" t="s">
        <v>1678</v>
      </c>
      <c r="K57" s="3099" t="s">
        <v>2362</v>
      </c>
      <c r="L57" s="1906">
        <f ca="1">IF(L49&lt;J52,"——",L49-J52)</f>
        <v>0</v>
      </c>
      <c r="O57" s="2371" t="s">
        <v>2375</v>
      </c>
      <c r="P57" s="2372" t="s">
        <v>2376</v>
      </c>
      <c r="Q57" s="2373" t="s">
        <v>2377</v>
      </c>
      <c r="R57" s="2372" t="s">
        <v>2378</v>
      </c>
    </row>
    <row r="58" spans="1:18" s="2057" customFormat="1" ht="29.25" thickBot="1">
      <c r="A58" s="2094"/>
      <c r="B58" s="2095"/>
      <c r="C58" s="2095"/>
      <c r="I58" s="3138" t="s">
        <v>2358</v>
      </c>
      <c r="J58" s="3139" t="str">
        <f ca="1">IF(OR(M48="住宅",J52&lt;L49,J57="是"),"——",J52-L49)</f>
        <v>——</v>
      </c>
      <c r="K58" s="3099" t="s">
        <v>2363</v>
      </c>
      <c r="L58" s="1906">
        <f ca="1">IF(L49&lt;J52,"——",IF(L56="比较法",L50,IF(L56="基准地价",L51,L52)))</f>
        <v>0</v>
      </c>
      <c r="O58" s="2374" t="s">
        <v>2379</v>
      </c>
      <c r="P58" s="2375" t="s">
        <v>2405</v>
      </c>
      <c r="Q58" s="2376">
        <f ca="1">C41+J31</f>
        <v>0</v>
      </c>
      <c r="R58" s="2375" t="s">
        <v>2380</v>
      </c>
    </row>
    <row r="59" spans="1:18" s="2057" customFormat="1" ht="29.25" thickBot="1">
      <c r="A59" s="2094"/>
      <c r="B59" s="2095"/>
      <c r="C59" s="2095"/>
      <c r="I59" s="3138" t="s">
        <v>2359</v>
      </c>
      <c r="J59" s="3075" t="e">
        <f ca="1">IF(J56&lt;0.4,0.4,J56)</f>
        <v>#VALUE!</v>
      </c>
      <c r="K59" s="3099" t="s">
        <v>2364</v>
      </c>
      <c r="L59" s="1906">
        <f ca="1">IF(ISERROR(POWER(1+L53,L48-L49)*(POWER(1+L53,L49)-1)/(POWER(1+L53,L48)-1)),0,POWER(1+L53,L48-L49)*(POWER(1+L53,L49)-1)/(POWER(1+L53,L48)-1))</f>
        <v>0</v>
      </c>
      <c r="O59" s="2374" t="s">
        <v>2381</v>
      </c>
      <c r="P59" s="2375" t="s">
        <v>2412</v>
      </c>
      <c r="Q59" s="2376" t="e">
        <f ca="1">L61</f>
        <v>#DIV/0!</v>
      </c>
      <c r="R59" s="2379" t="s">
        <v>2414</v>
      </c>
    </row>
    <row r="60" spans="1:18" s="2057" customFormat="1" ht="29.25" thickBot="1">
      <c r="A60" s="2094"/>
      <c r="B60" s="2095"/>
      <c r="C60" s="2095"/>
      <c r="I60" s="3138" t="s">
        <v>2360</v>
      </c>
      <c r="J60" s="3139" t="str">
        <f ca="1">IF(OR(M48="住宅",J52&lt;L49,J57="是"),"——",ROUND(C30*J59,0))</f>
        <v>——</v>
      </c>
      <c r="K60" s="3099" t="s">
        <v>2365</v>
      </c>
      <c r="L60" s="1906">
        <f ca="1">IF(ISERROR(POWER(1+L53,L48-J52)*(POWER(1+L53,J52)-1)/(POWER(1+L53,L48)-1)),0,POWER(1+L53,L48-J52)*(POWER(1+L53,J52)-1)/(POWER(1+L53,L48)-1))</f>
        <v>0</v>
      </c>
      <c r="O60" s="2377" t="s">
        <v>2383</v>
      </c>
      <c r="P60" s="2375" t="s">
        <v>2413</v>
      </c>
      <c r="Q60" s="2376">
        <f>IF(L56="比较法",L50,IF(L56="基准地价",L51,0))</f>
        <v>0</v>
      </c>
      <c r="R60" s="2375" t="s">
        <v>2380</v>
      </c>
    </row>
    <row r="61" spans="1:18" s="2057" customFormat="1" ht="15.75" thickBot="1">
      <c r="A61" s="2094"/>
      <c r="B61" s="2095"/>
      <c r="C61" s="2095"/>
      <c r="I61" s="3140" t="s">
        <v>2361</v>
      </c>
      <c r="J61" s="3141" t="str">
        <f ca="1">IF(OR(M48="住宅",J52&lt;L49,J57="是"),"0",ROUND(J60/(1+J53)^J54,0))</f>
        <v>0</v>
      </c>
      <c r="K61" s="3142" t="s">
        <v>2366</v>
      </c>
      <c r="L61" s="3141" t="e">
        <f ca="1">IF(OR(M48="住宅",L49&lt;J52),0,ROUND(L58*(L59/L60-1),0))</f>
        <v>#DIV/0!</v>
      </c>
      <c r="O61" s="2377" t="s">
        <v>2384</v>
      </c>
      <c r="P61" s="2375" t="s">
        <v>2393</v>
      </c>
      <c r="Q61" s="2378">
        <f>L53</f>
        <v>0</v>
      </c>
      <c r="R61" s="2379"/>
    </row>
    <row r="62" spans="1:18" s="2057" customFormat="1" ht="20.25" thickBot="1">
      <c r="A62" s="2094"/>
      <c r="B62" s="2095"/>
      <c r="C62" s="2095"/>
      <c r="K62" s="2084"/>
      <c r="O62" s="2377" t="s">
        <v>2386</v>
      </c>
      <c r="P62" s="2375" t="s">
        <v>2394</v>
      </c>
      <c r="Q62" s="2376">
        <f ca="1">L59</f>
        <v>0</v>
      </c>
      <c r="R62" s="2379" t="s">
        <v>2395</v>
      </c>
    </row>
    <row r="63" spans="1:18" s="2057" customFormat="1" ht="20.25" thickBot="1">
      <c r="A63" s="2094"/>
      <c r="B63" s="2095"/>
      <c r="C63" s="2095"/>
      <c r="I63" s="3143" t="s">
        <v>2367</v>
      </c>
      <c r="J63" s="3144" t="s">
        <v>2368</v>
      </c>
      <c r="K63" s="3144" t="s">
        <v>2369</v>
      </c>
      <c r="L63" s="3144" t="s">
        <v>2350</v>
      </c>
      <c r="M63" s="3145" t="s">
        <v>2943</v>
      </c>
      <c r="O63" s="2377" t="s">
        <v>2388</v>
      </c>
      <c r="P63" s="2375" t="s">
        <v>2396</v>
      </c>
      <c r="Q63" s="2376">
        <f ca="1">L60</f>
        <v>0</v>
      </c>
      <c r="R63" s="2379" t="s">
        <v>2397</v>
      </c>
    </row>
    <row r="64" spans="1:18" s="2057" customFormat="1" ht="15.75" thickBot="1">
      <c r="A64" s="2094"/>
      <c r="B64" s="2095"/>
      <c r="C64" s="2095"/>
      <c r="I64" s="3143" t="s">
        <v>2370</v>
      </c>
      <c r="J64" s="3144">
        <v>70</v>
      </c>
      <c r="K64" s="3144">
        <v>50</v>
      </c>
      <c r="L64" s="3144">
        <v>80</v>
      </c>
      <c r="M64" s="3146">
        <v>0.02</v>
      </c>
      <c r="O64" s="2374" t="s">
        <v>2391</v>
      </c>
      <c r="P64" s="2375" t="s">
        <v>2408</v>
      </c>
      <c r="Q64" s="2376" t="e">
        <f ca="1">Q58+Q59</f>
        <v>#DIV/0!</v>
      </c>
      <c r="R64" s="2379" t="s">
        <v>2392</v>
      </c>
    </row>
    <row r="65" spans="1:18" s="2057" customFormat="1" ht="16.5" thickBot="1">
      <c r="A65" s="2094"/>
      <c r="B65" s="2095"/>
      <c r="C65" s="2095"/>
      <c r="I65" s="3143" t="s">
        <v>2371</v>
      </c>
      <c r="J65" s="3144">
        <v>50</v>
      </c>
      <c r="K65" s="3144">
        <v>35</v>
      </c>
      <c r="L65" s="3144">
        <v>60</v>
      </c>
      <c r="M65" s="845">
        <v>0</v>
      </c>
      <c r="O65" s="2380" t="s">
        <v>2415</v>
      </c>
      <c r="P65" s="1590"/>
      <c r="Q65" s="1602"/>
      <c r="R65" s="1590"/>
    </row>
    <row r="66" spans="1:18" s="2057" customFormat="1" ht="15.75" thickBot="1">
      <c r="A66" s="2094"/>
      <c r="B66" s="2095"/>
      <c r="C66" s="2095"/>
      <c r="I66" s="3143" t="s">
        <v>2372</v>
      </c>
      <c r="J66" s="3144">
        <v>40</v>
      </c>
      <c r="K66" s="3144">
        <v>30</v>
      </c>
      <c r="L66" s="3144">
        <v>50</v>
      </c>
      <c r="M66" s="3146">
        <v>0.02</v>
      </c>
      <c r="O66" s="2371" t="s">
        <v>2375</v>
      </c>
      <c r="P66" s="2372" t="s">
        <v>2376</v>
      </c>
      <c r="Q66" s="2373" t="s">
        <v>2377</v>
      </c>
      <c r="R66" s="2372" t="s">
        <v>2378</v>
      </c>
    </row>
    <row r="67" spans="1:18" s="2057" customFormat="1" ht="15.75" thickBot="1">
      <c r="A67" s="2094"/>
      <c r="B67" s="2095"/>
      <c r="C67" s="2095"/>
      <c r="K67" s="2084"/>
      <c r="O67" s="2374" t="s">
        <v>2379</v>
      </c>
      <c r="P67" s="2375" t="s">
        <v>2405</v>
      </c>
      <c r="Q67" s="2376">
        <f ca="1">C41+J31</f>
        <v>0</v>
      </c>
      <c r="R67" s="2375" t="s">
        <v>2380</v>
      </c>
    </row>
    <row r="68" spans="1:18" s="2057" customFormat="1" ht="20.25" thickBot="1">
      <c r="A68" s="2094"/>
      <c r="B68" s="2095"/>
      <c r="C68" s="2095"/>
      <c r="K68" s="2084"/>
      <c r="O68" s="2374" t="s">
        <v>2381</v>
      </c>
      <c r="P68" s="2375" t="s">
        <v>2412</v>
      </c>
      <c r="Q68" s="2376" t="e">
        <f ca="1">L61</f>
        <v>#DIV/0!</v>
      </c>
      <c r="R68" s="2379" t="s">
        <v>2414</v>
      </c>
    </row>
    <row r="69" spans="1:18" s="2057" customFormat="1" ht="21.75" thickBot="1">
      <c r="A69" s="2094"/>
      <c r="B69" s="2095"/>
      <c r="C69" s="2095"/>
      <c r="K69" s="2084"/>
      <c r="O69" s="2377" t="s">
        <v>2383</v>
      </c>
      <c r="P69" s="2375" t="s">
        <v>2413</v>
      </c>
      <c r="Q69" s="2381">
        <f ca="1">L52</f>
        <v>0</v>
      </c>
      <c r="R69" s="2382" t="s">
        <v>2416</v>
      </c>
    </row>
    <row r="70" spans="1:18" s="2057" customFormat="1" ht="20.25" thickBot="1">
      <c r="A70" s="2094"/>
      <c r="B70" s="2095"/>
      <c r="C70" s="2095"/>
      <c r="K70" s="2084"/>
      <c r="O70" s="2377" t="s">
        <v>2384</v>
      </c>
      <c r="P70" s="2383" t="s">
        <v>2398</v>
      </c>
      <c r="Q70" s="2376">
        <f ca="1">ROUND(Q71-Q72*Q73,0)</f>
        <v>0</v>
      </c>
      <c r="R70" s="2379"/>
    </row>
    <row r="71" spans="1:18" s="2057" customFormat="1" ht="15.75" thickBot="1">
      <c r="A71" s="2094"/>
      <c r="B71" s="2095"/>
      <c r="C71" s="2095"/>
      <c r="K71" s="2084"/>
      <c r="O71" s="2377" t="s">
        <v>2399</v>
      </c>
      <c r="P71" s="2383" t="s">
        <v>2400</v>
      </c>
      <c r="Q71" s="2376">
        <f ca="1">C42</f>
        <v>0</v>
      </c>
      <c r="R71" s="2375" t="s">
        <v>2380</v>
      </c>
    </row>
    <row r="72" spans="1:18" s="2057" customFormat="1" ht="15.75" thickBot="1">
      <c r="A72" s="2094"/>
      <c r="B72" s="2095"/>
      <c r="C72" s="2095"/>
      <c r="K72" s="2084"/>
      <c r="O72" s="2377" t="s">
        <v>2401</v>
      </c>
      <c r="P72" s="2383" t="s">
        <v>2402</v>
      </c>
      <c r="Q72" s="2376">
        <f ca="1">C15</f>
        <v>0</v>
      </c>
      <c r="R72" s="2375" t="s">
        <v>2380</v>
      </c>
    </row>
    <row r="73" spans="1:18" s="2057" customFormat="1" ht="15.75" thickBot="1">
      <c r="A73" s="2094"/>
      <c r="B73" s="2095"/>
      <c r="C73" s="2095"/>
      <c r="K73" s="2084"/>
      <c r="O73" s="2377" t="s">
        <v>2403</v>
      </c>
      <c r="P73" s="2383" t="s">
        <v>2404</v>
      </c>
      <c r="Q73" s="2378">
        <f ca="1">F43</f>
        <v>0</v>
      </c>
      <c r="R73" s="2379"/>
    </row>
    <row r="74" spans="1:18" s="2057" customFormat="1" ht="15.75" thickBot="1">
      <c r="A74" s="2094"/>
      <c r="B74" s="2095"/>
      <c r="C74" s="2095"/>
      <c r="K74" s="2084"/>
      <c r="O74" s="2377" t="s">
        <v>2386</v>
      </c>
      <c r="P74" s="2375" t="s">
        <v>2393</v>
      </c>
      <c r="Q74" s="2378">
        <f>L53</f>
        <v>0</v>
      </c>
      <c r="R74" s="2379"/>
    </row>
    <row r="75" spans="1:18" s="2057" customFormat="1" ht="20.25" thickBot="1">
      <c r="A75" s="2094"/>
      <c r="B75" s="2095"/>
      <c r="C75" s="2095"/>
      <c r="K75" s="2084"/>
      <c r="O75" s="2377" t="s">
        <v>2388</v>
      </c>
      <c r="P75" s="2375" t="s">
        <v>2394</v>
      </c>
      <c r="Q75" s="2376">
        <f ca="1">L59</f>
        <v>0</v>
      </c>
      <c r="R75" s="2379" t="s">
        <v>2395</v>
      </c>
    </row>
    <row r="76" spans="1:18" s="2057" customFormat="1" ht="20.25" thickBot="1">
      <c r="A76" s="2094"/>
      <c r="B76" s="2095"/>
      <c r="C76" s="2095"/>
      <c r="K76" s="2084"/>
      <c r="O76" s="2377" t="s">
        <v>2417</v>
      </c>
      <c r="P76" s="2375" t="s">
        <v>2396</v>
      </c>
      <c r="Q76" s="2376">
        <f ca="1">L60</f>
        <v>0</v>
      </c>
      <c r="R76" s="2379" t="s">
        <v>2397</v>
      </c>
    </row>
    <row r="77" spans="1:18" s="2057" customFormat="1" ht="15.75" thickBot="1">
      <c r="A77" s="2094"/>
      <c r="B77" s="2095"/>
      <c r="C77" s="2095"/>
      <c r="K77" s="2084"/>
      <c r="O77" s="2374" t="s">
        <v>2391</v>
      </c>
      <c r="P77" s="2375" t="s">
        <v>2408</v>
      </c>
      <c r="Q77" s="2376" t="e">
        <f ca="1">Q67+Q68</f>
        <v>#DIV/0!</v>
      </c>
      <c r="R77" s="2379"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8"/>
    <col min="2" max="6" width="9" style="2638" customWidth="1"/>
    <col min="7" max="7" width="9" style="2654" customWidth="1"/>
    <col min="8" max="12" width="9" style="2638" customWidth="1"/>
    <col min="13" max="13" width="2.25" style="2638" customWidth="1"/>
    <col min="14" max="14" width="9" style="2654" customWidth="1"/>
    <col min="15" max="17" width="9" style="2638" customWidth="1"/>
    <col min="18" max="18" width="2.375" style="2638" customWidth="1"/>
    <col min="19" max="19" width="7.125" style="2654"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29" customFormat="1">
      <c r="B1" s="3463" t="s">
        <v>2576</v>
      </c>
      <c r="C1" s="3463"/>
      <c r="D1" s="3463"/>
      <c r="E1" s="3463"/>
      <c r="F1" s="3463"/>
      <c r="G1" s="3462" t="s">
        <v>2577</v>
      </c>
      <c r="H1" s="3462"/>
      <c r="I1" s="3462"/>
      <c r="J1" s="3462"/>
      <c r="K1" s="3462"/>
      <c r="L1" s="3462"/>
      <c r="N1" s="3462" t="s">
        <v>2578</v>
      </c>
      <c r="O1" s="3462"/>
      <c r="P1" s="3462"/>
      <c r="Q1" s="3462"/>
      <c r="R1" s="2630"/>
      <c r="S1" s="3462" t="s">
        <v>2579</v>
      </c>
      <c r="T1" s="3462"/>
      <c r="U1" s="3462"/>
      <c r="V1" s="3462"/>
      <c r="X1" s="3461" t="s">
        <v>2639</v>
      </c>
      <c r="Y1" s="3462"/>
      <c r="Z1" s="3462"/>
      <c r="AA1" s="3462"/>
      <c r="AB1" s="3462"/>
      <c r="AD1" s="3461" t="s">
        <v>2643</v>
      </c>
      <c r="AE1" s="3462"/>
      <c r="AF1" s="3462"/>
      <c r="AG1" s="3462"/>
      <c r="AH1" s="3462"/>
    </row>
    <row r="2" spans="1:34" s="2731" customFormat="1" ht="14.25" thickBot="1">
      <c r="B2" s="2739" t="s">
        <v>2580</v>
      </c>
      <c r="C2" s="2739" t="s">
        <v>2641</v>
      </c>
      <c r="D2" s="2732" t="s">
        <v>1644</v>
      </c>
      <c r="E2" s="2732" t="s">
        <v>1949</v>
      </c>
      <c r="F2" s="2739" t="s">
        <v>2642</v>
      </c>
      <c r="G2" s="2735"/>
      <c r="H2" s="2734"/>
      <c r="I2" s="2739" t="s">
        <v>2957</v>
      </c>
      <c r="J2" s="2732" t="s">
        <v>2959</v>
      </c>
      <c r="K2" s="2732" t="s">
        <v>2960</v>
      </c>
      <c r="L2" s="2739" t="s">
        <v>2961</v>
      </c>
      <c r="N2" s="2739" t="s">
        <v>2580</v>
      </c>
      <c r="O2" s="2732" t="s">
        <v>2958</v>
      </c>
      <c r="P2" s="2732" t="s">
        <v>1949</v>
      </c>
      <c r="Q2" s="2739" t="s">
        <v>2642</v>
      </c>
      <c r="R2" s="2733"/>
      <c r="S2" s="2739" t="s">
        <v>2580</v>
      </c>
      <c r="T2" s="2732" t="s">
        <v>2958</v>
      </c>
      <c r="U2" s="2732" t="s">
        <v>1949</v>
      </c>
      <c r="V2" s="2739" t="s">
        <v>2642</v>
      </c>
      <c r="X2" s="2739" t="s">
        <v>2580</v>
      </c>
      <c r="Y2" s="2739" t="s">
        <v>2641</v>
      </c>
      <c r="Z2" s="2732" t="s">
        <v>1644</v>
      </c>
      <c r="AA2" s="2732" t="s">
        <v>1949</v>
      </c>
      <c r="AB2" s="2739" t="s">
        <v>2642</v>
      </c>
      <c r="AD2" s="2739" t="s">
        <v>2580</v>
      </c>
      <c r="AE2" s="2739" t="s">
        <v>2641</v>
      </c>
      <c r="AF2" s="2732" t="s">
        <v>1644</v>
      </c>
      <c r="AG2" s="2732" t="s">
        <v>1949</v>
      </c>
      <c r="AH2" s="2739" t="s">
        <v>2642</v>
      </c>
    </row>
    <row r="3" spans="1:34" s="3104" customFormat="1" ht="14.25">
      <c r="A3" s="3116" t="s">
        <v>2970</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4" customFormat="1" ht="14.25">
      <c r="B4" s="2725"/>
      <c r="C4" s="2725"/>
      <c r="D4" s="2726"/>
      <c r="E4" s="2726"/>
      <c r="F4" s="2725"/>
      <c r="G4" s="2730"/>
      <c r="H4" s="2727"/>
      <c r="I4" s="3100"/>
      <c r="J4" s="3100"/>
      <c r="K4" s="3100"/>
      <c r="L4" s="3100"/>
      <c r="N4" s="2730"/>
      <c r="O4" s="2728"/>
      <c r="P4" s="2728"/>
      <c r="Q4" s="2728"/>
      <c r="R4" s="2728"/>
      <c r="S4" s="2730"/>
      <c r="T4" s="2728"/>
      <c r="U4" s="2728"/>
      <c r="V4" s="2728"/>
      <c r="W4" s="3113"/>
      <c r="X4" s="2729"/>
      <c r="Y4" s="2729"/>
      <c r="Z4" s="2729"/>
      <c r="AA4" s="2729"/>
      <c r="AB4" s="2729"/>
      <c r="AD4" s="2649"/>
      <c r="AE4" s="2649"/>
      <c r="AF4" s="2649"/>
      <c r="AG4" s="2649"/>
      <c r="AH4" s="2649"/>
    </row>
    <row r="5" spans="1:34" s="3088" customFormat="1" ht="13.5" thickBot="1">
      <c r="A5" s="3086" t="s">
        <v>2990</v>
      </c>
      <c r="B5" s="2770">
        <f>B6*(1+N5)</f>
        <v>464.37293017158942</v>
      </c>
      <c r="C5" s="2770">
        <f t="shared" ref="C5" si="2">C6*(1+O5)</f>
        <v>344.73679941385956</v>
      </c>
      <c r="D5" s="2770">
        <f t="shared" ref="D5" si="3">C5</f>
        <v>344.73679941385956</v>
      </c>
      <c r="E5" s="2770">
        <f t="shared" ref="E5" si="4">E6*(1+P5)</f>
        <v>663.2377795103107</v>
      </c>
      <c r="F5" s="2770">
        <f t="shared" ref="F5" si="5">F6*(1+Q5)</f>
        <v>304.75936311478398</v>
      </c>
      <c r="G5" s="2730">
        <v>2019</v>
      </c>
      <c r="H5" s="3087">
        <v>1</v>
      </c>
      <c r="I5" s="3101">
        <v>0</v>
      </c>
      <c r="J5" s="3101">
        <v>0</v>
      </c>
      <c r="K5" s="3101">
        <v>0</v>
      </c>
      <c r="L5" s="3101">
        <v>0</v>
      </c>
      <c r="N5" s="2737">
        <f t="shared" ref="N5" si="6">I5/100</f>
        <v>0</v>
      </c>
      <c r="O5" s="2737">
        <f t="shared" ref="O5" si="7">J5/100</f>
        <v>0</v>
      </c>
      <c r="P5" s="2737">
        <f t="shared" ref="P5" si="8">K5/100</f>
        <v>0</v>
      </c>
      <c r="Q5" s="2737">
        <f t="shared" ref="Q5" si="9">L5/100</f>
        <v>0</v>
      </c>
      <c r="R5" s="3089"/>
      <c r="S5" s="3090"/>
      <c r="T5" s="3089"/>
      <c r="U5" s="3089"/>
      <c r="V5" s="3089"/>
      <c r="W5" s="3114" t="s">
        <v>2971</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6" customFormat="1">
      <c r="A6" s="2631" t="s">
        <v>2991</v>
      </c>
      <c r="B6" s="2644">
        <f>B7*(1+N6)</f>
        <v>464.37293017158942</v>
      </c>
      <c r="C6" s="2644">
        <f t="shared" ref="C6" si="12">C7*(1+O6)</f>
        <v>344.73679941385956</v>
      </c>
      <c r="D6" s="2644">
        <f t="shared" ref="D6" si="13">C6</f>
        <v>344.73679941385956</v>
      </c>
      <c r="E6" s="2644">
        <f t="shared" ref="E6" si="14">E7*(1+P6)</f>
        <v>663.2377795103107</v>
      </c>
      <c r="F6" s="2644">
        <f t="shared" ref="F6" si="15">F7*(1+Q6)</f>
        <v>304.75936311478398</v>
      </c>
      <c r="G6" s="3465">
        <v>2018</v>
      </c>
      <c r="H6" s="2634">
        <v>4</v>
      </c>
      <c r="I6" s="3172">
        <v>0.96</v>
      </c>
      <c r="J6" s="3172">
        <v>1.03</v>
      </c>
      <c r="K6" s="3172">
        <v>0.92</v>
      </c>
      <c r="L6" s="3173">
        <v>1.29</v>
      </c>
      <c r="M6" s="2638"/>
      <c r="N6" s="2639">
        <f t="shared" ref="N6" si="16">I6/100</f>
        <v>9.5999999999999992E-3</v>
      </c>
      <c r="O6" s="2640">
        <f t="shared" ref="O6" si="17">J6/100</f>
        <v>1.03E-2</v>
      </c>
      <c r="P6" s="2640">
        <f t="shared" ref="P6" si="18">K6/100</f>
        <v>9.1999999999999998E-3</v>
      </c>
      <c r="Q6" s="2640">
        <f t="shared" ref="Q6" si="19">L6/100</f>
        <v>1.29E-2</v>
      </c>
      <c r="R6" s="2641"/>
      <c r="S6" s="2642"/>
      <c r="T6" s="2643"/>
      <c r="U6" s="2643"/>
      <c r="V6" s="2643"/>
      <c r="W6" s="2638"/>
      <c r="X6" s="2729">
        <f>ROUND(SUMPRODUCT(PRODUCT(1+N6:N$24)),4)</f>
        <v>1.5099</v>
      </c>
      <c r="Y6" s="2729">
        <f>ROUND(SUMPRODUCT(PRODUCT(1+O6:O$24)),4)</f>
        <v>1.3372999999999999</v>
      </c>
      <c r="Z6" s="2729">
        <f t="shared" ref="Z6" si="20">Y6</f>
        <v>1.3372999999999999</v>
      </c>
      <c r="AA6" s="2729">
        <f>ROUND(SUMPRODUCT(PRODUCT(1+P6:P$24)),4)</f>
        <v>1.5683</v>
      </c>
      <c r="AB6" s="2729">
        <f>ROUND(SUMPRODUCT(PRODUCT(1+Q6:Q$24)),4)</f>
        <v>1.3255999999999999</v>
      </c>
      <c r="AC6" s="2638"/>
      <c r="AD6" s="2649">
        <f>ROUND(AVERAGE(I6:I$25)/100,4)</f>
        <v>2.24E-2</v>
      </c>
      <c r="AE6" s="2649">
        <f>ROUND(AVERAGE(J6:J$25)/100,4)</f>
        <v>1.5800000000000002E-2</v>
      </c>
      <c r="AF6" s="2649">
        <f t="shared" ref="AF6" si="21">AE6</f>
        <v>1.5800000000000002E-2</v>
      </c>
      <c r="AG6" s="2649">
        <f>ROUND(AVERAGE(K6:K$25)/100,4)</f>
        <v>2.4500000000000001E-2</v>
      </c>
      <c r="AH6" s="2649">
        <f>ROUND(AVERAGE(L6:L$25)/100,4)</f>
        <v>1.49E-2</v>
      </c>
    </row>
    <row r="7" spans="1:34" s="2736" customFormat="1" ht="14.45" customHeight="1">
      <c r="A7" s="2631" t="s">
        <v>2980</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465"/>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5" customHeight="1">
      <c r="A8" s="2631" t="s">
        <v>2981</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465"/>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2977</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471"/>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2968</v>
      </c>
      <c r="B10" s="3118">
        <v>439</v>
      </c>
      <c r="C10" s="3118">
        <v>327</v>
      </c>
      <c r="D10" s="3118">
        <f t="shared" si="43"/>
        <v>327</v>
      </c>
      <c r="E10" s="3118">
        <v>627</v>
      </c>
      <c r="F10" s="3119">
        <v>283</v>
      </c>
      <c r="G10" s="3470">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5" customHeight="1">
      <c r="A11" s="2631" t="s">
        <v>2972</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465"/>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5" customHeight="1">
      <c r="A12" s="2631" t="s">
        <v>2581</v>
      </c>
      <c r="B12" s="2644">
        <f t="shared" si="55"/>
        <v>419.31181600000002</v>
      </c>
      <c r="C12" s="2644">
        <f t="shared" si="55"/>
        <v>313.95436800000004</v>
      </c>
      <c r="D12" s="2644">
        <f t="shared" si="43"/>
        <v>313.95436800000004</v>
      </c>
      <c r="E12" s="2644">
        <f t="shared" si="56"/>
        <v>596.63028431999999</v>
      </c>
      <c r="F12" s="2644">
        <f t="shared" si="56"/>
        <v>274.74220703999998</v>
      </c>
      <c r="G12" s="3465"/>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2582</v>
      </c>
      <c r="B13" s="2644">
        <f t="shared" si="55"/>
        <v>405.524</v>
      </c>
      <c r="C13" s="2644">
        <f t="shared" si="55"/>
        <v>307.79840000000002</v>
      </c>
      <c r="D13" s="2644">
        <f t="shared" si="43"/>
        <v>307.79840000000002</v>
      </c>
      <c r="E13" s="2644">
        <f t="shared" si="56"/>
        <v>574.67759999999998</v>
      </c>
      <c r="F13" s="2644">
        <f t="shared" si="56"/>
        <v>270.20280000000002</v>
      </c>
      <c r="G13" s="3471"/>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970</v>
      </c>
      <c r="B14" s="2636">
        <v>392</v>
      </c>
      <c r="C14" s="2636">
        <v>302</v>
      </c>
      <c r="D14" s="2636">
        <f t="shared" si="43"/>
        <v>302</v>
      </c>
      <c r="E14" s="2636">
        <v>553</v>
      </c>
      <c r="F14" s="2637">
        <v>266</v>
      </c>
      <c r="G14" s="3470">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969</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465"/>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959</v>
      </c>
      <c r="B16" s="2644">
        <f t="shared" si="64"/>
        <v>360.06949782209392</v>
      </c>
      <c r="C16" s="2644">
        <f t="shared" si="64"/>
        <v>289.84672674747821</v>
      </c>
      <c r="D16" s="2644">
        <f t="shared" si="65"/>
        <v>289.84672674747821</v>
      </c>
      <c r="E16" s="2644">
        <f t="shared" si="66"/>
        <v>501.06543001181495</v>
      </c>
      <c r="F16" s="2644">
        <f t="shared" si="66"/>
        <v>256.82882500744967</v>
      </c>
      <c r="G16" s="3465"/>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5" thickBot="1">
      <c r="A17" s="2631" t="s">
        <v>968</v>
      </c>
      <c r="B17" s="2644">
        <f t="shared" si="64"/>
        <v>346.720748986128</v>
      </c>
      <c r="C17" s="2644">
        <f t="shared" si="64"/>
        <v>284.30282172386285</v>
      </c>
      <c r="D17" s="2644">
        <f t="shared" si="65"/>
        <v>284.30282172386285</v>
      </c>
      <c r="E17" s="2644">
        <f t="shared" si="66"/>
        <v>479.58023546306947</v>
      </c>
      <c r="F17" s="2644">
        <f t="shared" si="66"/>
        <v>253.25788877571213</v>
      </c>
      <c r="G17" s="3466"/>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5" thickBot="1">
      <c r="A18" s="2631" t="s">
        <v>967</v>
      </c>
      <c r="B18" s="2636">
        <v>333</v>
      </c>
      <c r="C18" s="2636">
        <v>277</v>
      </c>
      <c r="D18" s="2636">
        <f t="shared" si="65"/>
        <v>277</v>
      </c>
      <c r="E18" s="2636">
        <v>459</v>
      </c>
      <c r="F18" s="2637">
        <v>249</v>
      </c>
      <c r="G18" s="3464">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966</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465"/>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965</v>
      </c>
      <c r="B20" s="2644">
        <f t="shared" si="68"/>
        <v>322.34053690220776</v>
      </c>
      <c r="C20" s="2644">
        <f t="shared" si="68"/>
        <v>271.46160770422546</v>
      </c>
      <c r="D20" s="2644">
        <f t="shared" si="65"/>
        <v>271.46160770422546</v>
      </c>
      <c r="E20" s="2644">
        <f t="shared" si="69"/>
        <v>442.69434542172456</v>
      </c>
      <c r="F20" s="2644">
        <f t="shared" si="69"/>
        <v>241.34030753190925</v>
      </c>
      <c r="G20" s="3465"/>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964</v>
      </c>
      <c r="B21" s="2644">
        <f t="shared" si="68"/>
        <v>319.87748030386797</v>
      </c>
      <c r="C21" s="2644">
        <f t="shared" si="68"/>
        <v>269.60135833173649</v>
      </c>
      <c r="D21" s="2644">
        <f t="shared" si="65"/>
        <v>269.60135833173649</v>
      </c>
      <c r="E21" s="2644">
        <f t="shared" si="69"/>
        <v>439.18089823583784</v>
      </c>
      <c r="F21" s="2644">
        <f t="shared" si="69"/>
        <v>239.23503918706311</v>
      </c>
      <c r="G21" s="3466"/>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5" thickBot="1">
      <c r="A22" s="2631" t="s">
        <v>963</v>
      </c>
      <c r="B22" s="2658">
        <v>318</v>
      </c>
      <c r="C22" s="2658">
        <v>268</v>
      </c>
      <c r="D22" s="2658">
        <f t="shared" si="65"/>
        <v>268</v>
      </c>
      <c r="E22" s="2658">
        <v>437</v>
      </c>
      <c r="F22" s="2659">
        <v>237</v>
      </c>
      <c r="G22" s="3464">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962</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465"/>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5" thickBot="1">
      <c r="A24" s="2631" t="s">
        <v>961</v>
      </c>
      <c r="B24" s="2644">
        <f t="shared" si="70"/>
        <v>314.72141172386546</v>
      </c>
      <c r="C24" s="2644">
        <f t="shared" si="70"/>
        <v>263.03901319069001</v>
      </c>
      <c r="D24" s="2644">
        <f t="shared" si="65"/>
        <v>263.03901319069001</v>
      </c>
      <c r="E24" s="2644">
        <f t="shared" si="71"/>
        <v>433.65745506782821</v>
      </c>
      <c r="F24" s="2644">
        <f t="shared" si="71"/>
        <v>233.23005080045735</v>
      </c>
      <c r="G24" s="3465"/>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5" thickBot="1">
      <c r="A25" s="2662" t="s">
        <v>960</v>
      </c>
      <c r="B25" s="2663">
        <f t="shared" si="70"/>
        <v>307.34512863658733</v>
      </c>
      <c r="C25" s="2663">
        <f t="shared" si="70"/>
        <v>257.80556031626975</v>
      </c>
      <c r="D25" s="2663">
        <f t="shared" si="65"/>
        <v>257.80556031626975</v>
      </c>
      <c r="E25" s="2663">
        <f t="shared" si="71"/>
        <v>422.70928459677179</v>
      </c>
      <c r="F25" s="2663">
        <f t="shared" si="71"/>
        <v>229.73803270336617</v>
      </c>
      <c r="G25" s="3466"/>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2640</v>
      </c>
      <c r="X25" s="2740">
        <v>1</v>
      </c>
      <c r="Y25" s="2740">
        <v>1</v>
      </c>
      <c r="Z25" s="2740">
        <v>1</v>
      </c>
      <c r="AA25" s="2740">
        <v>1</v>
      </c>
      <c r="AB25" s="2740">
        <v>1</v>
      </c>
      <c r="AD25" s="2981">
        <f>I25/100</f>
        <v>2.9700000000000001E-2</v>
      </c>
      <c r="AE25" s="2981">
        <f>J25/100</f>
        <v>2.3399999999999997E-2</v>
      </c>
      <c r="AF25" s="2981">
        <f>AE25</f>
        <v>2.3399999999999997E-2</v>
      </c>
      <c r="AG25" s="2981">
        <f>K25/100</f>
        <v>3.2799999999999996E-2</v>
      </c>
      <c r="AH25" s="2981">
        <f>L25/100</f>
        <v>1.3600000000000001E-2</v>
      </c>
    </row>
    <row r="26" spans="1:34" ht="13.5" thickBot="1">
      <c r="A26" s="2631" t="s">
        <v>2583</v>
      </c>
      <c r="B26" s="2636">
        <v>299</v>
      </c>
      <c r="C26" s="2636">
        <v>252</v>
      </c>
      <c r="D26" s="2636">
        <f t="shared" si="65"/>
        <v>252</v>
      </c>
      <c r="E26" s="2636">
        <v>409</v>
      </c>
      <c r="F26" s="2637">
        <v>227</v>
      </c>
      <c r="G26" s="3467">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2584</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468"/>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2585</v>
      </c>
      <c r="B28" s="2644">
        <f t="shared" si="74"/>
        <v>288.2649053828776</v>
      </c>
      <c r="C28" s="2644">
        <f t="shared" si="74"/>
        <v>243.64564425013293</v>
      </c>
      <c r="D28" s="2644">
        <f t="shared" si="65"/>
        <v>243.64564425013293</v>
      </c>
      <c r="E28" s="2644">
        <f t="shared" si="75"/>
        <v>393.31080825986544</v>
      </c>
      <c r="F28" s="2644">
        <f t="shared" si="75"/>
        <v>223.07903790551154</v>
      </c>
      <c r="G28" s="3468"/>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2586</v>
      </c>
      <c r="B29" s="2644">
        <f t="shared" si="74"/>
        <v>282.50186729015837</v>
      </c>
      <c r="C29" s="2644">
        <f t="shared" si="74"/>
        <v>238.09796174155468</v>
      </c>
      <c r="D29" s="2644">
        <f t="shared" si="65"/>
        <v>238.09796174155468</v>
      </c>
      <c r="E29" s="2644">
        <f t="shared" si="75"/>
        <v>385.33438646014054</v>
      </c>
      <c r="F29" s="2644">
        <f t="shared" si="75"/>
        <v>221.55034055567739</v>
      </c>
      <c r="G29" s="3469"/>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5" thickBot="1">
      <c r="A30" s="2631" t="s">
        <v>2587</v>
      </c>
      <c r="B30" s="2674">
        <v>278</v>
      </c>
      <c r="C30" s="2674">
        <v>234</v>
      </c>
      <c r="D30" s="2674">
        <f t="shared" si="65"/>
        <v>234</v>
      </c>
      <c r="E30" s="2674">
        <v>379</v>
      </c>
      <c r="F30" s="2675">
        <v>220</v>
      </c>
      <c r="G30" s="3464">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2588</v>
      </c>
      <c r="B31" s="2644">
        <f>B30/(1+N30)</f>
        <v>275.49301357645425</v>
      </c>
      <c r="C31" s="2644">
        <f>C30/(1+O30)</f>
        <v>232.41954707985698</v>
      </c>
      <c r="D31" s="2644">
        <f t="shared" si="65"/>
        <v>232.41954707985698</v>
      </c>
      <c r="E31" s="2644">
        <f t="shared" ref="E31:F33" si="76">E30/(1+P30)</f>
        <v>375.32184591008121</v>
      </c>
      <c r="F31" s="2644">
        <f t="shared" si="76"/>
        <v>218.03766105054513</v>
      </c>
      <c r="G31" s="3465"/>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2589</v>
      </c>
      <c r="B32" s="2644">
        <f>B31/(1+N31)</f>
        <v>275.24529281292263</v>
      </c>
      <c r="C32" s="2644">
        <f>C31/(1+O31)</f>
        <v>231.74747938962707</v>
      </c>
      <c r="D32" s="2644">
        <f t="shared" si="65"/>
        <v>231.74747938962707</v>
      </c>
      <c r="E32" s="2644">
        <f t="shared" si="76"/>
        <v>375.35938184826603</v>
      </c>
      <c r="F32" s="2644">
        <f t="shared" si="76"/>
        <v>216.78033510692495</v>
      </c>
      <c r="G32" s="3465"/>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5" thickBot="1">
      <c r="A33" s="2631" t="s">
        <v>2590</v>
      </c>
      <c r="B33" s="2644">
        <f>B32/(1+N32)</f>
        <v>275.19025476197027</v>
      </c>
      <c r="C33" s="2676">
        <v>232</v>
      </c>
      <c r="D33" s="2676">
        <f t="shared" si="65"/>
        <v>232</v>
      </c>
      <c r="E33" s="2644">
        <f t="shared" si="76"/>
        <v>375.65990977608692</v>
      </c>
      <c r="F33" s="2644">
        <f t="shared" si="76"/>
        <v>214.12518283971252</v>
      </c>
      <c r="G33" s="3466"/>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5" thickBot="1">
      <c r="A34" s="2631" t="s">
        <v>2591</v>
      </c>
      <c r="B34" s="2636">
        <v>275</v>
      </c>
      <c r="C34" s="2636">
        <v>232</v>
      </c>
      <c r="D34" s="2636">
        <f t="shared" si="65"/>
        <v>232</v>
      </c>
      <c r="E34" s="2636">
        <v>376</v>
      </c>
      <c r="F34" s="2637">
        <v>213</v>
      </c>
      <c r="G34" s="3464">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2592</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465">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2593</v>
      </c>
      <c r="B36" s="2644">
        <f t="shared" si="77"/>
        <v>275.19335084830601</v>
      </c>
      <c r="C36" s="2644">
        <f t="shared" si="77"/>
        <v>230.18088050139744</v>
      </c>
      <c r="D36" s="2644">
        <f t="shared" si="65"/>
        <v>230.18088050139744</v>
      </c>
      <c r="E36" s="2644">
        <f t="shared" si="78"/>
        <v>377.58482925212331</v>
      </c>
      <c r="F36" s="2644">
        <f t="shared" si="78"/>
        <v>210.90687997847917</v>
      </c>
      <c r="G36" s="3465">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5" thickBot="1">
      <c r="A37" s="2631" t="s">
        <v>2594</v>
      </c>
      <c r="B37" s="2644">
        <f t="shared" si="77"/>
        <v>276.29854502841971</v>
      </c>
      <c r="C37" s="2644">
        <f t="shared" si="77"/>
        <v>229.79023709833027</v>
      </c>
      <c r="D37" s="2644">
        <f t="shared" si="65"/>
        <v>229.79023709833027</v>
      </c>
      <c r="E37" s="2644">
        <f t="shared" si="78"/>
        <v>379.78759731655936</v>
      </c>
      <c r="F37" s="2644">
        <f t="shared" si="78"/>
        <v>211.32953905659235</v>
      </c>
      <c r="G37" s="3466">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5" thickBot="1">
      <c r="A38" s="2631" t="s">
        <v>2595</v>
      </c>
      <c r="B38" s="2636">
        <v>269</v>
      </c>
      <c r="C38" s="2636">
        <v>221</v>
      </c>
      <c r="D38" s="2636">
        <f t="shared" si="65"/>
        <v>221</v>
      </c>
      <c r="E38" s="2636">
        <v>373</v>
      </c>
      <c r="F38" s="2637">
        <v>196</v>
      </c>
      <c r="G38" s="3464">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2596</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465">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2597</v>
      </c>
      <c r="B40" s="2644">
        <f t="shared" si="79"/>
        <v>242.95398227588385</v>
      </c>
      <c r="C40" s="2644">
        <f t="shared" si="79"/>
        <v>199.59137053614126</v>
      </c>
      <c r="D40" s="2644">
        <f t="shared" si="65"/>
        <v>199.59137053614126</v>
      </c>
      <c r="E40" s="2644">
        <f t="shared" si="80"/>
        <v>335.92189522342125</v>
      </c>
      <c r="F40" s="2644">
        <f t="shared" si="80"/>
        <v>183.10139991109489</v>
      </c>
      <c r="G40" s="3465">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5" thickBot="1">
      <c r="A41" s="2631" t="s">
        <v>2598</v>
      </c>
      <c r="B41" s="2644">
        <f t="shared" si="79"/>
        <v>232.06990378821649</v>
      </c>
      <c r="C41" s="2644">
        <f t="shared" si="79"/>
        <v>192.74878854286936</v>
      </c>
      <c r="D41" s="2644">
        <f t="shared" si="65"/>
        <v>192.74878854286936</v>
      </c>
      <c r="E41" s="2644">
        <f t="shared" si="80"/>
        <v>319.71247284992984</v>
      </c>
      <c r="F41" s="2644">
        <f t="shared" si="80"/>
        <v>175.67053622862409</v>
      </c>
      <c r="G41" s="3466">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5" thickBot="1">
      <c r="A42" s="2631" t="s">
        <v>2599</v>
      </c>
      <c r="B42" s="2636">
        <v>220</v>
      </c>
      <c r="C42" s="2636">
        <v>187</v>
      </c>
      <c r="D42" s="2636">
        <f t="shared" si="65"/>
        <v>187</v>
      </c>
      <c r="E42" s="2636">
        <v>301</v>
      </c>
      <c r="F42" s="2637">
        <v>168</v>
      </c>
      <c r="G42" s="3464">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2600</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465">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2601</v>
      </c>
      <c r="B44" s="2644">
        <f t="shared" si="81"/>
        <v>210.630522469011</v>
      </c>
      <c r="C44" s="2644">
        <f t="shared" si="81"/>
        <v>181.69567812247232</v>
      </c>
      <c r="D44" s="2644">
        <f t="shared" si="65"/>
        <v>181.69567812247232</v>
      </c>
      <c r="E44" s="2644">
        <f t="shared" si="82"/>
        <v>286.13517466736738</v>
      </c>
      <c r="F44" s="2644">
        <f t="shared" si="82"/>
        <v>165.47535084591149</v>
      </c>
      <c r="G44" s="3465">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2602</v>
      </c>
      <c r="B45" s="2644">
        <f t="shared" si="81"/>
        <v>208.83454537875372</v>
      </c>
      <c r="C45" s="2644">
        <f t="shared" si="81"/>
        <v>183.77230517090351</v>
      </c>
      <c r="D45" s="2644">
        <f t="shared" si="65"/>
        <v>183.77230517090351</v>
      </c>
      <c r="E45" s="2644">
        <f t="shared" si="82"/>
        <v>281.10342338870947</v>
      </c>
      <c r="F45" s="2644">
        <f t="shared" si="82"/>
        <v>168.97309388942256</v>
      </c>
      <c r="G45" s="3466">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5" thickBot="1">
      <c r="A46" s="2631" t="s">
        <v>2603</v>
      </c>
      <c r="B46" s="2674">
        <v>214</v>
      </c>
      <c r="C46" s="2674">
        <v>188</v>
      </c>
      <c r="D46" s="2674">
        <f t="shared" si="65"/>
        <v>188</v>
      </c>
      <c r="E46" s="2674">
        <v>289</v>
      </c>
      <c r="F46" s="2675">
        <v>166</v>
      </c>
      <c r="G46" s="3464">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2604</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465">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2605</v>
      </c>
      <c r="B48" s="2644">
        <f t="shared" si="83"/>
        <v>206.31694671589116</v>
      </c>
      <c r="C48" s="2644">
        <f t="shared" si="83"/>
        <v>183.61041121036101</v>
      </c>
      <c r="D48" s="2644">
        <f t="shared" si="65"/>
        <v>183.61041121036101</v>
      </c>
      <c r="E48" s="2644">
        <f t="shared" si="84"/>
        <v>276.66850301795557</v>
      </c>
      <c r="F48" s="2644">
        <f t="shared" si="84"/>
        <v>165.1360938278614</v>
      </c>
      <c r="G48" s="3465">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5" thickBot="1">
      <c r="A49" s="2631" t="s">
        <v>2606</v>
      </c>
      <c r="B49" s="2677">
        <f t="shared" si="83"/>
        <v>196.62341248059772</v>
      </c>
      <c r="C49" s="2677">
        <f t="shared" si="83"/>
        <v>170.99125648199012</v>
      </c>
      <c r="D49" s="2677">
        <f t="shared" si="65"/>
        <v>170.99125648199012</v>
      </c>
      <c r="E49" s="2677">
        <f t="shared" si="84"/>
        <v>266.07857570490052</v>
      </c>
      <c r="F49" s="2677">
        <f t="shared" si="84"/>
        <v>154.53499328828505</v>
      </c>
      <c r="G49" s="3466">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5" thickBot="1">
      <c r="A50" s="2631" t="s">
        <v>2607</v>
      </c>
      <c r="B50" s="2636">
        <v>188</v>
      </c>
      <c r="C50" s="2636">
        <v>165</v>
      </c>
      <c r="D50" s="2636">
        <f t="shared" si="65"/>
        <v>165</v>
      </c>
      <c r="E50" s="2636">
        <v>254</v>
      </c>
      <c r="F50" s="2637">
        <v>148</v>
      </c>
      <c r="G50" s="3464">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2608</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465">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2609</v>
      </c>
      <c r="B52" s="2644">
        <f t="shared" si="87"/>
        <v>168.82017748715555</v>
      </c>
      <c r="C52" s="2644">
        <f t="shared" si="87"/>
        <v>148.06267029972753</v>
      </c>
      <c r="D52" s="2644">
        <f t="shared" si="65"/>
        <v>148.06267029972753</v>
      </c>
      <c r="E52" s="2644">
        <f t="shared" si="88"/>
        <v>216.46288379323747</v>
      </c>
      <c r="F52" s="2644">
        <f t="shared" si="88"/>
        <v>134.23529411764704</v>
      </c>
      <c r="G52" s="3465">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2610</v>
      </c>
      <c r="B53" s="2644">
        <f t="shared" si="87"/>
        <v>163.84913591779542</v>
      </c>
      <c r="C53" s="2644">
        <f t="shared" si="87"/>
        <v>145.0283378746594</v>
      </c>
      <c r="D53" s="2644">
        <f t="shared" si="65"/>
        <v>145.0283378746594</v>
      </c>
      <c r="E53" s="2644">
        <f t="shared" si="88"/>
        <v>204.95180722891567</v>
      </c>
      <c r="F53" s="2644">
        <f t="shared" si="88"/>
        <v>125.95920303605313</v>
      </c>
      <c r="G53" s="3466">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5" thickBot="1">
      <c r="A54" s="2631" t="s">
        <v>2611</v>
      </c>
      <c r="B54" s="2658">
        <v>159</v>
      </c>
      <c r="C54" s="2658">
        <v>141</v>
      </c>
      <c r="D54" s="2658">
        <f t="shared" si="65"/>
        <v>141</v>
      </c>
      <c r="E54" s="2658">
        <v>195</v>
      </c>
      <c r="F54" s="2659">
        <v>122</v>
      </c>
      <c r="G54" s="3464">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2612</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465">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2613</v>
      </c>
      <c r="B56" s="2644">
        <f t="shared" si="91"/>
        <v>146.57412060301507</v>
      </c>
      <c r="C56" s="2644">
        <f t="shared" si="91"/>
        <v>136.46831955922866</v>
      </c>
      <c r="D56" s="2644">
        <f t="shared" si="65"/>
        <v>136.46831955922866</v>
      </c>
      <c r="E56" s="2644">
        <f t="shared" si="92"/>
        <v>166.73864894795128</v>
      </c>
      <c r="F56" s="2644">
        <f t="shared" si="92"/>
        <v>115.05882352941177</v>
      </c>
      <c r="G56" s="3465">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2614</v>
      </c>
      <c r="B57" s="2644">
        <f t="shared" si="91"/>
        <v>144.04145728643215</v>
      </c>
      <c r="C57" s="2644">
        <f t="shared" si="91"/>
        <v>136.12396694214877</v>
      </c>
      <c r="D57" s="2644">
        <f t="shared" si="65"/>
        <v>136.12396694214877</v>
      </c>
      <c r="E57" s="2644">
        <f t="shared" si="92"/>
        <v>158.32225913621264</v>
      </c>
      <c r="F57" s="2644">
        <f t="shared" si="92"/>
        <v>114.04278074866311</v>
      </c>
      <c r="G57" s="3466">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5" thickBot="1">
      <c r="A58" s="2631" t="s">
        <v>2615</v>
      </c>
      <c r="B58" s="2658">
        <v>138</v>
      </c>
      <c r="C58" s="2658">
        <v>131</v>
      </c>
      <c r="D58" s="2658">
        <f t="shared" si="65"/>
        <v>131</v>
      </c>
      <c r="E58" s="2658">
        <v>155</v>
      </c>
      <c r="F58" s="2659">
        <v>114</v>
      </c>
      <c r="G58" s="3464">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2616</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465">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2617</v>
      </c>
      <c r="B60" s="2644">
        <f t="shared" si="95"/>
        <v>124.29032258064517</v>
      </c>
      <c r="C60" s="2644">
        <f t="shared" si="95"/>
        <v>123.8968609865471</v>
      </c>
      <c r="D60" s="2644">
        <f t="shared" si="65"/>
        <v>123.8968609865471</v>
      </c>
      <c r="E60" s="2644">
        <f t="shared" si="96"/>
        <v>138.00507614213197</v>
      </c>
      <c r="F60" s="2644">
        <f t="shared" si="96"/>
        <v>107.96106557377048</v>
      </c>
      <c r="G60" s="3465">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2618</v>
      </c>
      <c r="B61" s="2644">
        <f t="shared" si="95"/>
        <v>122.57204301075269</v>
      </c>
      <c r="C61" s="2644">
        <f t="shared" si="95"/>
        <v>123.4932735426009</v>
      </c>
      <c r="D61" s="2644">
        <f t="shared" si="65"/>
        <v>123.4932735426009</v>
      </c>
      <c r="E61" s="2644">
        <f t="shared" si="96"/>
        <v>129.82233502538071</v>
      </c>
      <c r="F61" s="2644">
        <f t="shared" si="96"/>
        <v>107.39446721311475</v>
      </c>
      <c r="G61" s="3466">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5" thickBot="1">
      <c r="A62" s="2631" t="s">
        <v>2619</v>
      </c>
      <c r="B62" s="2674">
        <v>121</v>
      </c>
      <c r="C62" s="2674">
        <v>122</v>
      </c>
      <c r="D62" s="2674">
        <f t="shared" si="65"/>
        <v>122</v>
      </c>
      <c r="E62" s="2674">
        <v>124</v>
      </c>
      <c r="F62" s="2675">
        <v>107</v>
      </c>
      <c r="G62" s="3464">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2620</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465">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2621</v>
      </c>
      <c r="B64" s="2644">
        <f t="shared" si="99"/>
        <v>116.99099099099099</v>
      </c>
      <c r="C64" s="2644">
        <f t="shared" si="99"/>
        <v>118.84848484848486</v>
      </c>
      <c r="D64" s="2644">
        <f t="shared" si="65"/>
        <v>118.84848484848486</v>
      </c>
      <c r="E64" s="2644">
        <f t="shared" si="100"/>
        <v>117.60960960960961</v>
      </c>
      <c r="F64" s="2644">
        <f t="shared" si="100"/>
        <v>104</v>
      </c>
      <c r="G64" s="3465">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5" thickBot="1">
      <c r="A65" s="2631" t="s">
        <v>2622</v>
      </c>
      <c r="B65" s="2677">
        <f t="shared" si="99"/>
        <v>112.48648648648648</v>
      </c>
      <c r="C65" s="2677">
        <f t="shared" si="99"/>
        <v>115.21212121212122</v>
      </c>
      <c r="D65" s="2677">
        <f t="shared" si="65"/>
        <v>115.21212121212122</v>
      </c>
      <c r="E65" s="2677">
        <f t="shared" si="100"/>
        <v>110.4024024024024</v>
      </c>
      <c r="F65" s="2677">
        <f t="shared" si="100"/>
        <v>104</v>
      </c>
      <c r="G65" s="3466">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5" thickBot="1">
      <c r="A66" s="2631" t="s">
        <v>2623</v>
      </c>
      <c r="B66" s="2695">
        <v>111</v>
      </c>
      <c r="C66" s="2695">
        <v>114</v>
      </c>
      <c r="D66" s="2695">
        <f t="shared" si="65"/>
        <v>114</v>
      </c>
      <c r="E66" s="2695">
        <v>108</v>
      </c>
      <c r="F66" s="2696">
        <v>104</v>
      </c>
      <c r="G66" s="3464">
        <v>2003</v>
      </c>
      <c r="H66" s="2685">
        <v>4</v>
      </c>
      <c r="I66" s="2697"/>
      <c r="J66" s="2697"/>
      <c r="K66" s="2697"/>
      <c r="L66" s="2697"/>
      <c r="N66" s="2698"/>
      <c r="O66" s="2697"/>
      <c r="P66" s="2697"/>
      <c r="Q66" s="2697"/>
      <c r="S66" s="2698"/>
      <c r="T66" s="2697"/>
      <c r="U66" s="2697"/>
      <c r="V66" s="2697"/>
      <c r="X66" s="2689"/>
      <c r="Y66" s="2689"/>
      <c r="Z66" s="2689"/>
    </row>
    <row r="67" spans="1:26">
      <c r="A67" s="2631" t="s">
        <v>2624</v>
      </c>
      <c r="B67" s="2699">
        <f t="shared" ref="B67:C69" si="101">B68+(B$66-B$70)/4</f>
        <v>109.75</v>
      </c>
      <c r="C67" s="2699">
        <f t="shared" si="101"/>
        <v>112.25</v>
      </c>
      <c r="D67" s="2699">
        <f t="shared" si="65"/>
        <v>112.25</v>
      </c>
      <c r="E67" s="2699">
        <f t="shared" ref="E67:F69" si="102">E68+(E$66-E$70)/4</f>
        <v>107.25</v>
      </c>
      <c r="F67" s="2699">
        <f t="shared" si="102"/>
        <v>103.5</v>
      </c>
      <c r="G67" s="3465">
        <v>2003</v>
      </c>
      <c r="H67" s="2655">
        <v>3</v>
      </c>
      <c r="I67" s="2697"/>
      <c r="J67" s="2697"/>
      <c r="K67" s="2697"/>
      <c r="L67" s="2697"/>
      <c r="X67" s="2689"/>
      <c r="Y67" s="2689"/>
      <c r="Z67" s="2689"/>
    </row>
    <row r="68" spans="1:26">
      <c r="A68" s="2631" t="s">
        <v>2625</v>
      </c>
      <c r="B68" s="2699">
        <f t="shared" si="101"/>
        <v>108.5</v>
      </c>
      <c r="C68" s="2699">
        <f t="shared" si="101"/>
        <v>110.5</v>
      </c>
      <c r="D68" s="2699">
        <f t="shared" si="65"/>
        <v>110.5</v>
      </c>
      <c r="E68" s="2699">
        <f t="shared" si="102"/>
        <v>106.5</v>
      </c>
      <c r="F68" s="2699">
        <f t="shared" si="102"/>
        <v>103</v>
      </c>
      <c r="G68" s="3465">
        <v>2003</v>
      </c>
      <c r="H68" s="2635">
        <v>2</v>
      </c>
      <c r="I68" s="2697"/>
      <c r="J68" s="2697"/>
      <c r="K68" s="2697"/>
      <c r="L68" s="2697"/>
      <c r="X68" s="2689"/>
      <c r="Y68" s="2689"/>
      <c r="Z68" s="2689"/>
    </row>
    <row r="69" spans="1:26" ht="13.5" thickBot="1">
      <c r="A69" s="2631" t="s">
        <v>2626</v>
      </c>
      <c r="B69" s="2699">
        <f t="shared" si="101"/>
        <v>107.25</v>
      </c>
      <c r="C69" s="2699">
        <f t="shared" si="101"/>
        <v>108.75</v>
      </c>
      <c r="D69" s="2699">
        <f t="shared" si="65"/>
        <v>108.75</v>
      </c>
      <c r="E69" s="2699">
        <f t="shared" si="102"/>
        <v>105.75</v>
      </c>
      <c r="F69" s="2699">
        <f t="shared" si="102"/>
        <v>102.5</v>
      </c>
      <c r="G69" s="3466">
        <v>2003</v>
      </c>
      <c r="H69" s="2700">
        <v>1</v>
      </c>
      <c r="I69" s="2697"/>
      <c r="J69" s="2697"/>
      <c r="K69" s="2697"/>
      <c r="L69" s="2697"/>
      <c r="S69" s="2639"/>
      <c r="T69" s="2640"/>
      <c r="U69" s="2640"/>
      <c r="X69" s="2689"/>
      <c r="Y69" s="2689"/>
      <c r="Z69" s="2689"/>
    </row>
    <row r="70" spans="1:26" ht="13.5" thickBot="1">
      <c r="A70" s="2631" t="s">
        <v>2627</v>
      </c>
      <c r="B70" s="2701">
        <v>106</v>
      </c>
      <c r="C70" s="2701">
        <v>107</v>
      </c>
      <c r="D70" s="2701">
        <f t="shared" si="65"/>
        <v>107</v>
      </c>
      <c r="E70" s="2701">
        <v>105</v>
      </c>
      <c r="F70" s="2702">
        <v>102</v>
      </c>
      <c r="G70" s="3464">
        <v>2002</v>
      </c>
      <c r="H70" s="2650">
        <v>4</v>
      </c>
      <c r="I70" s="2697"/>
      <c r="J70" s="2697"/>
      <c r="K70" s="2697"/>
      <c r="L70" s="2697"/>
      <c r="N70" s="2698"/>
      <c r="O70" s="2697"/>
      <c r="P70" s="2697"/>
      <c r="Q70" s="2697"/>
      <c r="S70" s="2698"/>
      <c r="T70" s="2697"/>
      <c r="U70" s="2697"/>
      <c r="V70" s="2697"/>
      <c r="X70" s="2689"/>
      <c r="Y70" s="2689"/>
      <c r="Z70" s="2689"/>
    </row>
    <row r="71" spans="1:26">
      <c r="A71" s="2631" t="s">
        <v>2628</v>
      </c>
      <c r="B71" s="2699">
        <f t="shared" ref="B71:C73" si="103">B72+(B$70-B$74)/4</f>
        <v>105</v>
      </c>
      <c r="C71" s="2699">
        <f t="shared" si="103"/>
        <v>106</v>
      </c>
      <c r="D71" s="2699">
        <f t="shared" si="65"/>
        <v>106</v>
      </c>
      <c r="E71" s="2699">
        <f t="shared" ref="E71:F73" si="104">E72+(E$70-E$74)/4</f>
        <v>104.5</v>
      </c>
      <c r="F71" s="2699">
        <f t="shared" si="104"/>
        <v>101.5</v>
      </c>
      <c r="G71" s="3465">
        <v>2002</v>
      </c>
      <c r="H71" s="2655">
        <v>3</v>
      </c>
      <c r="I71" s="2697"/>
      <c r="J71" s="2697"/>
      <c r="K71" s="2697"/>
      <c r="L71" s="2697"/>
      <c r="X71" s="2689"/>
      <c r="Y71" s="2689"/>
      <c r="Z71" s="2689"/>
    </row>
    <row r="72" spans="1:26">
      <c r="A72" s="2631" t="s">
        <v>2629</v>
      </c>
      <c r="B72" s="2699">
        <f t="shared" si="103"/>
        <v>104</v>
      </c>
      <c r="C72" s="2699">
        <f t="shared" si="103"/>
        <v>105</v>
      </c>
      <c r="D72" s="2699">
        <f t="shared" si="65"/>
        <v>105</v>
      </c>
      <c r="E72" s="2699">
        <f t="shared" si="104"/>
        <v>104</v>
      </c>
      <c r="F72" s="2699">
        <f t="shared" si="104"/>
        <v>101</v>
      </c>
      <c r="G72" s="3465">
        <v>2002</v>
      </c>
      <c r="H72" s="2635">
        <v>2</v>
      </c>
      <c r="I72" s="2697"/>
      <c r="J72" s="2697"/>
      <c r="K72" s="2697"/>
      <c r="L72" s="2697"/>
      <c r="X72" s="2689"/>
      <c r="Y72" s="2689"/>
      <c r="Z72" s="2689"/>
    </row>
    <row r="73" spans="1:26" s="2666" customFormat="1" ht="13.5" thickBot="1">
      <c r="A73" s="2662" t="s">
        <v>2630</v>
      </c>
      <c r="B73" s="2703">
        <f t="shared" si="103"/>
        <v>103</v>
      </c>
      <c r="C73" s="2703">
        <f t="shared" si="103"/>
        <v>104</v>
      </c>
      <c r="D73" s="2703">
        <f t="shared" si="65"/>
        <v>104</v>
      </c>
      <c r="E73" s="2703">
        <f t="shared" si="104"/>
        <v>103.5</v>
      </c>
      <c r="F73" s="2703">
        <f t="shared" si="104"/>
        <v>100.5</v>
      </c>
      <c r="G73" s="3466">
        <v>2002</v>
      </c>
      <c r="H73" s="2704">
        <v>1</v>
      </c>
      <c r="I73" s="2705"/>
      <c r="J73" s="2705"/>
      <c r="K73" s="2705"/>
      <c r="L73" s="2705"/>
      <c r="N73" s="2706"/>
      <c r="S73" s="2706"/>
      <c r="X73" s="2707"/>
      <c r="Y73" s="2707"/>
      <c r="Z73" s="2707"/>
    </row>
    <row r="74" spans="1:26" ht="13.5"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2631</v>
      </c>
      <c r="G76" s="2713"/>
      <c r="N76" s="2713"/>
      <c r="S76" s="2713"/>
    </row>
    <row r="77" spans="1:26" s="2712" customFormat="1">
      <c r="A77" s="2712" t="s">
        <v>2632</v>
      </c>
      <c r="G77" s="2713"/>
      <c r="N77" s="2713"/>
      <c r="S77" s="2713"/>
    </row>
    <row r="78" spans="1:26" s="2712" customFormat="1">
      <c r="A78" s="2712" t="s">
        <v>2633</v>
      </c>
      <c r="G78" s="2713"/>
      <c r="I78" s="2714"/>
      <c r="J78" s="2714"/>
      <c r="K78" s="2714"/>
      <c r="L78" s="2714"/>
      <c r="N78" s="2715"/>
      <c r="O78" s="2714"/>
      <c r="P78" s="2714"/>
      <c r="Q78" s="2714"/>
      <c r="S78" s="2715"/>
      <c r="T78" s="2714"/>
      <c r="U78" s="2714"/>
      <c r="V78" s="2714"/>
    </row>
    <row r="79" spans="1:26" s="2712" customFormat="1">
      <c r="A79" s="2712" t="s">
        <v>2634</v>
      </c>
      <c r="G79" s="2713"/>
      <c r="N79" s="2713"/>
      <c r="S79" s="2713"/>
    </row>
    <row r="86" spans="7:22" ht="13.5" thickBot="1"/>
    <row r="87" spans="7:22">
      <c r="G87" s="2638"/>
      <c r="S87" s="2716" t="s">
        <v>2635</v>
      </c>
      <c r="T87" s="2717" t="s">
        <v>2636</v>
      </c>
      <c r="U87" s="2717" t="s">
        <v>2637</v>
      </c>
      <c r="V87" s="2717" t="s">
        <v>2638</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5"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88" t="s">
        <v>2471</v>
      </c>
      <c r="B1" s="3489"/>
      <c r="C1" s="3490"/>
      <c r="D1" s="3491">
        <f>SUM(I10,I15,I20,I21,I23)</f>
        <v>0</v>
      </c>
      <c r="E1" s="3491"/>
      <c r="F1" s="3491"/>
      <c r="G1" s="3491"/>
      <c r="H1" s="3491"/>
      <c r="I1" s="3492"/>
    </row>
    <row r="2" spans="1:9">
      <c r="A2" s="3478" t="s">
        <v>2472</v>
      </c>
      <c r="B2" s="3479" t="s">
        <v>2473</v>
      </c>
      <c r="C2" s="3479"/>
      <c r="D2" s="2483" t="s">
        <v>2474</v>
      </c>
      <c r="E2" s="2483" t="s">
        <v>2475</v>
      </c>
      <c r="F2" s="2483" t="s">
        <v>2476</v>
      </c>
      <c r="G2" s="2483" t="s">
        <v>2477</v>
      </c>
      <c r="H2" s="2483" t="s">
        <v>2478</v>
      </c>
      <c r="I2" s="2484" t="s">
        <v>2479</v>
      </c>
    </row>
    <row r="3" spans="1:9">
      <c r="A3" s="3478"/>
      <c r="B3" s="3479" t="s">
        <v>2480</v>
      </c>
      <c r="C3" s="3479"/>
      <c r="D3" s="2485"/>
      <c r="E3" s="2483"/>
      <c r="F3" s="2486"/>
      <c r="G3" s="2486"/>
      <c r="H3" s="2487"/>
      <c r="I3" s="2488">
        <f>ROUND(D3*E3*F3*G3*H3/10000,0)</f>
        <v>0</v>
      </c>
    </row>
    <row r="4" spans="1:9">
      <c r="A4" s="3478"/>
      <c r="B4" s="3479" t="s">
        <v>2481</v>
      </c>
      <c r="C4" s="3479"/>
      <c r="D4" s="2485"/>
      <c r="E4" s="2483"/>
      <c r="F4" s="2486"/>
      <c r="G4" s="2486"/>
      <c r="H4" s="2487"/>
      <c r="I4" s="2488">
        <f t="shared" ref="I4:I9" si="0">ROUND(D4*E4*F4*G4*H4/10000,0)</f>
        <v>0</v>
      </c>
    </row>
    <row r="5" spans="1:9">
      <c r="A5" s="3478"/>
      <c r="B5" s="3479" t="s">
        <v>2482</v>
      </c>
      <c r="C5" s="3479"/>
      <c r="D5" s="2485"/>
      <c r="E5" s="2483"/>
      <c r="F5" s="2486"/>
      <c r="G5" s="2486"/>
      <c r="H5" s="2487"/>
      <c r="I5" s="2488">
        <f t="shared" si="0"/>
        <v>0</v>
      </c>
    </row>
    <row r="6" spans="1:9">
      <c r="A6" s="3478"/>
      <c r="B6" s="3479" t="s">
        <v>2483</v>
      </c>
      <c r="C6" s="3479"/>
      <c r="D6" s="2485"/>
      <c r="E6" s="2483"/>
      <c r="F6" s="2486"/>
      <c r="G6" s="2486"/>
      <c r="H6" s="2487"/>
      <c r="I6" s="2488">
        <f t="shared" si="0"/>
        <v>0</v>
      </c>
    </row>
    <row r="7" spans="1:9">
      <c r="A7" s="3478"/>
      <c r="B7" s="3479" t="s">
        <v>2484</v>
      </c>
      <c r="C7" s="3479"/>
      <c r="D7" s="2485"/>
      <c r="E7" s="2483"/>
      <c r="F7" s="2486"/>
      <c r="G7" s="2486"/>
      <c r="H7" s="2487"/>
      <c r="I7" s="2488">
        <f t="shared" si="0"/>
        <v>0</v>
      </c>
    </row>
    <row r="8" spans="1:9">
      <c r="A8" s="3478"/>
      <c r="B8" s="3479" t="s">
        <v>2485</v>
      </c>
      <c r="C8" s="3479"/>
      <c r="D8" s="2485"/>
      <c r="E8" s="2483"/>
      <c r="F8" s="2486"/>
      <c r="G8" s="2486"/>
      <c r="H8" s="2487"/>
      <c r="I8" s="2488">
        <f t="shared" si="0"/>
        <v>0</v>
      </c>
    </row>
    <row r="9" spans="1:9">
      <c r="A9" s="3478"/>
      <c r="B9" s="3479" t="s">
        <v>2486</v>
      </c>
      <c r="C9" s="3479"/>
      <c r="D9" s="2485"/>
      <c r="E9" s="2483"/>
      <c r="F9" s="2486"/>
      <c r="G9" s="2486"/>
      <c r="H9" s="2487"/>
      <c r="I9" s="2488">
        <f t="shared" si="0"/>
        <v>0</v>
      </c>
    </row>
    <row r="10" spans="1:9">
      <c r="A10" s="3478"/>
      <c r="B10" s="3480" t="s">
        <v>2487</v>
      </c>
      <c r="C10" s="3480"/>
      <c r="D10" s="2489">
        <v>527</v>
      </c>
      <c r="E10" s="2489" t="e">
        <f>ROUND(D1*10000/D10/H9,0)</f>
        <v>#DIV/0!</v>
      </c>
      <c r="F10" s="2490"/>
      <c r="G10" s="2490"/>
      <c r="H10" s="2491"/>
      <c r="I10" s="2492">
        <f>SUM(I3:I9)</f>
        <v>0</v>
      </c>
    </row>
    <row r="11" spans="1:9" ht="14.25">
      <c r="A11" s="3478" t="s">
        <v>2488</v>
      </c>
      <c r="B11" s="3479" t="s">
        <v>2489</v>
      </c>
      <c r="C11" s="3479"/>
      <c r="D11" s="2485" t="s">
        <v>2490</v>
      </c>
      <c r="E11" s="2485" t="s">
        <v>2491</v>
      </c>
      <c r="F11" s="2486" t="s">
        <v>2492</v>
      </c>
      <c r="G11" s="2486" t="s">
        <v>2493</v>
      </c>
      <c r="H11" s="2493" t="s">
        <v>2494</v>
      </c>
      <c r="I11" s="2484" t="s">
        <v>2495</v>
      </c>
    </row>
    <row r="12" spans="1:9">
      <c r="A12" s="3478"/>
      <c r="B12" s="3479" t="s">
        <v>2496</v>
      </c>
      <c r="C12" s="3479"/>
      <c r="D12" s="2485"/>
      <c r="E12" s="2485"/>
      <c r="F12" s="2486"/>
      <c r="G12" s="2487"/>
      <c r="H12" s="2494"/>
      <c r="I12" s="2484">
        <f>ROUND(D12*E12*F12*G12/10000,0)</f>
        <v>0</v>
      </c>
    </row>
    <row r="13" spans="1:9">
      <c r="A13" s="3478"/>
      <c r="B13" s="3479" t="s">
        <v>2497</v>
      </c>
      <c r="C13" s="3479"/>
      <c r="D13" s="2485"/>
      <c r="E13" s="2485"/>
      <c r="F13" s="2486"/>
      <c r="G13" s="2487"/>
      <c r="H13" s="2494"/>
      <c r="I13" s="2484">
        <f>ROUND(D13*E13*F13*G13/10000,0)</f>
        <v>0</v>
      </c>
    </row>
    <row r="14" spans="1:9">
      <c r="A14" s="3478"/>
      <c r="B14" s="3479" t="s">
        <v>2498</v>
      </c>
      <c r="C14" s="3479"/>
      <c r="D14" s="2485"/>
      <c r="E14" s="2485"/>
      <c r="F14" s="2486"/>
      <c r="G14" s="2487"/>
      <c r="H14" s="2494"/>
      <c r="I14" s="2484">
        <f>ROUND(D14*E14*F14*G14/10000,0)</f>
        <v>0</v>
      </c>
    </row>
    <row r="15" spans="1:9">
      <c r="A15" s="3478"/>
      <c r="B15" s="3480" t="s">
        <v>2487</v>
      </c>
      <c r="C15" s="3480"/>
      <c r="D15" s="2489"/>
      <c r="E15" s="2489">
        <f>SUM(E12:E14)</f>
        <v>0</v>
      </c>
      <c r="F15" s="2490"/>
      <c r="G15" s="2487"/>
      <c r="H15" s="2494"/>
      <c r="I15" s="2495">
        <f>SUM(I12:I14)</f>
        <v>0</v>
      </c>
    </row>
    <row r="16" spans="1:9" ht="24">
      <c r="A16" s="3478" t="s">
        <v>2499</v>
      </c>
      <c r="B16" s="3479" t="s">
        <v>2500</v>
      </c>
      <c r="C16" s="3479"/>
      <c r="D16" s="2485" t="s">
        <v>2501</v>
      </c>
      <c r="E16" s="2496" t="s">
        <v>2502</v>
      </c>
      <c r="F16" s="2486" t="s">
        <v>2503</v>
      </c>
      <c r="G16" s="2487" t="s">
        <v>2493</v>
      </c>
      <c r="H16" s="2493" t="s">
        <v>2494</v>
      </c>
      <c r="I16" s="2484" t="s">
        <v>2495</v>
      </c>
    </row>
    <row r="17" spans="1:9" ht="14.25">
      <c r="A17" s="3478"/>
      <c r="B17" s="3479" t="s">
        <v>2504</v>
      </c>
      <c r="C17" s="3479"/>
      <c r="D17" s="2485"/>
      <c r="E17" s="2485"/>
      <c r="F17" s="2486"/>
      <c r="G17" s="2487"/>
      <c r="H17" s="2497"/>
      <c r="I17" s="2498">
        <f>ROUND(D17*E17*F17*G17/10000,0)</f>
        <v>0</v>
      </c>
    </row>
    <row r="18" spans="1:9" ht="14.25">
      <c r="A18" s="3478"/>
      <c r="B18" s="3479" t="s">
        <v>2505</v>
      </c>
      <c r="C18" s="3479"/>
      <c r="D18" s="2485"/>
      <c r="E18" s="2485"/>
      <c r="F18" s="2486"/>
      <c r="G18" s="2487"/>
      <c r="H18" s="2497"/>
      <c r="I18" s="2498">
        <f>ROUND(D18*E18*F18*G18/10000,0)</f>
        <v>0</v>
      </c>
    </row>
    <row r="19" spans="1:9" ht="14.25">
      <c r="A19" s="3478"/>
      <c r="B19" s="3479" t="s">
        <v>2506</v>
      </c>
      <c r="C19" s="3479"/>
      <c r="D19" s="2485"/>
      <c r="E19" s="2485"/>
      <c r="F19" s="2486"/>
      <c r="G19" s="2487"/>
      <c r="H19" s="2497"/>
      <c r="I19" s="2498">
        <f>ROUND(D19*E19*F19*G19/10000,0)</f>
        <v>0</v>
      </c>
    </row>
    <row r="20" spans="1:9">
      <c r="A20" s="3478"/>
      <c r="B20" s="3480" t="s">
        <v>2487</v>
      </c>
      <c r="C20" s="3480"/>
      <c r="D20" s="2489">
        <f>SUM(D17:D19)</f>
        <v>0</v>
      </c>
      <c r="E20" s="2489"/>
      <c r="F20" s="2490"/>
      <c r="G20" s="2487"/>
      <c r="H20" s="2494"/>
      <c r="I20" s="2495">
        <f>SUM(I17:I19)</f>
        <v>0</v>
      </c>
    </row>
    <row r="21" spans="1:9">
      <c r="A21" s="3478" t="s">
        <v>2507</v>
      </c>
      <c r="B21" s="3481"/>
      <c r="C21" s="3481"/>
      <c r="D21" s="3481"/>
      <c r="E21" s="3481"/>
      <c r="F21" s="3481"/>
      <c r="G21" s="3481"/>
      <c r="H21" s="2499">
        <v>0.1</v>
      </c>
      <c r="I21" s="2492">
        <f>ROUND(I10*H21,0)</f>
        <v>0</v>
      </c>
    </row>
    <row r="22" spans="1:9" ht="14.25">
      <c r="A22" s="3482" t="s">
        <v>2508</v>
      </c>
      <c r="B22" s="3483"/>
      <c r="C22" s="3484"/>
      <c r="D22" s="2500" t="s">
        <v>2509</v>
      </c>
      <c r="E22" s="2500" t="s">
        <v>2510</v>
      </c>
      <c r="F22" s="2501" t="s">
        <v>2511</v>
      </c>
      <c r="G22" s="2501" t="s">
        <v>2512</v>
      </c>
      <c r="H22" s="2493" t="s">
        <v>2513</v>
      </c>
      <c r="I22" s="2484" t="s">
        <v>2514</v>
      </c>
    </row>
    <row r="23" spans="1:9" ht="14.25" thickBot="1">
      <c r="A23" s="3485"/>
      <c r="B23" s="3486"/>
      <c r="C23" s="3487"/>
      <c r="D23" s="2502"/>
      <c r="E23" s="2502"/>
      <c r="F23" s="2502"/>
      <c r="G23" s="2503"/>
      <c r="H23" s="2504"/>
      <c r="I23" s="2505">
        <f>ROUND(E23*D23*F23*(1-G23)/10000,0)</f>
        <v>0</v>
      </c>
    </row>
    <row r="26" spans="1:9">
      <c r="A26" s="2506" t="s">
        <v>2515</v>
      </c>
      <c r="B26" s="2506"/>
      <c r="C26" s="2506"/>
      <c r="D26" s="2506"/>
      <c r="E26" s="3475">
        <f>C27-C30-C31-C32</f>
        <v>0</v>
      </c>
      <c r="F26" s="3475"/>
      <c r="G26" s="3475"/>
      <c r="H26" s="3016" t="s">
        <v>2842</v>
      </c>
    </row>
    <row r="27" spans="1:9">
      <c r="A27" s="2507">
        <v>1</v>
      </c>
      <c r="B27" s="2508" t="s">
        <v>2516</v>
      </c>
      <c r="C27" s="2508"/>
      <c r="D27" s="2508"/>
      <c r="E27" s="3476"/>
      <c r="F27" s="3476"/>
      <c r="G27" s="3476"/>
    </row>
    <row r="28" spans="1:9">
      <c r="A28" s="2509" t="s">
        <v>2517</v>
      </c>
      <c r="B28" s="2508" t="s">
        <v>2518</v>
      </c>
      <c r="C28" s="2508"/>
      <c r="D28" s="2508"/>
      <c r="E28" s="3476"/>
      <c r="F28" s="3476"/>
      <c r="G28" s="3476"/>
    </row>
    <row r="29" spans="1:9">
      <c r="A29" s="2509" t="s">
        <v>2519</v>
      </c>
      <c r="B29" s="2508" t="s">
        <v>2460</v>
      </c>
      <c r="C29" s="2508"/>
      <c r="D29" s="2508"/>
      <c r="E29" s="2508" t="s">
        <v>2520</v>
      </c>
      <c r="F29" s="2508"/>
      <c r="G29" s="2508"/>
    </row>
    <row r="30" spans="1:9">
      <c r="A30" s="2507">
        <v>2</v>
      </c>
      <c r="B30" s="2508" t="s">
        <v>2521</v>
      </c>
      <c r="C30" s="2508">
        <f>C27*D30</f>
        <v>0</v>
      </c>
      <c r="D30" s="2510">
        <v>0.2</v>
      </c>
      <c r="E30" s="2508" t="s">
        <v>2522</v>
      </c>
      <c r="F30" s="2508"/>
      <c r="G30" s="2508"/>
    </row>
    <row r="31" spans="1:9">
      <c r="A31" s="2507">
        <v>3</v>
      </c>
      <c r="B31" s="2508" t="s">
        <v>2523</v>
      </c>
      <c r="C31" s="2508">
        <f>C25*D31</f>
        <v>0</v>
      </c>
      <c r="D31" s="2510">
        <v>0.15</v>
      </c>
      <c r="E31" s="2508" t="s">
        <v>2524</v>
      </c>
      <c r="F31" s="2508"/>
      <c r="G31" s="2508"/>
    </row>
    <row r="32" spans="1:9">
      <c r="A32" s="2507">
        <v>4</v>
      </c>
      <c r="B32" s="2508" t="s">
        <v>2525</v>
      </c>
      <c r="C32" s="2508">
        <f>C27*D32</f>
        <v>0</v>
      </c>
      <c r="D32" s="2510">
        <v>0.05</v>
      </c>
      <c r="E32" s="3477"/>
      <c r="F32" s="3477"/>
      <c r="G32" s="3477"/>
    </row>
    <row r="33" spans="1:7" hidden="1">
      <c r="A33" s="3472" t="s">
        <v>2526</v>
      </c>
      <c r="B33" s="3473"/>
      <c r="C33" s="3473"/>
      <c r="D33" s="3474"/>
      <c r="E33" s="3475"/>
      <c r="F33" s="3475"/>
      <c r="G33" s="3475"/>
    </row>
    <row r="34" spans="1:7" hidden="1">
      <c r="A34" s="2511">
        <v>1</v>
      </c>
      <c r="B34" s="2508" t="s">
        <v>2527</v>
      </c>
      <c r="C34" s="2508"/>
      <c r="D34" s="2508"/>
      <c r="E34" s="3476"/>
      <c r="F34" s="3476"/>
      <c r="G34" s="3476"/>
    </row>
    <row r="35" spans="1:7" hidden="1">
      <c r="A35" s="2511">
        <v>2</v>
      </c>
      <c r="B35" s="2508" t="s">
        <v>2528</v>
      </c>
      <c r="C35" s="2508"/>
      <c r="D35" s="2508"/>
      <c r="E35" s="3476"/>
      <c r="F35" s="3476"/>
      <c r="G35" s="3476"/>
    </row>
    <row r="36" spans="1:7" hidden="1">
      <c r="A36" s="2511">
        <v>3</v>
      </c>
      <c r="B36" s="2508" t="s">
        <v>2529</v>
      </c>
      <c r="C36" s="2508"/>
      <c r="D36" s="2508"/>
      <c r="E36" s="3476"/>
      <c r="F36" s="3476"/>
      <c r="G36" s="3476"/>
    </row>
    <row r="37" spans="1:7" hidden="1">
      <c r="A37" s="2511">
        <v>4</v>
      </c>
      <c r="B37" s="2508" t="s">
        <v>2530</v>
      </c>
      <c r="C37" s="2508"/>
      <c r="D37" s="2508"/>
      <c r="E37" s="3476"/>
      <c r="F37" s="3476"/>
      <c r="G37" s="3476"/>
    </row>
    <row r="38" spans="1:7" hidden="1">
      <c r="A38" s="3472" t="s">
        <v>2531</v>
      </c>
      <c r="B38" s="3473"/>
      <c r="C38" s="3473"/>
      <c r="D38" s="3474"/>
      <c r="E38" s="3475"/>
      <c r="F38" s="3475"/>
      <c r="G38" s="34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1685</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5">
        <v>1</v>
      </c>
      <c r="B7" s="747" t="s">
        <v>609</v>
      </c>
      <c r="C7" s="748">
        <f>C8+C9</f>
        <v>0</v>
      </c>
      <c r="D7" s="748"/>
      <c r="E7" s="749"/>
      <c r="F7" s="749"/>
      <c r="G7" s="2455"/>
    </row>
    <row r="8" spans="1:25" s="2181" customFormat="1" ht="13.5" customHeight="1">
      <c r="A8" s="2445" t="s">
        <v>2440</v>
      </c>
      <c r="B8" s="2448" t="s">
        <v>2442</v>
      </c>
      <c r="C8" s="2449"/>
      <c r="D8" s="748"/>
      <c r="E8" s="749"/>
      <c r="F8" s="749"/>
      <c r="G8" s="750"/>
    </row>
    <row r="9" spans="1:25" s="2181" customFormat="1" ht="13.5" customHeight="1">
      <c r="A9" s="2445" t="s">
        <v>2441</v>
      </c>
      <c r="B9" s="2448" t="s">
        <v>2443</v>
      </c>
      <c r="C9" s="2449"/>
      <c r="D9" s="748"/>
      <c r="E9" s="749"/>
      <c r="F9" s="749"/>
      <c r="G9" s="750"/>
    </row>
    <row r="10" spans="1:25" s="2181" customFormat="1" ht="36">
      <c r="A10" s="2445">
        <v>2</v>
      </c>
      <c r="B10" s="747" t="s">
        <v>613</v>
      </c>
      <c r="C10" s="748">
        <f>C11+C14+C15</f>
        <v>0</v>
      </c>
      <c r="D10" s="759">
        <f>'数据-汇总表'!E3</f>
        <v>86130.880000000005</v>
      </c>
      <c r="E10" s="748">
        <f>'数据-取费表'!B31</f>
        <v>200</v>
      </c>
      <c r="F10" s="760"/>
      <c r="G10" s="758" t="s">
        <v>614</v>
      </c>
    </row>
    <row r="11" spans="1:25" s="2181" customFormat="1" ht="13.5" customHeight="1">
      <c r="A11" s="2445" t="s">
        <v>2440</v>
      </c>
      <c r="B11" s="751" t="s">
        <v>610</v>
      </c>
      <c r="C11" s="752">
        <f>'数据-取费表'!B29</f>
        <v>0</v>
      </c>
      <c r="D11" s="753"/>
      <c r="E11" s="752"/>
      <c r="F11" s="754"/>
      <c r="G11" s="2454" t="s">
        <v>2451</v>
      </c>
    </row>
    <row r="12" spans="1:25" s="2181" customFormat="1" ht="13.5" customHeight="1">
      <c r="A12" s="2452" t="s">
        <v>2448</v>
      </c>
      <c r="B12" s="755" t="s">
        <v>611</v>
      </c>
      <c r="C12" s="756">
        <f>ROUND(D12*E12/10000,0)</f>
        <v>0</v>
      </c>
      <c r="D12" s="757">
        <f>'数据-汇总表'!E5</f>
        <v>0</v>
      </c>
      <c r="E12" s="756">
        <f>'数据-取费表'!B27</f>
        <v>160</v>
      </c>
      <c r="F12" s="754"/>
      <c r="G12" s="758"/>
    </row>
    <row r="13" spans="1:25" s="2181" customFormat="1" ht="13.5" customHeight="1">
      <c r="A13" s="2452" t="s">
        <v>2447</v>
      </c>
      <c r="B13" s="755" t="s">
        <v>612</v>
      </c>
      <c r="C13" s="756">
        <f>ROUND(D13*E13/10000,0)</f>
        <v>1723</v>
      </c>
      <c r="D13" s="757">
        <f>'数据-汇总表'!E6</f>
        <v>86130.880000000005</v>
      </c>
      <c r="E13" s="756">
        <f>'数据-取费表'!B28</f>
        <v>200</v>
      </c>
      <c r="F13" s="754"/>
      <c r="G13" s="758"/>
    </row>
    <row r="14" spans="1:25" s="2181" customFormat="1" ht="13.5" customHeight="1">
      <c r="A14" s="2445" t="s">
        <v>2441</v>
      </c>
      <c r="B14" s="2451" t="s">
        <v>2444</v>
      </c>
      <c r="C14" s="2449"/>
      <c r="D14" s="757"/>
      <c r="E14" s="756"/>
      <c r="F14" s="2450"/>
      <c r="G14" s="2453" t="s">
        <v>2449</v>
      </c>
    </row>
    <row r="15" spans="1:25" s="2181" customFormat="1" ht="13.5" customHeight="1">
      <c r="A15" s="2445" t="s">
        <v>2446</v>
      </c>
      <c r="B15" s="2451" t="s">
        <v>2445</v>
      </c>
      <c r="C15" s="2449"/>
      <c r="D15" s="757"/>
      <c r="E15" s="756"/>
      <c r="F15" s="2450"/>
      <c r="G15" s="2453" t="s">
        <v>2450</v>
      </c>
    </row>
    <row r="16" spans="1:25" s="2182" customFormat="1" ht="48">
      <c r="A16" s="2445">
        <v>3</v>
      </c>
      <c r="B16" s="747" t="s">
        <v>615</v>
      </c>
      <c r="C16" s="2449"/>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6">
        <v>4</v>
      </c>
      <c r="B17" s="747" t="s">
        <v>616</v>
      </c>
      <c r="C17" s="254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7"/>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6">
        <v>5</v>
      </c>
      <c r="B18" s="747" t="s">
        <v>617</v>
      </c>
      <c r="C18" s="748">
        <f>ROUND((C7+C10+C16)*F18,0)</f>
        <v>0</v>
      </c>
      <c r="D18" s="761"/>
      <c r="E18" s="762"/>
      <c r="F18" s="760">
        <f>'数据-取费表'!Q16</f>
        <v>0.12</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5">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5">
        <v>7</v>
      </c>
      <c r="B20" s="747" t="s">
        <v>621</v>
      </c>
      <c r="C20" s="748">
        <f ca="1">ROUND(C19*F20,0)</f>
        <v>0</v>
      </c>
      <c r="D20" s="759"/>
      <c r="E20" s="748"/>
      <c r="F20" s="1346"/>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5">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5">
        <v>9</v>
      </c>
      <c r="B22" s="747" t="s">
        <v>625</v>
      </c>
      <c r="C22" s="748">
        <f ca="1">ROUND(C21*F22,0)</f>
        <v>0</v>
      </c>
      <c r="D22" s="759"/>
      <c r="E22" s="748"/>
      <c r="F22" s="765">
        <f>'数据-取费表'!AP16</f>
        <v>0.75600000000000001</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7">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5" zoomScale="80" zoomScaleNormal="80" workbookViewId="0">
      <selection activeCell="E7" sqref="E7"/>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2599" t="s">
        <v>719</v>
      </c>
      <c r="C1" s="2600" t="s">
        <v>720</v>
      </c>
      <c r="D1" s="2601" t="s">
        <v>3067</v>
      </c>
      <c r="E1" s="2602"/>
      <c r="F1" s="2782" t="s">
        <v>3007</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2" t="s">
        <v>467</v>
      </c>
      <c r="B2" s="2598">
        <f>ROUND(B3*D3/10000,0)</f>
        <v>188302</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8" t="s">
        <v>519</v>
      </c>
      <c r="B3" s="850">
        <f>C49</f>
        <v>65478</v>
      </c>
      <c r="C3" s="851" t="s">
        <v>722</v>
      </c>
      <c r="D3" s="850">
        <f>SUMIF('数据-汇总表'!$C19:$C33,D1,'数据-汇总表'!$E19:$E33)</f>
        <v>28758.02</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521</v>
      </c>
      <c r="B4" s="512"/>
      <c r="C4" s="3399" t="s">
        <v>522</v>
      </c>
      <c r="D4" s="3400"/>
      <c r="E4" s="3426" t="s">
        <v>523</v>
      </c>
      <c r="F4" s="3427"/>
      <c r="G4" s="3399" t="s">
        <v>524</v>
      </c>
      <c r="H4" s="3400"/>
      <c r="I4" s="3399" t="s">
        <v>525</v>
      </c>
      <c r="J4" s="3400"/>
      <c r="K4" s="852" t="s">
        <v>526</v>
      </c>
      <c r="L4" s="2131"/>
      <c r="M4" s="2132"/>
      <c r="N4" s="2132"/>
      <c r="O4" s="2132"/>
      <c r="P4" s="3401" t="s">
        <v>527</v>
      </c>
      <c r="Q4" s="3402"/>
      <c r="R4" s="3387" t="s">
        <v>523</v>
      </c>
      <c r="S4" s="3388"/>
      <c r="T4" s="3387" t="s">
        <v>524</v>
      </c>
      <c r="U4" s="3388"/>
      <c r="V4" s="3407" t="s">
        <v>525</v>
      </c>
      <c r="W4" s="3407"/>
      <c r="X4" s="1565"/>
      <c r="Y4" s="3387" t="s">
        <v>527</v>
      </c>
      <c r="Z4" s="3388"/>
      <c r="AA4" s="3382" t="s">
        <v>523</v>
      </c>
      <c r="AB4" s="3382" t="s">
        <v>524</v>
      </c>
      <c r="AC4" s="3382" t="s">
        <v>525</v>
      </c>
    </row>
    <row r="5" spans="1:29" ht="36.75" customHeight="1">
      <c r="A5" s="514"/>
      <c r="B5" s="515"/>
      <c r="C5" s="3410" t="s">
        <v>2928</v>
      </c>
      <c r="D5" s="3411"/>
      <c r="E5" s="3415"/>
      <c r="F5" s="3416"/>
      <c r="G5" s="3493"/>
      <c r="H5" s="3411"/>
      <c r="I5" s="3493"/>
      <c r="J5" s="3411"/>
      <c r="K5" s="853"/>
      <c r="L5" s="2131"/>
      <c r="M5" s="2132"/>
      <c r="N5" s="2132"/>
      <c r="O5" s="2132"/>
      <c r="P5" s="3403"/>
      <c r="Q5" s="3404"/>
      <c r="R5" s="3389"/>
      <c r="S5" s="3390"/>
      <c r="T5" s="3389"/>
      <c r="U5" s="3390"/>
      <c r="V5" s="3407"/>
      <c r="W5" s="3407"/>
      <c r="X5" s="1565"/>
      <c r="Y5" s="3389"/>
      <c r="Z5" s="3390"/>
      <c r="AA5" s="3383"/>
      <c r="AB5" s="3383"/>
      <c r="AC5" s="3383"/>
    </row>
    <row r="6" spans="1:29" ht="34.5" customHeight="1" thickBot="1">
      <c r="A6" s="516"/>
      <c r="B6" s="517"/>
      <c r="C6" s="3408" t="s">
        <v>2932</v>
      </c>
      <c r="D6" s="3409"/>
      <c r="E6" s="3494"/>
      <c r="F6" s="3430"/>
      <c r="G6" s="3495"/>
      <c r="H6" s="3409"/>
      <c r="I6" s="3495"/>
      <c r="J6" s="3409"/>
      <c r="K6" s="853" t="s">
        <v>528</v>
      </c>
      <c r="L6" s="2131"/>
      <c r="M6" s="2132"/>
      <c r="N6" s="2132"/>
      <c r="O6" s="2132"/>
      <c r="P6" s="3405"/>
      <c r="Q6" s="3406"/>
      <c r="R6" s="3389"/>
      <c r="S6" s="3390"/>
      <c r="T6" s="3391"/>
      <c r="U6" s="3392"/>
      <c r="V6" s="3407"/>
      <c r="W6" s="3407"/>
      <c r="X6" s="1565"/>
      <c r="Y6" s="3391"/>
      <c r="Z6" s="3392"/>
      <c r="AA6" s="3384"/>
      <c r="AB6" s="3384"/>
      <c r="AC6" s="3384"/>
    </row>
    <row r="7" spans="1:29" s="1217" customFormat="1" ht="15.75" thickBot="1">
      <c r="A7" s="2887"/>
      <c r="B7" s="2894" t="s">
        <v>529</v>
      </c>
      <c r="C7" s="518">
        <f>'数据-取费表'!B2</f>
        <v>43510</v>
      </c>
      <c r="D7" s="519">
        <v>100</v>
      </c>
      <c r="E7" s="522">
        <v>43497</v>
      </c>
      <c r="F7" s="521">
        <f>SUMIF(58:58,YEAR(E7)&amp;"-"&amp;MONTH(E7),59:59)</f>
        <v>100</v>
      </c>
      <c r="G7" s="522">
        <v>43497</v>
      </c>
      <c r="H7" s="519">
        <f>SUMIF(58:58,YEAR(G7)&amp;"-"&amp;MONTH(G7),59:59)</f>
        <v>100</v>
      </c>
      <c r="I7" s="522">
        <v>43497</v>
      </c>
      <c r="J7" s="519">
        <f>SUMIF(58:58,YEAR(I7)&amp;"-"&amp;MONTH(I7),59:59)</f>
        <v>100</v>
      </c>
      <c r="K7" s="854"/>
      <c r="L7" s="2133"/>
      <c r="M7" s="2134"/>
      <c r="N7" s="2134"/>
      <c r="O7" s="2134"/>
      <c r="P7" s="3385" t="s">
        <v>530</v>
      </c>
      <c r="Q7" s="3394"/>
      <c r="R7" s="1566" t="s">
        <v>13</v>
      </c>
      <c r="S7" s="1567">
        <f t="shared" ref="S7:S15" si="0">F7</f>
        <v>100</v>
      </c>
      <c r="T7" s="1566" t="s">
        <v>13</v>
      </c>
      <c r="U7" s="1567">
        <f t="shared" ref="U7:U15" si="1">H7</f>
        <v>100</v>
      </c>
      <c r="V7" s="1566" t="s">
        <v>13</v>
      </c>
      <c r="W7" s="1567">
        <f t="shared" ref="W7:W15" si="2">J7</f>
        <v>100</v>
      </c>
      <c r="X7" s="1568"/>
      <c r="Y7" s="3385" t="s">
        <v>530</v>
      </c>
      <c r="Z7" s="3386"/>
      <c r="AA7" s="1569">
        <f>D7/F7</f>
        <v>1</v>
      </c>
      <c r="AB7" s="1569">
        <f>D7/H7</f>
        <v>1</v>
      </c>
      <c r="AC7" s="1569">
        <f>D7/J7</f>
        <v>1</v>
      </c>
    </row>
    <row r="8" spans="1:29" s="1217" customFormat="1" ht="15.75" thickBot="1">
      <c r="A8" s="2888"/>
      <c r="B8" s="2895" t="s">
        <v>531</v>
      </c>
      <c r="C8" s="524" t="s">
        <v>576</v>
      </c>
      <c r="D8" s="519">
        <v>100</v>
      </c>
      <c r="E8" s="855" t="s">
        <v>3035</v>
      </c>
      <c r="F8" s="521">
        <f>SUMIF(61:61,E8,62:62)-SUMIF(61:61,C8,62:62)+100</f>
        <v>100</v>
      </c>
      <c r="G8" s="855" t="s">
        <v>3035</v>
      </c>
      <c r="H8" s="519">
        <f>SUMIF(61:61,G8,62:62)-SUMIF(61:61,C8,62:62)+100</f>
        <v>100</v>
      </c>
      <c r="I8" s="855" t="s">
        <v>3035</v>
      </c>
      <c r="J8" s="519">
        <f>SUMIF(61:61,I8,62:62)-SUMIF(61:61,C8,62:62)+100</f>
        <v>100</v>
      </c>
      <c r="K8" s="854"/>
      <c r="L8" s="2133"/>
      <c r="M8" s="2134"/>
      <c r="N8" s="2134"/>
      <c r="O8" s="2134"/>
      <c r="P8" s="3385" t="s">
        <v>533</v>
      </c>
      <c r="Q8" s="3386"/>
      <c r="R8" s="1566" t="s">
        <v>13</v>
      </c>
      <c r="S8" s="1567">
        <f t="shared" si="0"/>
        <v>100</v>
      </c>
      <c r="T8" s="1566" t="s">
        <v>13</v>
      </c>
      <c r="U8" s="1567">
        <f t="shared" si="1"/>
        <v>100</v>
      </c>
      <c r="V8" s="1566" t="s">
        <v>13</v>
      </c>
      <c r="W8" s="1567">
        <f t="shared" si="2"/>
        <v>100</v>
      </c>
      <c r="X8" s="1568"/>
      <c r="Y8" s="3385" t="s">
        <v>533</v>
      </c>
      <c r="Z8" s="3386"/>
      <c r="AA8" s="1569">
        <f t="shared" ref="AA8:AA46" si="3">D8/F8</f>
        <v>1</v>
      </c>
      <c r="AB8" s="1569">
        <f t="shared" ref="AB8:AB46" si="4">D8/H8</f>
        <v>1</v>
      </c>
      <c r="AC8" s="1569">
        <f t="shared" ref="AC8:AC46" si="5">D8/J8</f>
        <v>1</v>
      </c>
    </row>
    <row r="9" spans="1:29" s="1217" customFormat="1" ht="15">
      <c r="A9" s="2889"/>
      <c r="B9" s="2896" t="s">
        <v>2755</v>
      </c>
      <c r="C9" s="3179" t="s">
        <v>3040</v>
      </c>
      <c r="D9" s="253">
        <v>100</v>
      </c>
      <c r="E9" s="857" t="s">
        <v>922</v>
      </c>
      <c r="F9" s="858">
        <f>SUMIF(63:63,E9,64:64)-SUMIF(63:63,C9,64:64)+100</f>
        <v>100</v>
      </c>
      <c r="G9" s="857" t="s">
        <v>922</v>
      </c>
      <c r="H9" s="253">
        <f>SUMIF(63:63,G9,64:64)-SUMIF(63:63,C9,64:64)+100</f>
        <v>100</v>
      </c>
      <c r="I9" s="857" t="s">
        <v>922</v>
      </c>
      <c r="J9" s="253">
        <f>SUMIF(63:63,I9,64:64)-SUMIF(63:63,C9,64:64)+100</f>
        <v>100</v>
      </c>
      <c r="K9" s="854"/>
      <c r="L9" s="2133"/>
      <c r="M9" s="2134"/>
      <c r="N9" s="2134"/>
      <c r="O9" s="2135"/>
      <c r="P9" s="3393" t="s">
        <v>535</v>
      </c>
      <c r="Q9" s="1148" t="str">
        <f t="shared" ref="Q9:Q15" si="6">B9</f>
        <v>用途</v>
      </c>
      <c r="R9" s="1566" t="s">
        <v>8</v>
      </c>
      <c r="S9" s="1567">
        <f t="shared" si="0"/>
        <v>100</v>
      </c>
      <c r="T9" s="1566" t="s">
        <v>8</v>
      </c>
      <c r="U9" s="1567">
        <f t="shared" si="1"/>
        <v>100</v>
      </c>
      <c r="V9" s="1566" t="s">
        <v>8</v>
      </c>
      <c r="W9" s="1567">
        <f t="shared" si="2"/>
        <v>100</v>
      </c>
      <c r="X9" s="1568"/>
      <c r="Y9" s="3344" t="s">
        <v>536</v>
      </c>
      <c r="Z9" s="1147" t="str">
        <f t="shared" ref="Z9:Z15" si="7">Q9</f>
        <v>用途</v>
      </c>
      <c r="AA9" s="1569">
        <f t="shared" si="3"/>
        <v>1</v>
      </c>
      <c r="AB9" s="1569">
        <f t="shared" si="4"/>
        <v>1</v>
      </c>
      <c r="AC9" s="1569">
        <f t="shared" si="5"/>
        <v>1</v>
      </c>
    </row>
    <row r="10" spans="1:29" s="1335" customFormat="1" ht="27">
      <c r="A10" s="2890"/>
      <c r="B10" s="2895" t="s">
        <v>2756</v>
      </c>
      <c r="C10" s="860" t="s">
        <v>3039</v>
      </c>
      <c r="D10" s="254">
        <v>100</v>
      </c>
      <c r="E10" s="861" t="s">
        <v>3041</v>
      </c>
      <c r="F10" s="862">
        <f>SUMIF(65:65,E10,66:66)-SUMIF(65:65,C10,66:66)+100</f>
        <v>102</v>
      </c>
      <c r="G10" s="861" t="s">
        <v>3041</v>
      </c>
      <c r="H10" s="254">
        <f>SUMIF(65:65,G10,66:66)-SUMIF(65:65,C10,66:66)+100</f>
        <v>102</v>
      </c>
      <c r="I10" s="861" t="s">
        <v>3041</v>
      </c>
      <c r="J10" s="254">
        <f>SUMIF(65:65,I10,66:66)-SUMIF(65:65,C10,66:66)+100</f>
        <v>102</v>
      </c>
      <c r="K10" s="863">
        <v>1</v>
      </c>
      <c r="L10" s="2136"/>
      <c r="M10" s="2176"/>
      <c r="N10" s="2176"/>
      <c r="O10" s="2137"/>
      <c r="P10" s="3393"/>
      <c r="Q10" s="1148" t="str">
        <f t="shared" si="6"/>
        <v>土地使用年限（年）</v>
      </c>
      <c r="R10" s="1566" t="s">
        <v>8</v>
      </c>
      <c r="S10" s="1567">
        <f t="shared" si="0"/>
        <v>102</v>
      </c>
      <c r="T10" s="1566" t="s">
        <v>8</v>
      </c>
      <c r="U10" s="1567">
        <f t="shared" si="1"/>
        <v>102</v>
      </c>
      <c r="V10" s="1566" t="s">
        <v>8</v>
      </c>
      <c r="W10" s="1567">
        <f t="shared" si="2"/>
        <v>102</v>
      </c>
      <c r="X10" s="1568"/>
      <c r="Y10" s="3344"/>
      <c r="Z10" s="1147" t="str">
        <f t="shared" si="7"/>
        <v>土地使用年限（年）</v>
      </c>
      <c r="AA10" s="1569">
        <f t="shared" si="3"/>
        <v>0.98039215686274506</v>
      </c>
      <c r="AB10" s="1569">
        <f t="shared" si="4"/>
        <v>0.98039215686274506</v>
      </c>
      <c r="AC10" s="1569">
        <f t="shared" si="5"/>
        <v>0.98039215686274506</v>
      </c>
    </row>
    <row r="11" spans="1:29" ht="15">
      <c r="A11" s="2891"/>
      <c r="B11" s="2895" t="s">
        <v>2757</v>
      </c>
      <c r="C11" s="532">
        <f>'数据-汇总表'!I3</f>
        <v>4.3899999999999997</v>
      </c>
      <c r="D11" s="254">
        <v>100</v>
      </c>
      <c r="E11" s="533">
        <v>2.8</v>
      </c>
      <c r="F11" s="862">
        <f>LOOKUP(E11,68:68,69:69)-LOOKUP(C11,68:68,69:69)+100</f>
        <v>103</v>
      </c>
      <c r="G11" s="532">
        <v>4.2</v>
      </c>
      <c r="H11" s="254">
        <f>LOOKUP(G11,68:68,69:69)-LOOKUP(C11,68:68,69:69)+100</f>
        <v>100</v>
      </c>
      <c r="I11" s="532">
        <v>2.87</v>
      </c>
      <c r="J11" s="254">
        <f>LOOKUP(I11,68:68,69:69)-LOOKUP(C11,68:68,69:69)+100</f>
        <v>103</v>
      </c>
      <c r="K11" s="863">
        <v>3</v>
      </c>
      <c r="L11" s="2138"/>
      <c r="M11" s="2132"/>
      <c r="N11" s="2132"/>
      <c r="O11" s="2139"/>
      <c r="P11" s="3393"/>
      <c r="Q11" s="1148" t="str">
        <f t="shared" si="6"/>
        <v>容积率</v>
      </c>
      <c r="R11" s="1566" t="s">
        <v>11</v>
      </c>
      <c r="S11" s="1567">
        <f t="shared" si="0"/>
        <v>103</v>
      </c>
      <c r="T11" s="1566" t="s">
        <v>11</v>
      </c>
      <c r="U11" s="1567">
        <f t="shared" si="1"/>
        <v>100</v>
      </c>
      <c r="V11" s="1566" t="s">
        <v>11</v>
      </c>
      <c r="W11" s="1567">
        <f t="shared" si="2"/>
        <v>103</v>
      </c>
      <c r="X11" s="1568"/>
      <c r="Y11" s="3344"/>
      <c r="Z11" s="1147" t="str">
        <f t="shared" si="7"/>
        <v>容积率</v>
      </c>
      <c r="AA11" s="1569">
        <f t="shared" si="3"/>
        <v>0.970873786407767</v>
      </c>
      <c r="AB11" s="1569">
        <f t="shared" si="4"/>
        <v>1</v>
      </c>
      <c r="AC11" s="1569">
        <f t="shared" si="5"/>
        <v>0.970873786407767</v>
      </c>
    </row>
    <row r="12" spans="1:29" s="1217" customFormat="1" ht="15">
      <c r="A12" s="2892"/>
      <c r="B12" s="2898">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93"/>
      <c r="Q12" s="1148">
        <f t="shared" si="6"/>
        <v>111</v>
      </c>
      <c r="R12" s="1566" t="s">
        <v>11</v>
      </c>
      <c r="S12" s="1567">
        <f t="shared" si="0"/>
        <v>100</v>
      </c>
      <c r="T12" s="1566" t="s">
        <v>11</v>
      </c>
      <c r="U12" s="1567">
        <f t="shared" si="1"/>
        <v>100</v>
      </c>
      <c r="V12" s="1566" t="s">
        <v>11</v>
      </c>
      <c r="W12" s="1567">
        <f t="shared" si="2"/>
        <v>100</v>
      </c>
      <c r="X12" s="1568"/>
      <c r="Y12" s="3344"/>
      <c r="Z12" s="1147">
        <f t="shared" si="7"/>
        <v>111</v>
      </c>
      <c r="AA12" s="1569">
        <f>D12/F12</f>
        <v>1</v>
      </c>
      <c r="AB12" s="1569">
        <f>D12/H12</f>
        <v>1</v>
      </c>
      <c r="AC12" s="1569">
        <f>D12/J12</f>
        <v>1</v>
      </c>
    </row>
    <row r="13" spans="1:29" ht="15">
      <c r="A13" s="2892"/>
      <c r="B13" s="2898">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93"/>
      <c r="Q13" s="1148">
        <f t="shared" si="6"/>
        <v>111</v>
      </c>
      <c r="R13" s="1566" t="s">
        <v>11</v>
      </c>
      <c r="S13" s="1567">
        <f t="shared" si="0"/>
        <v>100</v>
      </c>
      <c r="T13" s="1566" t="s">
        <v>11</v>
      </c>
      <c r="U13" s="1567">
        <f t="shared" si="1"/>
        <v>100</v>
      </c>
      <c r="V13" s="1566" t="s">
        <v>11</v>
      </c>
      <c r="W13" s="1567">
        <f t="shared" si="2"/>
        <v>100</v>
      </c>
      <c r="X13" s="1568"/>
      <c r="Y13" s="3344"/>
      <c r="Z13" s="1147">
        <f t="shared" si="7"/>
        <v>111</v>
      </c>
      <c r="AA13" s="1569">
        <f t="shared" si="3"/>
        <v>1</v>
      </c>
      <c r="AB13" s="1569">
        <f t="shared" si="4"/>
        <v>1</v>
      </c>
      <c r="AC13" s="1569">
        <f t="shared" si="5"/>
        <v>1</v>
      </c>
    </row>
    <row r="14" spans="1:29" ht="15.75" thickBot="1">
      <c r="A14" s="2893"/>
      <c r="B14" s="2899">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93"/>
      <c r="Q14" s="1148">
        <f t="shared" si="6"/>
        <v>111</v>
      </c>
      <c r="R14" s="1566" t="s">
        <v>11</v>
      </c>
      <c r="S14" s="1567">
        <f t="shared" si="0"/>
        <v>100</v>
      </c>
      <c r="T14" s="1566" t="s">
        <v>11</v>
      </c>
      <c r="U14" s="1567">
        <f t="shared" si="1"/>
        <v>100</v>
      </c>
      <c r="V14" s="1566" t="s">
        <v>11</v>
      </c>
      <c r="W14" s="1567">
        <f t="shared" si="2"/>
        <v>100</v>
      </c>
      <c r="X14" s="1568"/>
      <c r="Y14" s="3344"/>
      <c r="Z14" s="1147">
        <f t="shared" si="7"/>
        <v>111</v>
      </c>
      <c r="AA14" s="1569">
        <f t="shared" si="3"/>
        <v>1</v>
      </c>
      <c r="AB14" s="1569">
        <f t="shared" si="4"/>
        <v>1</v>
      </c>
      <c r="AC14" s="1569">
        <f t="shared" si="5"/>
        <v>1</v>
      </c>
    </row>
    <row r="15" spans="1:29" ht="99.75">
      <c r="A15" s="2885" t="s">
        <v>2753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0"/>
      <c r="M15" s="2132"/>
      <c r="N15" s="2132"/>
      <c r="O15" s="2139"/>
      <c r="P15" s="3395" t="s">
        <v>540</v>
      </c>
      <c r="Q15" s="1570" t="str">
        <f t="shared" si="6"/>
        <v>居住社区成熟度</v>
      </c>
      <c r="R15" s="1571" t="s">
        <v>11</v>
      </c>
      <c r="S15" s="1572">
        <f t="shared" si="0"/>
        <v>100</v>
      </c>
      <c r="T15" s="1571" t="s">
        <v>11</v>
      </c>
      <c r="U15" s="1572">
        <f t="shared" si="1"/>
        <v>100</v>
      </c>
      <c r="V15" s="1571" t="s">
        <v>11</v>
      </c>
      <c r="W15" s="1572">
        <f t="shared" si="2"/>
        <v>100</v>
      </c>
      <c r="X15" s="1565"/>
      <c r="Y15" s="3395" t="s">
        <v>540</v>
      </c>
      <c r="Z15" s="1573" t="str">
        <f t="shared" si="7"/>
        <v>居住社区成熟度</v>
      </c>
      <c r="AA15" s="1574">
        <f t="shared" si="3"/>
        <v>1</v>
      </c>
      <c r="AB15" s="1574">
        <f t="shared" si="4"/>
        <v>1</v>
      </c>
      <c r="AC15" s="1574">
        <f t="shared" si="5"/>
        <v>1</v>
      </c>
    </row>
    <row r="16" spans="1:29" ht="15">
      <c r="A16" s="531"/>
      <c r="B16" s="868"/>
      <c r="C16" s="575" t="s">
        <v>2992</v>
      </c>
      <c r="D16" s="554"/>
      <c r="E16" s="555" t="s">
        <v>2992</v>
      </c>
      <c r="F16" s="556"/>
      <c r="G16" s="557" t="s">
        <v>2992</v>
      </c>
      <c r="H16" s="558"/>
      <c r="I16" s="555" t="s">
        <v>2992</v>
      </c>
      <c r="J16" s="554"/>
      <c r="K16" s="869"/>
      <c r="L16" s="2140"/>
      <c r="M16" s="2132"/>
      <c r="N16" s="2132"/>
      <c r="O16" s="2139"/>
      <c r="P16" s="3396"/>
      <c r="Q16" s="1570"/>
      <c r="R16" s="1571"/>
      <c r="S16" s="1572"/>
      <c r="T16" s="1571"/>
      <c r="U16" s="1572"/>
      <c r="V16" s="1571"/>
      <c r="W16" s="1572"/>
      <c r="X16" s="1565"/>
      <c r="Y16" s="3396"/>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0"/>
      <c r="M17" s="2132"/>
      <c r="N17" s="2132"/>
      <c r="O17" s="2139"/>
      <c r="P17" s="3396"/>
      <c r="Q17" s="1570" t="str">
        <f>B17</f>
        <v>交通便捷度</v>
      </c>
      <c r="R17" s="1571" t="s">
        <v>11</v>
      </c>
      <c r="S17" s="1572">
        <f>F17</f>
        <v>100</v>
      </c>
      <c r="T17" s="1571" t="s">
        <v>11</v>
      </c>
      <c r="U17" s="1572">
        <f>H17</f>
        <v>100</v>
      </c>
      <c r="V17" s="1571" t="s">
        <v>11</v>
      </c>
      <c r="W17" s="1572">
        <f>J17</f>
        <v>100</v>
      </c>
      <c r="X17" s="1565"/>
      <c r="Y17" s="3396"/>
      <c r="Z17" s="1573" t="str">
        <f>Q17</f>
        <v>交通便捷度</v>
      </c>
      <c r="AA17" s="1574">
        <f t="shared" si="3"/>
        <v>1</v>
      </c>
      <c r="AB17" s="1574">
        <f t="shared" si="4"/>
        <v>1</v>
      </c>
      <c r="AC17" s="1574">
        <f t="shared" si="5"/>
        <v>1</v>
      </c>
    </row>
    <row r="18" spans="1:29" ht="15">
      <c r="A18" s="531"/>
      <c r="B18" s="594"/>
      <c r="C18" s="872" t="s">
        <v>2992</v>
      </c>
      <c r="D18" s="558"/>
      <c r="E18" s="567" t="s">
        <v>2992</v>
      </c>
      <c r="F18" s="562"/>
      <c r="G18" s="568" t="s">
        <v>2992</v>
      </c>
      <c r="H18" s="554"/>
      <c r="I18" s="567" t="s">
        <v>2992</v>
      </c>
      <c r="J18" s="554"/>
      <c r="K18" s="869"/>
      <c r="L18" s="2140"/>
      <c r="M18" s="2132"/>
      <c r="N18" s="2132"/>
      <c r="O18" s="2139"/>
      <c r="P18" s="3396"/>
      <c r="Q18" s="1570"/>
      <c r="R18" s="1571"/>
      <c r="S18" s="1572"/>
      <c r="T18" s="1571"/>
      <c r="U18" s="1572"/>
      <c r="V18" s="1571"/>
      <c r="W18" s="1572"/>
      <c r="X18" s="1565"/>
      <c r="Y18" s="3396"/>
      <c r="Z18" s="1573"/>
      <c r="AA18" s="1574">
        <v>1</v>
      </c>
      <c r="AB18" s="1574">
        <v>1</v>
      </c>
      <c r="AC18" s="1574">
        <v>1</v>
      </c>
    </row>
    <row r="19" spans="1:29" ht="42.75">
      <c r="A19" s="531"/>
      <c r="B19" s="2576" t="s">
        <v>2546</v>
      </c>
      <c r="C19" s="871" t="str">
        <f>估价对象房地状况!C7</f>
        <v>估价对象所在区域公共配套设施齐备情况</v>
      </c>
      <c r="D19" s="564">
        <v>100</v>
      </c>
      <c r="E19" s="569"/>
      <c r="F19" s="570">
        <f>SUMIF(80:80,E20,81:81)-SUMIF(80:80,C20,81:81)+100</f>
        <v>100</v>
      </c>
      <c r="G19" s="569"/>
      <c r="H19" s="558">
        <f>SUMIF(80:80,G20,81:81)-SUMIF(80:80,C20,81:81)+100</f>
        <v>100</v>
      </c>
      <c r="I19" s="569"/>
      <c r="J19" s="558">
        <f>SUMIF(80:80,I20,81:81)-SUMIF(80:80,C20,81:81)+100</f>
        <v>100</v>
      </c>
      <c r="K19" s="867">
        <v>3</v>
      </c>
      <c r="L19" s="2140"/>
      <c r="M19" s="2132"/>
      <c r="N19" s="2132"/>
      <c r="O19" s="2139"/>
      <c r="P19" s="3396"/>
      <c r="Q19" s="1570" t="str">
        <f>B19</f>
        <v>公共配套设施</v>
      </c>
      <c r="R19" s="1571" t="s">
        <v>11</v>
      </c>
      <c r="S19" s="1572">
        <f>F19</f>
        <v>100</v>
      </c>
      <c r="T19" s="1571" t="s">
        <v>11</v>
      </c>
      <c r="U19" s="1572">
        <f>H19</f>
        <v>100</v>
      </c>
      <c r="V19" s="1571" t="s">
        <v>11</v>
      </c>
      <c r="W19" s="1572">
        <f>J19</f>
        <v>100</v>
      </c>
      <c r="X19" s="1565"/>
      <c r="Y19" s="3396"/>
      <c r="Z19" s="1573" t="str">
        <f>Q19</f>
        <v>公共配套设施</v>
      </c>
      <c r="AA19" s="1574">
        <f t="shared" si="3"/>
        <v>1</v>
      </c>
      <c r="AB19" s="1574">
        <f t="shared" si="4"/>
        <v>1</v>
      </c>
      <c r="AC19" s="1574">
        <f t="shared" si="5"/>
        <v>1</v>
      </c>
    </row>
    <row r="20" spans="1:29" ht="15">
      <c r="A20" s="531"/>
      <c r="B20" s="594"/>
      <c r="C20" s="575" t="s">
        <v>2992</v>
      </c>
      <c r="D20" s="554"/>
      <c r="E20" s="555" t="s">
        <v>2992</v>
      </c>
      <c r="F20" s="556"/>
      <c r="G20" s="555" t="s">
        <v>2992</v>
      </c>
      <c r="H20" s="554"/>
      <c r="I20" s="555" t="s">
        <v>2992</v>
      </c>
      <c r="J20" s="554"/>
      <c r="K20" s="869"/>
      <c r="L20" s="2140"/>
      <c r="M20" s="2132"/>
      <c r="N20" s="2132"/>
      <c r="O20" s="2139"/>
      <c r="P20" s="3396"/>
      <c r="Q20" s="1570"/>
      <c r="R20" s="1571"/>
      <c r="S20" s="1572"/>
      <c r="T20" s="1571"/>
      <c r="U20" s="1572"/>
      <c r="V20" s="1571"/>
      <c r="W20" s="1572"/>
      <c r="X20" s="1565"/>
      <c r="Y20" s="3396"/>
      <c r="Z20" s="1573"/>
      <c r="AA20" s="1574">
        <v>1</v>
      </c>
      <c r="AB20" s="1574">
        <v>1</v>
      </c>
      <c r="AC20" s="1574">
        <v>1</v>
      </c>
    </row>
    <row r="21" spans="1:29" ht="28.5">
      <c r="A21" s="531"/>
      <c r="B21" s="2569" t="s">
        <v>2558</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1</v>
      </c>
      <c r="L21" s="2140"/>
      <c r="M21" s="2132"/>
      <c r="N21" s="2132"/>
      <c r="O21" s="2139"/>
      <c r="P21" s="3396"/>
      <c r="Q21" s="2555" t="str">
        <f>B21</f>
        <v>基础设施水平</v>
      </c>
      <c r="R21" s="1571" t="s">
        <v>11</v>
      </c>
      <c r="S21" s="1572">
        <f>F21</f>
        <v>100</v>
      </c>
      <c r="T21" s="1571" t="s">
        <v>11</v>
      </c>
      <c r="U21" s="1572">
        <f>H21</f>
        <v>100</v>
      </c>
      <c r="V21" s="1571" t="s">
        <v>11</v>
      </c>
      <c r="W21" s="1572">
        <f>J21</f>
        <v>100</v>
      </c>
      <c r="X21" s="2557"/>
      <c r="Y21" s="3396"/>
      <c r="Z21" s="2556" t="str">
        <f>Q21</f>
        <v>基础设施水平</v>
      </c>
      <c r="AA21" s="1574">
        <f t="shared" ref="AA21" si="8">D21/F21</f>
        <v>1</v>
      </c>
      <c r="AB21" s="1574">
        <f t="shared" ref="AB21" si="9">D21/H21</f>
        <v>1</v>
      </c>
      <c r="AC21" s="1574">
        <f t="shared" ref="AC21" si="10">D21/J21</f>
        <v>1</v>
      </c>
    </row>
    <row r="22" spans="1:29" ht="15">
      <c r="A22" s="531"/>
      <c r="B22" s="921"/>
      <c r="C22" s="872" t="s">
        <v>3028</v>
      </c>
      <c r="D22" s="554"/>
      <c r="E22" s="575" t="s">
        <v>3028</v>
      </c>
      <c r="F22" s="556"/>
      <c r="G22" s="575" t="s">
        <v>3028</v>
      </c>
      <c r="H22" s="554"/>
      <c r="I22" s="575" t="s">
        <v>3028</v>
      </c>
      <c r="J22" s="554"/>
      <c r="K22" s="2575"/>
      <c r="L22" s="2140"/>
      <c r="M22" s="2132"/>
      <c r="N22" s="2132"/>
      <c r="O22" s="2139"/>
      <c r="P22" s="3396"/>
      <c r="Q22" s="2555"/>
      <c r="R22" s="1571"/>
      <c r="S22" s="1572"/>
      <c r="T22" s="1571"/>
      <c r="U22" s="1572"/>
      <c r="V22" s="1571"/>
      <c r="W22" s="1572"/>
      <c r="X22" s="2557"/>
      <c r="Y22" s="3396"/>
      <c r="Z22" s="2556"/>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100</v>
      </c>
      <c r="I23" s="561"/>
      <c r="J23" s="558">
        <f>SUMIF(84:84,I24,85:85)-SUMIF(84:84,C24,85:85)+100</f>
        <v>103</v>
      </c>
      <c r="K23" s="867">
        <v>3</v>
      </c>
      <c r="L23" s="2140"/>
      <c r="M23" s="2132"/>
      <c r="N23" s="2132"/>
      <c r="O23" s="2139"/>
      <c r="P23" s="3396"/>
      <c r="Q23" s="1570" t="str">
        <f>B23</f>
        <v>自然及人文环境</v>
      </c>
      <c r="R23" s="1571" t="s">
        <v>11</v>
      </c>
      <c r="S23" s="1572">
        <f>F23</f>
        <v>103</v>
      </c>
      <c r="T23" s="1571" t="s">
        <v>11</v>
      </c>
      <c r="U23" s="1572">
        <f>H23</f>
        <v>100</v>
      </c>
      <c r="V23" s="1571" t="s">
        <v>11</v>
      </c>
      <c r="W23" s="1572">
        <f>J23</f>
        <v>103</v>
      </c>
      <c r="X23" s="1565"/>
      <c r="Y23" s="3396"/>
      <c r="Z23" s="1573" t="str">
        <f>Q23</f>
        <v>自然及人文环境</v>
      </c>
      <c r="AA23" s="1574">
        <f t="shared" si="3"/>
        <v>0.970873786407767</v>
      </c>
      <c r="AB23" s="1574">
        <f t="shared" si="4"/>
        <v>1</v>
      </c>
      <c r="AC23" s="1574">
        <f t="shared" si="5"/>
        <v>0.970873786407767</v>
      </c>
    </row>
    <row r="24" spans="1:29" ht="15">
      <c r="A24" s="531"/>
      <c r="B24" s="594"/>
      <c r="C24" s="575" t="s">
        <v>3025</v>
      </c>
      <c r="D24" s="554"/>
      <c r="E24" s="555" t="s">
        <v>2992</v>
      </c>
      <c r="F24" s="556"/>
      <c r="G24" s="557" t="s">
        <v>3025</v>
      </c>
      <c r="H24" s="554"/>
      <c r="I24" s="555" t="s">
        <v>2992</v>
      </c>
      <c r="J24" s="554"/>
      <c r="K24" s="869"/>
      <c r="L24" s="2140"/>
      <c r="M24" s="2132"/>
      <c r="N24" s="2132"/>
      <c r="O24" s="2139"/>
      <c r="P24" s="3396"/>
      <c r="Q24" s="1570"/>
      <c r="R24" s="1571"/>
      <c r="S24" s="1572"/>
      <c r="T24" s="1571"/>
      <c r="U24" s="1572"/>
      <c r="V24" s="1571"/>
      <c r="W24" s="1572"/>
      <c r="X24" s="1565"/>
      <c r="Y24" s="3396"/>
      <c r="Z24" s="1573"/>
      <c r="AA24" s="1574">
        <v>1</v>
      </c>
      <c r="AB24" s="1574">
        <v>1</v>
      </c>
      <c r="AC24" s="1574">
        <v>1</v>
      </c>
    </row>
    <row r="25" spans="1:29" ht="15">
      <c r="A25" s="531"/>
      <c r="B25" s="1893" t="s">
        <v>2256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96"/>
      <c r="Q25" s="1570" t="str">
        <f t="shared" ref="Q25:Q46" si="11">B25</f>
        <v>楼层-1</v>
      </c>
      <c r="R25" s="1571" t="s">
        <v>11</v>
      </c>
      <c r="S25" s="1572">
        <f>F25</f>
        <v>100</v>
      </c>
      <c r="T25" s="1571" t="s">
        <v>11</v>
      </c>
      <c r="U25" s="1572">
        <f>H25</f>
        <v>100</v>
      </c>
      <c r="V25" s="1571" t="s">
        <v>11</v>
      </c>
      <c r="W25" s="1572">
        <f>J25</f>
        <v>100</v>
      </c>
      <c r="X25" s="1565"/>
      <c r="Y25" s="3396"/>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96"/>
      <c r="Q26" s="1570" t="str">
        <f t="shared" si="11"/>
        <v>朝向</v>
      </c>
      <c r="R26" s="1571" t="s">
        <v>11</v>
      </c>
      <c r="S26" s="1572">
        <f>F26</f>
        <v>100</v>
      </c>
      <c r="T26" s="1571" t="s">
        <v>11</v>
      </c>
      <c r="U26" s="1572">
        <f>H26</f>
        <v>100</v>
      </c>
      <c r="V26" s="1571" t="s">
        <v>11</v>
      </c>
      <c r="W26" s="1572">
        <f>J26</f>
        <v>100</v>
      </c>
      <c r="X26" s="1565"/>
      <c r="Y26" s="3396"/>
      <c r="Z26" s="1573" t="str">
        <f>Q26</f>
        <v>朝向</v>
      </c>
      <c r="AA26" s="1574">
        <f t="shared" si="3"/>
        <v>1</v>
      </c>
      <c r="AB26" s="1574">
        <f t="shared" si="4"/>
        <v>1</v>
      </c>
      <c r="AC26" s="1574">
        <f t="shared" si="5"/>
        <v>1</v>
      </c>
    </row>
    <row r="27" spans="1:29" s="1217"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96"/>
      <c r="Q27" s="1148" t="str">
        <f t="shared" si="11"/>
        <v>道路级别</v>
      </c>
      <c r="R27" s="1566" t="s">
        <v>11</v>
      </c>
      <c r="S27" s="1567">
        <f>F27</f>
        <v>100</v>
      </c>
      <c r="T27" s="1566" t="s">
        <v>11</v>
      </c>
      <c r="U27" s="1567">
        <f>H27</f>
        <v>100</v>
      </c>
      <c r="V27" s="1566" t="s">
        <v>11</v>
      </c>
      <c r="W27" s="1567">
        <f>J27</f>
        <v>100</v>
      </c>
      <c r="X27" s="1568"/>
      <c r="Y27" s="3396"/>
      <c r="Z27" s="1147"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96"/>
      <c r="Q28" s="1570">
        <f t="shared" si="11"/>
        <v>111</v>
      </c>
      <c r="R28" s="1571" t="s">
        <v>11</v>
      </c>
      <c r="S28" s="1572">
        <f t="shared" ref="S28:S46" si="12">F28</f>
        <v>100</v>
      </c>
      <c r="T28" s="1571" t="s">
        <v>11</v>
      </c>
      <c r="U28" s="1572">
        <f t="shared" ref="U28:U46" si="13">H28</f>
        <v>100</v>
      </c>
      <c r="V28" s="1571" t="s">
        <v>11</v>
      </c>
      <c r="W28" s="1572">
        <f t="shared" ref="W28:W46" si="14">J28</f>
        <v>100</v>
      </c>
      <c r="X28" s="1565"/>
      <c r="Y28" s="3396"/>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96"/>
      <c r="Q29" s="1570">
        <f t="shared" si="11"/>
        <v>111</v>
      </c>
      <c r="R29" s="1571" t="s">
        <v>11</v>
      </c>
      <c r="S29" s="1572">
        <f t="shared" si="12"/>
        <v>100</v>
      </c>
      <c r="T29" s="1571" t="s">
        <v>11</v>
      </c>
      <c r="U29" s="1572">
        <f t="shared" si="13"/>
        <v>100</v>
      </c>
      <c r="V29" s="1571" t="s">
        <v>11</v>
      </c>
      <c r="W29" s="1572">
        <f t="shared" si="14"/>
        <v>100</v>
      </c>
      <c r="X29" s="1565"/>
      <c r="Y29" s="3396"/>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96"/>
      <c r="Q30" s="1570">
        <f t="shared" si="11"/>
        <v>111</v>
      </c>
      <c r="R30" s="1571" t="s">
        <v>11</v>
      </c>
      <c r="S30" s="1572">
        <f t="shared" si="12"/>
        <v>100</v>
      </c>
      <c r="T30" s="1571" t="s">
        <v>11</v>
      </c>
      <c r="U30" s="1572">
        <f t="shared" si="13"/>
        <v>100</v>
      </c>
      <c r="V30" s="1571" t="s">
        <v>11</v>
      </c>
      <c r="W30" s="1572">
        <f t="shared" si="14"/>
        <v>100</v>
      </c>
      <c r="X30" s="1565"/>
      <c r="Y30" s="3396"/>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96"/>
      <c r="Q31" s="1570">
        <f t="shared" si="11"/>
        <v>111</v>
      </c>
      <c r="R31" s="1571" t="s">
        <v>11</v>
      </c>
      <c r="S31" s="1572">
        <f t="shared" si="12"/>
        <v>100</v>
      </c>
      <c r="T31" s="1571" t="s">
        <v>11</v>
      </c>
      <c r="U31" s="1572">
        <f t="shared" si="13"/>
        <v>100</v>
      </c>
      <c r="V31" s="1571" t="s">
        <v>11</v>
      </c>
      <c r="W31" s="1572">
        <f t="shared" si="14"/>
        <v>100</v>
      </c>
      <c r="X31" s="1565"/>
      <c r="Y31" s="3396"/>
      <c r="Z31" s="1573">
        <f t="shared" si="15"/>
        <v>111</v>
      </c>
      <c r="AA31" s="1574">
        <f t="shared" si="3"/>
        <v>1</v>
      </c>
      <c r="AB31" s="1574">
        <f t="shared" si="4"/>
        <v>1</v>
      </c>
      <c r="AC31" s="1574">
        <f t="shared" si="5"/>
        <v>1</v>
      </c>
    </row>
    <row r="32" spans="1:29" ht="15">
      <c r="A32" s="2882" t="s">
        <v>2754</v>
      </c>
      <c r="B32" s="172" t="s">
        <v>725</v>
      </c>
      <c r="C32" s="877" t="s">
        <v>3042</v>
      </c>
      <c r="D32" s="596">
        <v>100</v>
      </c>
      <c r="E32" s="878" t="s">
        <v>3042</v>
      </c>
      <c r="F32" s="574">
        <f>SUMIF(100:100,E32,101:101)-SUMIF(100:100,C32,101:101)+100</f>
        <v>100</v>
      </c>
      <c r="G32" s="877" t="s">
        <v>3042</v>
      </c>
      <c r="H32" s="596">
        <f>SUMIF(100:100,G32,101:101)-SUMIF(100:100,C32,101:101)+100</f>
        <v>100</v>
      </c>
      <c r="I32" s="878" t="s">
        <v>3042</v>
      </c>
      <c r="J32" s="539">
        <f>SUMIF(100:100,I32,101:101)-SUMIF(100:100,C32,101:101)+100</f>
        <v>100</v>
      </c>
      <c r="K32" s="863">
        <v>5</v>
      </c>
      <c r="L32" s="2140"/>
      <c r="M32" s="2132"/>
      <c r="N32" s="2132"/>
      <c r="O32" s="2139"/>
      <c r="P32" s="3397" t="s">
        <v>550</v>
      </c>
      <c r="Q32" s="1570" t="str">
        <f t="shared" si="11"/>
        <v>建筑类型</v>
      </c>
      <c r="R32" s="1571" t="s">
        <v>11</v>
      </c>
      <c r="S32" s="1572">
        <f t="shared" si="12"/>
        <v>100</v>
      </c>
      <c r="T32" s="1571" t="s">
        <v>11</v>
      </c>
      <c r="U32" s="1572">
        <f t="shared" si="13"/>
        <v>100</v>
      </c>
      <c r="V32" s="1571" t="s">
        <v>11</v>
      </c>
      <c r="W32" s="1572">
        <f t="shared" si="14"/>
        <v>100</v>
      </c>
      <c r="X32" s="1565"/>
      <c r="Y32" s="3398" t="s">
        <v>550</v>
      </c>
      <c r="Z32" s="1573" t="str">
        <f t="shared" si="15"/>
        <v>建筑类型</v>
      </c>
      <c r="AA32" s="1574">
        <f t="shared" si="3"/>
        <v>1</v>
      </c>
      <c r="AB32" s="1574">
        <f t="shared" si="4"/>
        <v>1</v>
      </c>
      <c r="AC32" s="1574">
        <f t="shared" si="5"/>
        <v>1</v>
      </c>
    </row>
    <row r="33" spans="1:29" s="1336" customFormat="1" ht="15">
      <c r="A33" s="602"/>
      <c r="B33" s="526" t="s">
        <v>726</v>
      </c>
      <c r="C33" s="879">
        <f>'数据-基础表'!B3</f>
        <v>86130.880000000005</v>
      </c>
      <c r="D33" s="254">
        <v>100</v>
      </c>
      <c r="E33" s="533">
        <v>33406</v>
      </c>
      <c r="F33" s="862">
        <f>LOOKUP(E33,103:103,104:104)-LOOKUP(C33,103:103,104:104)+100</f>
        <v>100</v>
      </c>
      <c r="G33" s="532">
        <v>220732</v>
      </c>
      <c r="H33" s="254">
        <f>LOOKUP(G33,103:103,104:104)-LOOKUP(C33,103:103,104:104)+100</f>
        <v>102</v>
      </c>
      <c r="I33" s="533">
        <v>430000</v>
      </c>
      <c r="J33" s="254">
        <f>LOOKUP(I33,103:103,104:104)-LOOKUP(C33,103:103,104:104)+100</f>
        <v>104</v>
      </c>
      <c r="K33" s="864"/>
      <c r="L33" s="2138"/>
      <c r="M33" s="2169"/>
      <c r="N33" s="2169"/>
      <c r="O33" s="2141"/>
      <c r="P33" s="3398"/>
      <c r="Q33" s="1603" t="str">
        <f t="shared" si="11"/>
        <v>项目建筑规模</v>
      </c>
      <c r="R33" s="1575" t="s">
        <v>11</v>
      </c>
      <c r="S33" s="1576">
        <f t="shared" si="12"/>
        <v>100</v>
      </c>
      <c r="T33" s="1575" t="s">
        <v>11</v>
      </c>
      <c r="U33" s="1576">
        <f t="shared" si="13"/>
        <v>102</v>
      </c>
      <c r="V33" s="1575" t="s">
        <v>11</v>
      </c>
      <c r="W33" s="1576">
        <f t="shared" si="14"/>
        <v>104</v>
      </c>
      <c r="X33" s="1577"/>
      <c r="Y33" s="3398"/>
      <c r="Z33" s="1578" t="str">
        <f t="shared" si="15"/>
        <v>项目建筑规模</v>
      </c>
      <c r="AA33" s="1574">
        <f t="shared" si="3"/>
        <v>1</v>
      </c>
      <c r="AB33" s="1574">
        <f t="shared" si="4"/>
        <v>0.98039215686274506</v>
      </c>
      <c r="AC33" s="1574">
        <f t="shared" si="5"/>
        <v>0.96153846153846156</v>
      </c>
    </row>
    <row r="34" spans="1:29" ht="15">
      <c r="A34" s="593"/>
      <c r="B34" s="526" t="s">
        <v>727</v>
      </c>
      <c r="C34" s="880" t="s">
        <v>3044</v>
      </c>
      <c r="D34" s="539">
        <v>100</v>
      </c>
      <c r="E34" s="880" t="s">
        <v>3044</v>
      </c>
      <c r="F34" s="574">
        <f>SUMIF(105:105,E34,106:106)-SUMIF(105:105,C34,106:106)+100</f>
        <v>100</v>
      </c>
      <c r="G34" s="880" t="s">
        <v>3044</v>
      </c>
      <c r="H34" s="539">
        <f>SUMIF(105:105,G34,106:106)-SUMIF(105:105,C34,106:106)+100</f>
        <v>100</v>
      </c>
      <c r="I34" s="880" t="s">
        <v>3044</v>
      </c>
      <c r="J34" s="539">
        <f>SUMIF(105:105,I34,106:106)-SUMIF(105:105,C34,106:106)+100</f>
        <v>100</v>
      </c>
      <c r="K34" s="863">
        <v>5</v>
      </c>
      <c r="L34" s="2140"/>
      <c r="M34" s="2132"/>
      <c r="N34" s="2132"/>
      <c r="O34" s="2139"/>
      <c r="P34" s="3398"/>
      <c r="Q34" s="1570" t="str">
        <f t="shared" si="11"/>
        <v>建筑结构</v>
      </c>
      <c r="R34" s="1571" t="s">
        <v>11</v>
      </c>
      <c r="S34" s="1572">
        <f t="shared" si="12"/>
        <v>100</v>
      </c>
      <c r="T34" s="1571" t="s">
        <v>11</v>
      </c>
      <c r="U34" s="1572">
        <f t="shared" si="13"/>
        <v>100</v>
      </c>
      <c r="V34" s="1571" t="s">
        <v>11</v>
      </c>
      <c r="W34" s="1572">
        <f t="shared" si="14"/>
        <v>100</v>
      </c>
      <c r="X34" s="1565"/>
      <c r="Y34" s="3398"/>
      <c r="Z34" s="1573" t="str">
        <f t="shared" si="15"/>
        <v>建筑结构</v>
      </c>
      <c r="AA34" s="1574">
        <f t="shared" si="3"/>
        <v>1</v>
      </c>
      <c r="AB34" s="1574">
        <f t="shared" si="4"/>
        <v>1</v>
      </c>
      <c r="AC34" s="1574">
        <f t="shared" si="5"/>
        <v>1</v>
      </c>
    </row>
    <row r="35" spans="1:29" ht="15">
      <c r="A35" s="593"/>
      <c r="B35" s="526" t="s">
        <v>728</v>
      </c>
      <c r="C35" s="598" t="s">
        <v>3046</v>
      </c>
      <c r="D35" s="539">
        <v>100</v>
      </c>
      <c r="E35" s="598" t="s">
        <v>3046</v>
      </c>
      <c r="F35" s="574">
        <f>SUMIF(107:107,E35,108:108)-SUMIF(107:107,C35,108:108)+100</f>
        <v>100</v>
      </c>
      <c r="G35" s="598" t="s">
        <v>3046</v>
      </c>
      <c r="H35" s="539">
        <f>SUMIF(107:107,G35,108:108)-SUMIF(107:107,C35,108:108)+100</f>
        <v>100</v>
      </c>
      <c r="I35" s="598" t="s">
        <v>3046</v>
      </c>
      <c r="J35" s="539">
        <f>SUMIF(107:107,I35,108:108)-SUMIF(107:107,C35,108:108)+100</f>
        <v>100</v>
      </c>
      <c r="K35" s="863">
        <v>3</v>
      </c>
      <c r="L35" s="2140"/>
      <c r="M35" s="2132"/>
      <c r="N35" s="2132"/>
      <c r="O35" s="2139"/>
      <c r="P35" s="3398"/>
      <c r="Q35" s="1570" t="str">
        <f t="shared" si="11"/>
        <v>建筑品质</v>
      </c>
      <c r="R35" s="1571" t="s">
        <v>11</v>
      </c>
      <c r="S35" s="1572">
        <f t="shared" si="12"/>
        <v>100</v>
      </c>
      <c r="T35" s="1571" t="s">
        <v>11</v>
      </c>
      <c r="U35" s="1572">
        <f t="shared" si="13"/>
        <v>100</v>
      </c>
      <c r="V35" s="1571" t="s">
        <v>11</v>
      </c>
      <c r="W35" s="1572">
        <f t="shared" si="14"/>
        <v>100</v>
      </c>
      <c r="X35" s="1565"/>
      <c r="Y35" s="3398"/>
      <c r="Z35" s="1573" t="str">
        <f t="shared" si="15"/>
        <v>建筑品质</v>
      </c>
      <c r="AA35" s="1574">
        <f t="shared" si="3"/>
        <v>1</v>
      </c>
      <c r="AB35" s="1574">
        <f t="shared" si="4"/>
        <v>1</v>
      </c>
      <c r="AC35" s="1574">
        <f t="shared" si="5"/>
        <v>1</v>
      </c>
    </row>
    <row r="36" spans="1:29" ht="15">
      <c r="A36" s="593"/>
      <c r="B36" s="526" t="s">
        <v>729</v>
      </c>
      <c r="C36" s="598" t="s">
        <v>3048</v>
      </c>
      <c r="D36" s="539">
        <v>100</v>
      </c>
      <c r="E36" s="598" t="s">
        <v>3048</v>
      </c>
      <c r="F36" s="574">
        <f>SUMIF(109:109,E36,110:110)-SUMIF(109:109,C36,110:110)+100</f>
        <v>100</v>
      </c>
      <c r="G36" s="598" t="s">
        <v>3048</v>
      </c>
      <c r="H36" s="539">
        <f>SUMIF(109:109,G36,110:110)-SUMIF(109:109,C36,110:110)+100</f>
        <v>100</v>
      </c>
      <c r="I36" s="598" t="s">
        <v>3048</v>
      </c>
      <c r="J36" s="539">
        <f>SUMIF(109:109,I36,110:110)-SUMIF(109:109,C36,110:110)+100</f>
        <v>100</v>
      </c>
      <c r="K36" s="863">
        <v>2</v>
      </c>
      <c r="L36" s="2140"/>
      <c r="M36" s="2132"/>
      <c r="N36" s="2132"/>
      <c r="O36" s="2139"/>
      <c r="P36" s="3398"/>
      <c r="Q36" s="1570" t="str">
        <f t="shared" si="11"/>
        <v>公共部分装修</v>
      </c>
      <c r="R36" s="1571" t="s">
        <v>11</v>
      </c>
      <c r="S36" s="1572">
        <f t="shared" si="12"/>
        <v>100</v>
      </c>
      <c r="T36" s="1571" t="s">
        <v>11</v>
      </c>
      <c r="U36" s="1572">
        <f t="shared" si="13"/>
        <v>100</v>
      </c>
      <c r="V36" s="1571" t="s">
        <v>11</v>
      </c>
      <c r="W36" s="1572">
        <f t="shared" si="14"/>
        <v>100</v>
      </c>
      <c r="X36" s="1565"/>
      <c r="Y36" s="3398"/>
      <c r="Z36" s="1573" t="str">
        <f t="shared" si="15"/>
        <v>公共部分装修</v>
      </c>
      <c r="AA36" s="1574">
        <f t="shared" si="3"/>
        <v>1</v>
      </c>
      <c r="AB36" s="1574">
        <f t="shared" si="4"/>
        <v>1</v>
      </c>
      <c r="AC36" s="1574">
        <f t="shared" si="5"/>
        <v>1</v>
      </c>
    </row>
    <row r="37" spans="1:29" s="1217" customFormat="1" ht="15">
      <c r="A37" s="599"/>
      <c r="B37" s="526" t="s">
        <v>730</v>
      </c>
      <c r="C37" s="882">
        <v>1</v>
      </c>
      <c r="D37" s="254">
        <v>100</v>
      </c>
      <c r="E37" s="882">
        <v>1</v>
      </c>
      <c r="F37" s="862">
        <f>LOOKUP(E37,112:112,113:113)-LOOKUP(C37,112:112,113:113)+100</f>
        <v>100</v>
      </c>
      <c r="G37" s="882">
        <v>1</v>
      </c>
      <c r="H37" s="254">
        <f>LOOKUP(G37,112:112,113:113)-LOOKUP(C37,112:112,113:113)+100</f>
        <v>100</v>
      </c>
      <c r="I37" s="882">
        <v>0.94</v>
      </c>
      <c r="J37" s="254">
        <f>LOOKUP(I37,112:112,113:113)-LOOKUP(C37,112:112,113:113)+100</f>
        <v>100</v>
      </c>
      <c r="K37" s="863">
        <v>1</v>
      </c>
      <c r="L37" s="2133"/>
      <c r="M37" s="2134"/>
      <c r="N37" s="2134"/>
      <c r="O37" s="2135"/>
      <c r="P37" s="3398"/>
      <c r="Q37" s="1148" t="str">
        <f t="shared" si="11"/>
        <v>成新度</v>
      </c>
      <c r="R37" s="1566" t="s">
        <v>11</v>
      </c>
      <c r="S37" s="1567">
        <f t="shared" si="12"/>
        <v>100</v>
      </c>
      <c r="T37" s="1566" t="s">
        <v>11</v>
      </c>
      <c r="U37" s="1567">
        <f t="shared" si="13"/>
        <v>100</v>
      </c>
      <c r="V37" s="1566" t="s">
        <v>11</v>
      </c>
      <c r="W37" s="1567">
        <f t="shared" si="14"/>
        <v>100</v>
      </c>
      <c r="X37" s="1568"/>
      <c r="Y37" s="3398"/>
      <c r="Z37" s="1147" t="str">
        <f t="shared" si="15"/>
        <v>成新度</v>
      </c>
      <c r="AA37" s="1569">
        <f t="shared" si="3"/>
        <v>1</v>
      </c>
      <c r="AB37" s="1569">
        <f t="shared" si="4"/>
        <v>1</v>
      </c>
      <c r="AC37" s="1569">
        <f t="shared" si="5"/>
        <v>1</v>
      </c>
    </row>
    <row r="38" spans="1:29" ht="15">
      <c r="A38" s="593"/>
      <c r="B38" s="526" t="s">
        <v>731</v>
      </c>
      <c r="C38" s="598" t="s">
        <v>3050</v>
      </c>
      <c r="D38" s="539">
        <v>100</v>
      </c>
      <c r="E38" s="598" t="s">
        <v>3050</v>
      </c>
      <c r="F38" s="574">
        <f>SUMIF(114:114,E38,115:115)-SUMIF(114:114,C38,115:115)+100</f>
        <v>100</v>
      </c>
      <c r="G38" s="598" t="s">
        <v>3050</v>
      </c>
      <c r="H38" s="539">
        <f>SUMIF(114:114,G38,115:115)-SUMIF(114:114,C38,115:115)+100</f>
        <v>100</v>
      </c>
      <c r="I38" s="598" t="s">
        <v>3050</v>
      </c>
      <c r="J38" s="539">
        <f>SUMIF(114:114,I38,115:115)-SUMIF(114:114,C38,115:115)+100</f>
        <v>100</v>
      </c>
      <c r="K38" s="863">
        <v>5</v>
      </c>
      <c r="L38" s="2140"/>
      <c r="M38" s="2132"/>
      <c r="N38" s="2132"/>
      <c r="O38" s="2139"/>
      <c r="P38" s="3398" t="s">
        <v>550</v>
      </c>
      <c r="Q38" s="1570" t="str">
        <f t="shared" si="11"/>
        <v>物业管理</v>
      </c>
      <c r="R38" s="1571" t="s">
        <v>11</v>
      </c>
      <c r="S38" s="1572">
        <f t="shared" si="12"/>
        <v>100</v>
      </c>
      <c r="T38" s="1571" t="s">
        <v>11</v>
      </c>
      <c r="U38" s="1572">
        <f t="shared" si="13"/>
        <v>100</v>
      </c>
      <c r="V38" s="1571" t="s">
        <v>11</v>
      </c>
      <c r="W38" s="1572">
        <f t="shared" si="14"/>
        <v>100</v>
      </c>
      <c r="X38" s="1565"/>
      <c r="Y38" s="3398" t="s">
        <v>550</v>
      </c>
      <c r="Z38" s="1573" t="str">
        <f t="shared" si="15"/>
        <v>物业管理</v>
      </c>
      <c r="AA38" s="1574">
        <f t="shared" si="3"/>
        <v>1</v>
      </c>
      <c r="AB38" s="1574">
        <f t="shared" si="4"/>
        <v>1</v>
      </c>
      <c r="AC38" s="1574">
        <f t="shared" si="5"/>
        <v>1</v>
      </c>
    </row>
    <row r="39" spans="1:29" ht="15">
      <c r="A39" s="593"/>
      <c r="B39" s="1893" t="s">
        <v>2564</v>
      </c>
      <c r="C39" s="598" t="s">
        <v>3028</v>
      </c>
      <c r="D39" s="539">
        <v>100</v>
      </c>
      <c r="E39" s="598" t="s">
        <v>3028</v>
      </c>
      <c r="F39" s="574">
        <f>SUMIF(116:116,E39,117:117)-SUMIF(116:116,C39,117:117)+100</f>
        <v>100</v>
      </c>
      <c r="G39" s="598" t="s">
        <v>3028</v>
      </c>
      <c r="H39" s="539">
        <f>SUMIF(116:116,G39,117:117)-SUMIF(116:116,C39,117:117)+100</f>
        <v>100</v>
      </c>
      <c r="I39" s="598" t="s">
        <v>3028</v>
      </c>
      <c r="J39" s="539">
        <f>SUMIF(116:116,I39,117:117)-SUMIF(116:116,C39,117:117)+100</f>
        <v>100</v>
      </c>
      <c r="K39" s="863">
        <v>1</v>
      </c>
      <c r="L39" s="2140"/>
      <c r="M39" s="2132"/>
      <c r="N39" s="2132"/>
      <c r="O39" s="2139"/>
      <c r="P39" s="3398"/>
      <c r="Q39" s="1570" t="str">
        <f t="shared" si="11"/>
        <v>市政基础设施</v>
      </c>
      <c r="R39" s="1571" t="s">
        <v>11</v>
      </c>
      <c r="S39" s="1572">
        <f t="shared" si="12"/>
        <v>100</v>
      </c>
      <c r="T39" s="1571" t="s">
        <v>11</v>
      </c>
      <c r="U39" s="1572">
        <f t="shared" si="13"/>
        <v>100</v>
      </c>
      <c r="V39" s="1571" t="s">
        <v>11</v>
      </c>
      <c r="W39" s="1572">
        <f t="shared" si="14"/>
        <v>100</v>
      </c>
      <c r="X39" s="1565"/>
      <c r="Y39" s="3398"/>
      <c r="Z39" s="1573" t="str">
        <f t="shared" si="15"/>
        <v>市政基础设施</v>
      </c>
      <c r="AA39" s="1574">
        <f t="shared" si="3"/>
        <v>1</v>
      </c>
      <c r="AB39" s="1574">
        <f t="shared" si="4"/>
        <v>1</v>
      </c>
      <c r="AC39" s="1574">
        <f t="shared" si="5"/>
        <v>1</v>
      </c>
    </row>
    <row r="40" spans="1:29" ht="15">
      <c r="A40" s="593"/>
      <c r="B40" s="526" t="s">
        <v>732</v>
      </c>
      <c r="C40" s="598" t="s">
        <v>3053</v>
      </c>
      <c r="D40" s="539">
        <v>100</v>
      </c>
      <c r="E40" s="598" t="s">
        <v>3053</v>
      </c>
      <c r="F40" s="574">
        <f>SUMIF(118:118,E40,119:119)-SUMIF(118:118,C40,119:119)+100</f>
        <v>100</v>
      </c>
      <c r="G40" s="598" t="s">
        <v>3053</v>
      </c>
      <c r="H40" s="539">
        <f>SUMIF(118:118,G40,119:119)-SUMIF(118:118,C40,119:119)+100</f>
        <v>100</v>
      </c>
      <c r="I40" s="598" t="s">
        <v>3053</v>
      </c>
      <c r="J40" s="539">
        <f>SUMIF(118:118,I40,119:119)-SUMIF(118:118,C40,119:119)+100</f>
        <v>100</v>
      </c>
      <c r="K40" s="863">
        <v>5</v>
      </c>
      <c r="L40" s="2140"/>
      <c r="M40" s="2132"/>
      <c r="N40" s="2132"/>
      <c r="O40" s="2139"/>
      <c r="P40" s="3398"/>
      <c r="Q40" s="1570" t="str">
        <f t="shared" si="11"/>
        <v>房型</v>
      </c>
      <c r="R40" s="1571" t="s">
        <v>11</v>
      </c>
      <c r="S40" s="1572">
        <f t="shared" si="12"/>
        <v>100</v>
      </c>
      <c r="T40" s="1571" t="s">
        <v>11</v>
      </c>
      <c r="U40" s="1572">
        <f t="shared" si="13"/>
        <v>100</v>
      </c>
      <c r="V40" s="1571" t="s">
        <v>11</v>
      </c>
      <c r="W40" s="1572">
        <f t="shared" si="14"/>
        <v>100</v>
      </c>
      <c r="X40" s="1565"/>
      <c r="Y40" s="3398"/>
      <c r="Z40" s="1573" t="str">
        <f t="shared" si="15"/>
        <v>房型</v>
      </c>
      <c r="AA40" s="1574">
        <f t="shared" si="3"/>
        <v>1</v>
      </c>
      <c r="AB40" s="1574">
        <f t="shared" si="4"/>
        <v>1</v>
      </c>
      <c r="AC40" s="1574">
        <f t="shared" si="5"/>
        <v>1</v>
      </c>
    </row>
    <row r="41" spans="1:29" s="1336" customFormat="1" ht="28.5">
      <c r="A41" s="602"/>
      <c r="B41" s="526" t="s">
        <v>733</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38"/>
      <c r="M41" s="2169"/>
      <c r="N41" s="2169"/>
      <c r="O41" s="2141"/>
      <c r="P41" s="3398"/>
      <c r="Q41" s="1603" t="str">
        <f t="shared" si="11"/>
        <v>单套/主力户型建筑面积</v>
      </c>
      <c r="R41" s="1575" t="s">
        <v>11</v>
      </c>
      <c r="S41" s="1576">
        <f t="shared" si="12"/>
        <v>100</v>
      </c>
      <c r="T41" s="1575" t="s">
        <v>11</v>
      </c>
      <c r="U41" s="1576">
        <f t="shared" si="13"/>
        <v>100</v>
      </c>
      <c r="V41" s="1575" t="s">
        <v>11</v>
      </c>
      <c r="W41" s="1576">
        <f t="shared" si="14"/>
        <v>100</v>
      </c>
      <c r="X41" s="1577"/>
      <c r="Y41" s="3398"/>
      <c r="Z41" s="1578" t="str">
        <f t="shared" si="15"/>
        <v>单套/主力户型建筑面积</v>
      </c>
      <c r="AA41" s="1574">
        <f t="shared" si="3"/>
        <v>1</v>
      </c>
      <c r="AB41" s="1574">
        <f t="shared" si="4"/>
        <v>1</v>
      </c>
      <c r="AC41" s="1574">
        <f t="shared" si="5"/>
        <v>1</v>
      </c>
    </row>
    <row r="42" spans="1:29" ht="15">
      <c r="A42" s="593"/>
      <c r="B42" s="526" t="s">
        <v>734</v>
      </c>
      <c r="C42" s="598" t="s">
        <v>3048</v>
      </c>
      <c r="D42" s="539">
        <v>100</v>
      </c>
      <c r="E42" s="598" t="s">
        <v>3048</v>
      </c>
      <c r="F42" s="574">
        <f>SUMIF(122:122,E42,123:123)-SUMIF(122:122,C42,123:123)+100</f>
        <v>100</v>
      </c>
      <c r="G42" s="598" t="s">
        <v>3048</v>
      </c>
      <c r="H42" s="539">
        <f>SUMIF(122:122,G42,123:123)-SUMIF(122:122,C42,123:123)+100</f>
        <v>100</v>
      </c>
      <c r="I42" s="598" t="s">
        <v>3048</v>
      </c>
      <c r="J42" s="539">
        <f>SUMIF(122:122,I42,123:123)-SUMIF(122:122,C42,123:123)+100</f>
        <v>100</v>
      </c>
      <c r="K42" s="863">
        <v>2</v>
      </c>
      <c r="L42" s="2140"/>
      <c r="M42" s="2132"/>
      <c r="N42" s="2132"/>
      <c r="O42" s="2139"/>
      <c r="P42" s="3398"/>
      <c r="Q42" s="1570" t="str">
        <f t="shared" si="11"/>
        <v>内部装修</v>
      </c>
      <c r="R42" s="1571" t="s">
        <v>11</v>
      </c>
      <c r="S42" s="1572">
        <f t="shared" si="12"/>
        <v>100</v>
      </c>
      <c r="T42" s="1571" t="s">
        <v>11</v>
      </c>
      <c r="U42" s="1572">
        <f t="shared" si="13"/>
        <v>100</v>
      </c>
      <c r="V42" s="1571" t="s">
        <v>11</v>
      </c>
      <c r="W42" s="1572">
        <f t="shared" si="14"/>
        <v>100</v>
      </c>
      <c r="X42" s="1565"/>
      <c r="Y42" s="3398"/>
      <c r="Z42" s="1573" t="str">
        <f t="shared" si="15"/>
        <v>内部装修</v>
      </c>
      <c r="AA42" s="1574">
        <f t="shared" si="3"/>
        <v>1</v>
      </c>
      <c r="AB42" s="1574">
        <f t="shared" si="4"/>
        <v>1</v>
      </c>
      <c r="AC42" s="1574">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398"/>
      <c r="Q43" s="1570" t="str">
        <f t="shared" si="11"/>
        <v>内部装修维护情况</v>
      </c>
      <c r="R43" s="1571" t="s">
        <v>11</v>
      </c>
      <c r="S43" s="1572">
        <f t="shared" si="12"/>
        <v>100</v>
      </c>
      <c r="T43" s="1571" t="s">
        <v>11</v>
      </c>
      <c r="U43" s="1572">
        <f t="shared" si="13"/>
        <v>100</v>
      </c>
      <c r="V43" s="1571" t="s">
        <v>11</v>
      </c>
      <c r="W43" s="1572">
        <f t="shared" si="14"/>
        <v>100</v>
      </c>
      <c r="X43" s="1565"/>
      <c r="Y43" s="3398"/>
      <c r="Z43" s="1573" t="str">
        <f t="shared" si="15"/>
        <v>内部装修维护情况</v>
      </c>
      <c r="AA43" s="1574">
        <f t="shared" si="3"/>
        <v>1</v>
      </c>
      <c r="AB43" s="1574">
        <f t="shared" si="4"/>
        <v>1</v>
      </c>
      <c r="AC43" s="1574">
        <f t="shared" si="5"/>
        <v>1</v>
      </c>
    </row>
    <row r="44" spans="1:29" s="1217" customFormat="1" ht="15">
      <c r="A44" s="599"/>
      <c r="B44" s="3183" t="s">
        <v>3061</v>
      </c>
      <c r="C44" s="3184" t="s">
        <v>3062</v>
      </c>
      <c r="D44" s="254">
        <v>100</v>
      </c>
      <c r="E44" s="3184" t="s">
        <v>3062</v>
      </c>
      <c r="F44" s="862">
        <f>SUMIF(126:126,E44,127:127)-SUMIF(126:126,C44,127:127)+100</f>
        <v>100</v>
      </c>
      <c r="G44" s="3184" t="s">
        <v>3062</v>
      </c>
      <c r="H44" s="254">
        <f>SUMIF(126:126,G44,127:127)-SUMIF(126:126,C44,127:127)+100</f>
        <v>100</v>
      </c>
      <c r="I44" s="3184" t="s">
        <v>3063</v>
      </c>
      <c r="J44" s="254">
        <f>SUMIF(126:126,I44,127:127)-SUMIF(126:126,C44,127:127)+100</f>
        <v>103</v>
      </c>
      <c r="K44" s="864"/>
      <c r="L44" s="2133"/>
      <c r="M44" s="2134"/>
      <c r="N44" s="2134"/>
      <c r="O44" s="2135"/>
      <c r="P44" s="3398"/>
      <c r="Q44" s="1148" t="str">
        <f t="shared" si="11"/>
        <v>现状</v>
      </c>
      <c r="R44" s="1566" t="s">
        <v>11</v>
      </c>
      <c r="S44" s="1567">
        <f t="shared" si="12"/>
        <v>100</v>
      </c>
      <c r="T44" s="1566" t="s">
        <v>11</v>
      </c>
      <c r="U44" s="1567">
        <f t="shared" si="13"/>
        <v>100</v>
      </c>
      <c r="V44" s="1566" t="s">
        <v>11</v>
      </c>
      <c r="W44" s="1567">
        <f t="shared" si="14"/>
        <v>103</v>
      </c>
      <c r="X44" s="1568"/>
      <c r="Y44" s="3398"/>
      <c r="Z44" s="1147" t="str">
        <f t="shared" si="15"/>
        <v>现状</v>
      </c>
      <c r="AA44" s="1569">
        <f t="shared" si="3"/>
        <v>1</v>
      </c>
      <c r="AB44" s="1569">
        <f t="shared" si="4"/>
        <v>1</v>
      </c>
      <c r="AC44" s="1569">
        <f t="shared" si="5"/>
        <v>0.970873786407767</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98"/>
      <c r="Q45" s="1570">
        <f t="shared" si="11"/>
        <v>111</v>
      </c>
      <c r="R45" s="1571" t="s">
        <v>11</v>
      </c>
      <c r="S45" s="1572">
        <f t="shared" si="12"/>
        <v>100</v>
      </c>
      <c r="T45" s="1571" t="s">
        <v>11</v>
      </c>
      <c r="U45" s="1572">
        <f t="shared" si="13"/>
        <v>100</v>
      </c>
      <c r="V45" s="1571" t="s">
        <v>11</v>
      </c>
      <c r="W45" s="1572">
        <f t="shared" si="14"/>
        <v>100</v>
      </c>
      <c r="X45" s="1565"/>
      <c r="Y45" s="3398"/>
      <c r="Z45" s="1573">
        <f t="shared" si="15"/>
        <v>111</v>
      </c>
      <c r="AA45" s="1574">
        <f t="shared" si="3"/>
        <v>1</v>
      </c>
      <c r="AB45" s="1574">
        <f t="shared" si="4"/>
        <v>1</v>
      </c>
      <c r="AC45" s="1574">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8"/>
      <c r="Q46" s="1570">
        <f t="shared" si="11"/>
        <v>111</v>
      </c>
      <c r="R46" s="1571" t="s">
        <v>10</v>
      </c>
      <c r="S46" s="1572">
        <f t="shared" si="12"/>
        <v>100</v>
      </c>
      <c r="T46" s="1571" t="s">
        <v>10</v>
      </c>
      <c r="U46" s="1572">
        <f t="shared" si="13"/>
        <v>100</v>
      </c>
      <c r="V46" s="1571" t="s">
        <v>10</v>
      </c>
      <c r="W46" s="1572">
        <f t="shared" si="14"/>
        <v>100</v>
      </c>
      <c r="X46" s="1565"/>
      <c r="Y46" s="3498"/>
      <c r="Z46" s="1573">
        <f t="shared" si="15"/>
        <v>111</v>
      </c>
      <c r="AA46" s="1574">
        <f t="shared" si="3"/>
        <v>1</v>
      </c>
      <c r="AB46" s="1574">
        <f t="shared" si="4"/>
        <v>1</v>
      </c>
      <c r="AC46" s="1574">
        <f t="shared" si="5"/>
        <v>1</v>
      </c>
    </row>
    <row r="47" spans="1:29" ht="15">
      <c r="A47" s="606" t="s">
        <v>736</v>
      </c>
      <c r="B47" s="886"/>
      <c r="C47" s="2603" t="s">
        <v>9</v>
      </c>
      <c r="D47" s="2604"/>
      <c r="E47" s="2605">
        <f>0.98*72000</f>
        <v>70560</v>
      </c>
      <c r="F47" s="2606"/>
      <c r="G47" s="2607">
        <f>0.98*72000</f>
        <v>70560</v>
      </c>
      <c r="H47" s="2608"/>
      <c r="I47" s="2605">
        <f>0.98*75000</f>
        <v>73500</v>
      </c>
      <c r="J47" s="2608"/>
      <c r="K47" s="1604"/>
      <c r="L47" s="2142"/>
      <c r="M47" s="2143"/>
      <c r="N47" s="2132"/>
      <c r="O47" s="2143"/>
      <c r="P47" s="3393" t="str">
        <f>A47</f>
        <v>成交单价（元/平方米）</v>
      </c>
      <c r="Q47" s="3393"/>
      <c r="R47" s="3497">
        <f>E47</f>
        <v>70560</v>
      </c>
      <c r="S47" s="3497"/>
      <c r="T47" s="3497">
        <f>G47</f>
        <v>70560</v>
      </c>
      <c r="U47" s="3497"/>
      <c r="V47" s="3497">
        <f>I47</f>
        <v>73500</v>
      </c>
      <c r="W47" s="3497"/>
      <c r="X47" s="1557"/>
      <c r="Y47" s="1579"/>
      <c r="Z47" s="1557"/>
      <c r="AA47" s="1557"/>
      <c r="AB47" s="1557"/>
      <c r="AC47" s="1557"/>
    </row>
    <row r="48" spans="1:29" ht="15.75" thickBot="1">
      <c r="A48" s="614" t="s">
        <v>2759</v>
      </c>
      <c r="B48" s="887"/>
      <c r="C48" s="2609">
        <f>R49</f>
        <v>65478</v>
      </c>
      <c r="D48" s="2610"/>
      <c r="E48" s="2611">
        <f>R48</f>
        <v>65205</v>
      </c>
      <c r="F48" s="2611"/>
      <c r="G48" s="2609">
        <f>T48</f>
        <v>67820</v>
      </c>
      <c r="H48" s="2610"/>
      <c r="I48" s="2611">
        <f>V48</f>
        <v>63408</v>
      </c>
      <c r="J48" s="2610"/>
      <c r="K48" s="1605"/>
      <c r="L48" s="2142"/>
      <c r="M48" s="2143"/>
      <c r="N48" s="2143"/>
      <c r="O48" s="2143"/>
      <c r="P48" s="3393" t="str">
        <f>A48</f>
        <v>比较价格（元/平方米）</v>
      </c>
      <c r="Q48" s="3393"/>
      <c r="R48" s="3497">
        <f>IF(F1="售价",ROUND(PRODUCT(R47,AA7:AA46),0),ROUND(PRODUCT(R47,AA7:AA46),1))</f>
        <v>65205</v>
      </c>
      <c r="S48" s="3497"/>
      <c r="T48" s="3497">
        <f>IF(F1="售价",ROUND(PRODUCT(T47,AB7:AB46),0),ROUND(PRODUCT(T47,AB7:AB46),1))</f>
        <v>67820</v>
      </c>
      <c r="U48" s="3497"/>
      <c r="V48" s="3497">
        <f>IF(F1="售价",ROUND(PRODUCT(V47,AC7:AC46),0),ROUND(PRODUCT(V47,AC7:AC46),1))</f>
        <v>63408</v>
      </c>
      <c r="W48" s="3497"/>
      <c r="X48" s="1557"/>
      <c r="Y48" s="1557"/>
      <c r="Z48" s="1557"/>
      <c r="AA48" s="1557"/>
      <c r="AB48" s="1557"/>
      <c r="AC48" s="1557"/>
    </row>
    <row r="49" spans="1:29" ht="15.75" thickBot="1">
      <c r="A49" s="620" t="s">
        <v>2934</v>
      </c>
      <c r="B49" s="621"/>
      <c r="C49" s="2612">
        <f>R49</f>
        <v>65478</v>
      </c>
      <c r="D49" s="2612"/>
      <c r="E49" s="2612"/>
      <c r="F49" s="2612"/>
      <c r="G49" s="2612"/>
      <c r="H49" s="2612"/>
      <c r="I49" s="2612"/>
      <c r="J49" s="2612"/>
      <c r="K49" s="1606"/>
      <c r="L49" s="2142"/>
      <c r="M49" s="2143"/>
      <c r="N49" s="2143"/>
      <c r="O49" s="2143"/>
      <c r="P49" s="3417" t="str">
        <f>A49</f>
        <v>估价对象XX用房的比较价格（楼面单价，元/平方米）</v>
      </c>
      <c r="Q49" s="3418"/>
      <c r="R49" s="3496">
        <f>IF(F1="售价",ROUND(AVERAGE(R48:V48),0),ROUND(AVERAGE(R48:V48),1))</f>
        <v>65478</v>
      </c>
      <c r="S49" s="3496"/>
      <c r="T49" s="3496"/>
      <c r="U49" s="3496"/>
      <c r="V49" s="3496"/>
      <c r="W49" s="3496"/>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8.212560386473422E-2</v>
      </c>
      <c r="F52" s="626" t="str">
        <f>IF(OR(E52&gt;=0.3,E52&lt;=-0.3),"超过30%","")</f>
        <v/>
      </c>
      <c r="G52" s="625">
        <f>IF(G47&lt;G48,G48/G47-1,G47/G48-1)</f>
        <v>4.0401061633736468E-2</v>
      </c>
      <c r="H52" s="626" t="str">
        <f>IF(OR(G52&gt;=0.3,G52&lt;=-0.3),"超过30%","")</f>
        <v/>
      </c>
      <c r="I52" s="625">
        <f>IF(I47&lt;I48,I48/I47-1,I47/I48-1)</f>
        <v>0.1591597274791825</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4.0104286481098095E-2</v>
      </c>
      <c r="F53" s="626" t="str">
        <f>IF(OR(E53&gt;=0.2,E53&lt;=-0.2),"超过20%","")</f>
        <v/>
      </c>
      <c r="G53" s="625">
        <f>IF(G48&lt;I48,I48/G48-1,G48/I48-1)</f>
        <v>6.958112541004291E-2</v>
      </c>
      <c r="H53" s="626" t="str">
        <f>IF(OR(G53&gt;=0.2,G53&lt;=-0.2),"超过20%","")</f>
        <v/>
      </c>
      <c r="I53" s="625">
        <f>IF(I48&lt;E48,E48/I48-1,I48/E48-1)</f>
        <v>2.83402725208175E-2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559</v>
      </c>
      <c r="D54" s="627"/>
      <c r="E54" s="625">
        <f>IF(E47&lt;G47,G47/E47-1,E47/G47-1)</f>
        <v>0</v>
      </c>
      <c r="F54" s="626" t="str">
        <f>IF(OR(E54&gt;=0.3,E54&lt;=-0.3),"超过30%","")</f>
        <v/>
      </c>
      <c r="G54" s="625">
        <f>IF(G47&lt;I47,I47/G47-1,G47/I47-1)</f>
        <v>4.1666666666666741E-2</v>
      </c>
      <c r="H54" s="626" t="str">
        <f>IF(OR(G54&gt;=0.3,G54&lt;=-0.3),"超过30%","")</f>
        <v/>
      </c>
      <c r="I54" s="625">
        <f>IF(I47&lt;E47,E47/I47-1,I47/E47-1)</f>
        <v>4.1666666666666741E-2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529</v>
      </c>
      <c r="B58" s="645"/>
      <c r="C58" s="2779" t="str">
        <f>YEAR(C7)&amp;"-"&amp;MONTH(C7)</f>
        <v>2019-2</v>
      </c>
      <c r="D58" s="2779">
        <f>EDATE(C58,-1)</f>
        <v>43466</v>
      </c>
      <c r="E58" s="2779">
        <f t="shared" ref="E58:O58" si="16">EDATE(D58,-1)</f>
        <v>43435</v>
      </c>
      <c r="F58" s="2779">
        <f t="shared" si="16"/>
        <v>43405</v>
      </c>
      <c r="G58" s="2779">
        <f t="shared" si="16"/>
        <v>43374</v>
      </c>
      <c r="H58" s="2779">
        <f t="shared" si="16"/>
        <v>43344</v>
      </c>
      <c r="I58" s="2779">
        <f t="shared" si="16"/>
        <v>43313</v>
      </c>
      <c r="J58" s="2779">
        <f t="shared" si="16"/>
        <v>43282</v>
      </c>
      <c r="K58" s="2779">
        <f t="shared" si="16"/>
        <v>43252</v>
      </c>
      <c r="L58" s="2779">
        <f t="shared" si="16"/>
        <v>43221</v>
      </c>
      <c r="M58" s="2779">
        <f t="shared" si="16"/>
        <v>43191</v>
      </c>
      <c r="N58" s="2779">
        <f t="shared" si="16"/>
        <v>43160</v>
      </c>
      <c r="O58" s="2779">
        <f t="shared" si="16"/>
        <v>43132</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7"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7"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3178" t="s">
        <v>3040</v>
      </c>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2（含）-4</v>
      </c>
      <c r="D67" s="681" t="str">
        <f t="shared" ref="D67:L67" si="18">D68&amp;"（含）"&amp;"-"&amp;E68</f>
        <v>4（含）-6</v>
      </c>
      <c r="E67" s="681" t="str">
        <f t="shared" si="18"/>
        <v>6（含）-8</v>
      </c>
      <c r="F67" s="681" t="str">
        <f t="shared" si="18"/>
        <v>8（含）-10</v>
      </c>
      <c r="G67" s="681" t="str">
        <f t="shared" si="18"/>
        <v>10（含）-12</v>
      </c>
      <c r="H67" s="681" t="str">
        <f t="shared" si="18"/>
        <v>12（含）-14</v>
      </c>
      <c r="I67" s="681" t="str">
        <f t="shared" si="18"/>
        <v>14（含）-16</v>
      </c>
      <c r="J67" s="681" t="str">
        <f t="shared" si="18"/>
        <v>16（含）-18</v>
      </c>
      <c r="K67" s="681" t="str">
        <f t="shared" si="18"/>
        <v>18（含）-20</v>
      </c>
      <c r="L67" s="681" t="str">
        <f t="shared" si="18"/>
        <v>20（含）-22</v>
      </c>
      <c r="M67" s="554" t="str">
        <f>M68&amp;"（含）"&amp;"-"&amp;P68</f>
        <v>22（含）-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2</v>
      </c>
      <c r="D68" s="540">
        <v>4</v>
      </c>
      <c r="E68" s="540">
        <v>6</v>
      </c>
      <c r="F68" s="540">
        <v>8</v>
      </c>
      <c r="G68" s="540">
        <v>10</v>
      </c>
      <c r="H68" s="540">
        <v>12</v>
      </c>
      <c r="I68" s="540">
        <v>14</v>
      </c>
      <c r="J68" s="540">
        <v>16</v>
      </c>
      <c r="K68" s="540">
        <v>18</v>
      </c>
      <c r="L68" s="540">
        <v>20</v>
      </c>
      <c r="M68" s="540">
        <v>22</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97</v>
      </c>
      <c r="E81" s="678">
        <f>D81-$K19</f>
        <v>94</v>
      </c>
      <c r="F81" s="678">
        <f>E81-$K19</f>
        <v>91</v>
      </c>
      <c r="G81" s="678">
        <f>F81-$K19</f>
        <v>88</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3" t="s">
        <v>2558</v>
      </c>
      <c r="C82" s="2574" t="s">
        <v>2559</v>
      </c>
      <c r="D82" s="2574" t="s">
        <v>2560</v>
      </c>
      <c r="E82" s="2574" t="s">
        <v>2561</v>
      </c>
      <c r="F82" s="2574" t="s">
        <v>2562</v>
      </c>
      <c r="G82" s="2574" t="s">
        <v>2563</v>
      </c>
      <c r="H82" s="673"/>
      <c r="I82" s="673"/>
      <c r="J82" s="673"/>
      <c r="K82" s="673"/>
      <c r="L82" s="673"/>
      <c r="M82" s="2577"/>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1894" t="s">
        <v>2257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74" t="s">
        <v>3043</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1600000(含)-1800000</v>
      </c>
      <c r="L102" s="707" t="str">
        <f t="shared" si="23"/>
        <v>1800000(含)-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v>0</v>
      </c>
      <c r="D103" s="729">
        <v>200000</v>
      </c>
      <c r="E103" s="729">
        <v>400000</v>
      </c>
      <c r="F103" s="729">
        <v>600000</v>
      </c>
      <c r="G103" s="729">
        <v>800000</v>
      </c>
      <c r="H103" s="729">
        <v>1000000</v>
      </c>
      <c r="I103" s="729">
        <v>1200000</v>
      </c>
      <c r="J103" s="729">
        <v>1400000</v>
      </c>
      <c r="K103" s="729">
        <v>1600000</v>
      </c>
      <c r="L103" s="729">
        <v>1800000</v>
      </c>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v>100</v>
      </c>
      <c r="D104" s="670">
        <v>102</v>
      </c>
      <c r="E104" s="691">
        <v>104</v>
      </c>
      <c r="F104" s="670">
        <v>106</v>
      </c>
      <c r="G104" s="691">
        <v>108</v>
      </c>
      <c r="H104" s="670">
        <v>110</v>
      </c>
      <c r="I104" s="691">
        <v>112</v>
      </c>
      <c r="J104" s="670">
        <v>114</v>
      </c>
      <c r="K104" s="691">
        <v>116</v>
      </c>
      <c r="L104" s="670">
        <v>118</v>
      </c>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176" t="s">
        <v>3045</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95</v>
      </c>
      <c r="E106" s="678">
        <f t="shared" si="24"/>
        <v>90</v>
      </c>
      <c r="F106" s="678">
        <f t="shared" si="24"/>
        <v>85</v>
      </c>
      <c r="G106" s="678">
        <f t="shared" si="24"/>
        <v>80</v>
      </c>
      <c r="H106" s="678">
        <f t="shared" si="24"/>
        <v>75</v>
      </c>
      <c r="I106" s="678">
        <f t="shared" si="24"/>
        <v>70</v>
      </c>
      <c r="J106" s="678">
        <f t="shared" si="24"/>
        <v>65</v>
      </c>
      <c r="K106" s="678">
        <f t="shared" si="24"/>
        <v>60</v>
      </c>
      <c r="L106" s="678">
        <f t="shared" si="24"/>
        <v>55</v>
      </c>
      <c r="M106" s="678">
        <f t="shared" si="24"/>
        <v>50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175" t="s">
        <v>3047</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176" t="s">
        <v>3049</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176" t="s">
        <v>3051</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8">
        <f t="shared" si="27"/>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3176" t="s">
        <v>3052</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3175" t="s">
        <v>3054</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7"/>
      <c r="B120" s="672" t="s">
        <v>733</v>
      </c>
      <c r="C120" s="687" t="s">
        <v>3055</v>
      </c>
      <c r="D120" s="687" t="s">
        <v>3056</v>
      </c>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691">
        <v>100</v>
      </c>
      <c r="D121" s="670">
        <v>95</v>
      </c>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176" t="s">
        <v>3049</v>
      </c>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t="str">
        <f>B44</f>
        <v>现状</v>
      </c>
      <c r="C126" s="3176" t="s">
        <v>3063</v>
      </c>
      <c r="D126" s="3176" t="s">
        <v>3062</v>
      </c>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v>100</v>
      </c>
      <c r="D127" s="670">
        <v>97</v>
      </c>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757</v>
      </c>
      <c r="C1" s="503" t="s">
        <v>720</v>
      </c>
      <c r="D1" s="2346"/>
      <c r="E1" s="505"/>
      <c r="F1" s="2782"/>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521</v>
      </c>
      <c r="B4" s="512"/>
      <c r="C4" s="3399" t="s">
        <v>522</v>
      </c>
      <c r="D4" s="3400"/>
      <c r="E4" s="3426" t="s">
        <v>523</v>
      </c>
      <c r="F4" s="3427"/>
      <c r="G4" s="3399" t="s">
        <v>524</v>
      </c>
      <c r="H4" s="3400"/>
      <c r="I4" s="3399" t="s">
        <v>525</v>
      </c>
      <c r="J4" s="3400"/>
      <c r="K4" s="513" t="s">
        <v>526</v>
      </c>
      <c r="L4" s="2131"/>
      <c r="M4" s="2132"/>
      <c r="N4" s="2132"/>
      <c r="O4" s="2132"/>
      <c r="P4" s="3401" t="s">
        <v>527</v>
      </c>
      <c r="Q4" s="3402"/>
      <c r="R4" s="3387" t="s">
        <v>523</v>
      </c>
      <c r="S4" s="3388"/>
      <c r="T4" s="3387" t="s">
        <v>524</v>
      </c>
      <c r="U4" s="3388"/>
      <c r="V4" s="3407" t="s">
        <v>525</v>
      </c>
      <c r="W4" s="3407"/>
      <c r="X4" s="1565"/>
      <c r="Y4" s="3387" t="s">
        <v>527</v>
      </c>
      <c r="Z4" s="3388"/>
      <c r="AA4" s="3382" t="s">
        <v>523</v>
      </c>
      <c r="AB4" s="3407" t="s">
        <v>524</v>
      </c>
      <c r="AC4" s="3382" t="s">
        <v>525</v>
      </c>
    </row>
    <row r="5" spans="1:29" ht="15">
      <c r="A5" s="514"/>
      <c r="B5" s="515"/>
      <c r="C5" s="3410" t="s">
        <v>2928</v>
      </c>
      <c r="D5" s="3411"/>
      <c r="E5" s="3428" t="s">
        <v>2929</v>
      </c>
      <c r="F5" s="3416"/>
      <c r="G5" s="3410" t="s">
        <v>2930</v>
      </c>
      <c r="H5" s="3411"/>
      <c r="I5" s="3410" t="s">
        <v>2931</v>
      </c>
      <c r="J5" s="3411"/>
      <c r="K5" s="513"/>
      <c r="L5" s="2131"/>
      <c r="M5" s="2132"/>
      <c r="N5" s="2132"/>
      <c r="O5" s="2132"/>
      <c r="P5" s="3403"/>
      <c r="Q5" s="3404"/>
      <c r="R5" s="3389"/>
      <c r="S5" s="3390"/>
      <c r="T5" s="3389"/>
      <c r="U5" s="3390"/>
      <c r="V5" s="3407"/>
      <c r="W5" s="3407"/>
      <c r="X5" s="1565"/>
      <c r="Y5" s="3389"/>
      <c r="Z5" s="3390"/>
      <c r="AA5" s="3383"/>
      <c r="AB5" s="3407"/>
      <c r="AC5" s="3383"/>
    </row>
    <row r="6" spans="1:29" ht="15.75" thickBot="1">
      <c r="A6" s="516"/>
      <c r="B6" s="517"/>
      <c r="C6" s="3408" t="s">
        <v>2932</v>
      </c>
      <c r="D6" s="3409"/>
      <c r="E6" s="3429" t="s">
        <v>2932</v>
      </c>
      <c r="F6" s="3430"/>
      <c r="G6" s="3408" t="s">
        <v>2932</v>
      </c>
      <c r="H6" s="3409"/>
      <c r="I6" s="3408" t="s">
        <v>2932</v>
      </c>
      <c r="J6" s="3409"/>
      <c r="K6" s="513" t="s">
        <v>528</v>
      </c>
      <c r="L6" s="2131"/>
      <c r="M6" s="2132"/>
      <c r="N6" s="2132"/>
      <c r="O6" s="2132"/>
      <c r="P6" s="3405"/>
      <c r="Q6" s="3406"/>
      <c r="R6" s="3389"/>
      <c r="S6" s="3390"/>
      <c r="T6" s="3391"/>
      <c r="U6" s="3392"/>
      <c r="V6" s="3407"/>
      <c r="W6" s="3407"/>
      <c r="X6" s="1565"/>
      <c r="Y6" s="3391"/>
      <c r="Z6" s="3392"/>
      <c r="AA6" s="3384"/>
      <c r="AB6" s="3407"/>
      <c r="AC6" s="3384"/>
    </row>
    <row r="7" spans="1:29" s="1217" customFormat="1" ht="15.75" thickBot="1">
      <c r="A7" s="2887"/>
      <c r="B7" s="2894" t="s">
        <v>529</v>
      </c>
      <c r="C7" s="518">
        <f>'数据-取费表'!B2</f>
        <v>43510</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85" t="s">
        <v>530</v>
      </c>
      <c r="Q7" s="3394"/>
      <c r="R7" s="1566" t="s">
        <v>8</v>
      </c>
      <c r="S7" s="1567">
        <f t="shared" ref="S7:S15" si="0">F7</f>
        <v>0</v>
      </c>
      <c r="T7" s="1566" t="s">
        <v>8</v>
      </c>
      <c r="U7" s="1567">
        <f t="shared" ref="U7:U15" si="1">H7</f>
        <v>0</v>
      </c>
      <c r="V7" s="1566" t="s">
        <v>8</v>
      </c>
      <c r="W7" s="1567">
        <f t="shared" ref="W7:W15" si="2">J7</f>
        <v>0</v>
      </c>
      <c r="X7" s="1568"/>
      <c r="Y7" s="3385" t="s">
        <v>530</v>
      </c>
      <c r="Z7" s="3386"/>
      <c r="AA7" s="1569" t="e">
        <f>D7/F7</f>
        <v>#DIV/0!</v>
      </c>
      <c r="AB7" s="1569" t="e">
        <f>D7/H7</f>
        <v>#DIV/0!</v>
      </c>
      <c r="AC7" s="1569" t="e">
        <f>D7/J7</f>
        <v>#DIV/0!</v>
      </c>
    </row>
    <row r="8" spans="1:29" s="1217" customFormat="1" ht="15.75" thickBot="1">
      <c r="A8" s="2888"/>
      <c r="B8" s="2895"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85" t="s">
        <v>533</v>
      </c>
      <c r="Q8" s="3386"/>
      <c r="R8" s="1566" t="s">
        <v>8</v>
      </c>
      <c r="S8" s="1567">
        <f t="shared" si="0"/>
        <v>0</v>
      </c>
      <c r="T8" s="1566" t="s">
        <v>8</v>
      </c>
      <c r="U8" s="1567">
        <f t="shared" si="1"/>
        <v>0</v>
      </c>
      <c r="V8" s="1566" t="s">
        <v>8</v>
      </c>
      <c r="W8" s="1567">
        <f t="shared" si="2"/>
        <v>0</v>
      </c>
      <c r="X8" s="1568"/>
      <c r="Y8" s="3385" t="s">
        <v>533</v>
      </c>
      <c r="Z8" s="3386"/>
      <c r="AA8" s="1569" t="e">
        <f t="shared" ref="AA8:AA46" si="3">D8/F8</f>
        <v>#DIV/0!</v>
      </c>
      <c r="AB8" s="1569" t="e">
        <f t="shared" ref="AB8:AB46" si="4">D8/H8</f>
        <v>#DIV/0!</v>
      </c>
      <c r="AC8" s="1569" t="e">
        <f t="shared" ref="AC8:AC46" si="5">D8/J8</f>
        <v>#DIV/0!</v>
      </c>
    </row>
    <row r="9" spans="1:29" s="1217" customFormat="1" ht="15">
      <c r="A9" s="2889"/>
      <c r="B9" s="2896" t="s">
        <v>2755</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93" t="s">
        <v>535</v>
      </c>
      <c r="Q9" s="1148" t="str">
        <f t="shared" ref="Q9:Q15" si="6">B9</f>
        <v>用途</v>
      </c>
      <c r="R9" s="1566" t="s">
        <v>8</v>
      </c>
      <c r="S9" s="1567">
        <f t="shared" si="0"/>
        <v>100</v>
      </c>
      <c r="T9" s="1566" t="s">
        <v>8</v>
      </c>
      <c r="U9" s="1567">
        <f t="shared" si="1"/>
        <v>100</v>
      </c>
      <c r="V9" s="1566" t="s">
        <v>8</v>
      </c>
      <c r="W9" s="1567">
        <f t="shared" si="2"/>
        <v>100</v>
      </c>
      <c r="X9" s="1568"/>
      <c r="Y9" s="3344" t="s">
        <v>536</v>
      </c>
      <c r="Z9" s="1147" t="str">
        <f t="shared" ref="Z9:Z15" si="7">Q9</f>
        <v>用途</v>
      </c>
      <c r="AA9" s="1569">
        <f t="shared" si="3"/>
        <v>1</v>
      </c>
      <c r="AB9" s="1569">
        <f t="shared" si="4"/>
        <v>1</v>
      </c>
      <c r="AC9" s="1569">
        <f t="shared" si="5"/>
        <v>1</v>
      </c>
    </row>
    <row r="10" spans="1:29" s="1335" customFormat="1" ht="27">
      <c r="A10" s="2890"/>
      <c r="B10" s="2895" t="s">
        <v>2756</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93"/>
      <c r="Q10" s="1148" t="str">
        <f t="shared" si="6"/>
        <v>土地使用年限（年）</v>
      </c>
      <c r="R10" s="1566" t="s">
        <v>8</v>
      </c>
      <c r="S10" s="1567">
        <f t="shared" si="0"/>
        <v>100</v>
      </c>
      <c r="T10" s="1566" t="s">
        <v>8</v>
      </c>
      <c r="U10" s="1567">
        <f t="shared" si="1"/>
        <v>100</v>
      </c>
      <c r="V10" s="1566" t="s">
        <v>8</v>
      </c>
      <c r="W10" s="1567">
        <f t="shared" si="2"/>
        <v>100</v>
      </c>
      <c r="X10" s="1568"/>
      <c r="Y10" s="3344"/>
      <c r="Z10" s="1147" t="str">
        <f t="shared" si="7"/>
        <v>土地使用年限（年）</v>
      </c>
      <c r="AA10" s="1569">
        <f t="shared" si="3"/>
        <v>1</v>
      </c>
      <c r="AB10" s="1569">
        <f t="shared" si="4"/>
        <v>1</v>
      </c>
      <c r="AC10" s="1569">
        <f t="shared" si="5"/>
        <v>1</v>
      </c>
    </row>
    <row r="11" spans="1:29" ht="15">
      <c r="A11" s="2891"/>
      <c r="B11" s="2895"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93"/>
      <c r="Q11" s="1148" t="str">
        <f t="shared" si="6"/>
        <v>容积率</v>
      </c>
      <c r="R11" s="1566" t="s">
        <v>8</v>
      </c>
      <c r="S11" s="1567" t="e">
        <f t="shared" si="0"/>
        <v>#N/A</v>
      </c>
      <c r="T11" s="1566" t="s">
        <v>8</v>
      </c>
      <c r="U11" s="1567" t="e">
        <f t="shared" si="1"/>
        <v>#N/A</v>
      </c>
      <c r="V11" s="1566" t="s">
        <v>8</v>
      </c>
      <c r="W11" s="1567" t="e">
        <f t="shared" si="2"/>
        <v>#N/A</v>
      </c>
      <c r="X11" s="1568"/>
      <c r="Y11" s="3344"/>
      <c r="Z11" s="1147" t="str">
        <f t="shared" si="7"/>
        <v>容积率</v>
      </c>
      <c r="AA11" s="1569" t="e">
        <f t="shared" si="3"/>
        <v>#N/A</v>
      </c>
      <c r="AB11" s="1569" t="e">
        <f t="shared" si="4"/>
        <v>#N/A</v>
      </c>
      <c r="AC11" s="1569" t="e">
        <f t="shared" si="5"/>
        <v>#N/A</v>
      </c>
    </row>
    <row r="12" spans="1:29" s="1217" customFormat="1" ht="15">
      <c r="A12" s="2892"/>
      <c r="B12" s="2898">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93"/>
      <c r="Q12" s="1148">
        <f t="shared" si="6"/>
        <v>111</v>
      </c>
      <c r="R12" s="1566" t="s">
        <v>8</v>
      </c>
      <c r="S12" s="1567">
        <f t="shared" si="0"/>
        <v>100</v>
      </c>
      <c r="T12" s="1566" t="s">
        <v>8</v>
      </c>
      <c r="U12" s="1567">
        <f t="shared" si="1"/>
        <v>100</v>
      </c>
      <c r="V12" s="1566" t="s">
        <v>8</v>
      </c>
      <c r="W12" s="1567">
        <f t="shared" si="2"/>
        <v>100</v>
      </c>
      <c r="X12" s="1568"/>
      <c r="Y12" s="3344"/>
      <c r="Z12" s="1147">
        <f t="shared" si="7"/>
        <v>111</v>
      </c>
      <c r="AA12" s="1569">
        <f>D12/F12</f>
        <v>1</v>
      </c>
      <c r="AB12" s="1569">
        <f>D12/H12</f>
        <v>1</v>
      </c>
      <c r="AC12" s="1569">
        <f>D12/J12</f>
        <v>1</v>
      </c>
    </row>
    <row r="13" spans="1:29" ht="15">
      <c r="A13" s="2892"/>
      <c r="B13" s="2898">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93"/>
      <c r="Q13" s="1148">
        <f t="shared" si="6"/>
        <v>111</v>
      </c>
      <c r="R13" s="1566" t="s">
        <v>8</v>
      </c>
      <c r="S13" s="1567">
        <f t="shared" si="0"/>
        <v>100</v>
      </c>
      <c r="T13" s="1566" t="s">
        <v>8</v>
      </c>
      <c r="U13" s="1567">
        <f t="shared" si="1"/>
        <v>100</v>
      </c>
      <c r="V13" s="1566" t="s">
        <v>8</v>
      </c>
      <c r="W13" s="1567">
        <f t="shared" si="2"/>
        <v>100</v>
      </c>
      <c r="X13" s="1568"/>
      <c r="Y13" s="3344"/>
      <c r="Z13" s="1147">
        <f t="shared" si="7"/>
        <v>111</v>
      </c>
      <c r="AA13" s="1569">
        <f t="shared" si="3"/>
        <v>1</v>
      </c>
      <c r="AB13" s="1569">
        <f t="shared" si="4"/>
        <v>1</v>
      </c>
      <c r="AC13" s="1569">
        <f t="shared" si="5"/>
        <v>1</v>
      </c>
    </row>
    <row r="14" spans="1:29" ht="15.75" thickBot="1">
      <c r="A14" s="2893"/>
      <c r="B14" s="2899">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93"/>
      <c r="Q14" s="1148">
        <f t="shared" si="6"/>
        <v>111</v>
      </c>
      <c r="R14" s="1566" t="s">
        <v>8</v>
      </c>
      <c r="S14" s="1567">
        <f t="shared" si="0"/>
        <v>100</v>
      </c>
      <c r="T14" s="1566" t="s">
        <v>8</v>
      </c>
      <c r="U14" s="1567">
        <f t="shared" si="1"/>
        <v>100</v>
      </c>
      <c r="V14" s="1566" t="s">
        <v>8</v>
      </c>
      <c r="W14" s="1567">
        <f t="shared" si="2"/>
        <v>100</v>
      </c>
      <c r="X14" s="1568"/>
      <c r="Y14" s="3344"/>
      <c r="Z14" s="1147">
        <f t="shared" si="7"/>
        <v>111</v>
      </c>
      <c r="AA14" s="1569">
        <f t="shared" si="3"/>
        <v>1</v>
      </c>
      <c r="AB14" s="1569">
        <f t="shared" si="4"/>
        <v>1</v>
      </c>
      <c r="AC14" s="1569">
        <f t="shared" si="5"/>
        <v>1</v>
      </c>
    </row>
    <row r="15" spans="1:29" ht="71.25">
      <c r="A15" s="2885" t="s">
        <v>2753</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95" t="s">
        <v>540</v>
      </c>
      <c r="Q15" s="1570" t="str">
        <f t="shared" si="6"/>
        <v>商业繁华度</v>
      </c>
      <c r="R15" s="1571" t="s">
        <v>8</v>
      </c>
      <c r="S15" s="1572">
        <f t="shared" si="0"/>
        <v>100</v>
      </c>
      <c r="T15" s="1571" t="s">
        <v>8</v>
      </c>
      <c r="U15" s="1572">
        <f t="shared" si="1"/>
        <v>100</v>
      </c>
      <c r="V15" s="1571" t="s">
        <v>8</v>
      </c>
      <c r="W15" s="1572">
        <f t="shared" si="2"/>
        <v>100</v>
      </c>
      <c r="X15" s="1565"/>
      <c r="Y15" s="3395"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396"/>
      <c r="Q16" s="1570"/>
      <c r="R16" s="1571"/>
      <c r="S16" s="1572"/>
      <c r="T16" s="1571"/>
      <c r="U16" s="1572"/>
      <c r="V16" s="1571"/>
      <c r="W16" s="1572"/>
      <c r="X16" s="1565"/>
      <c r="Y16" s="3396"/>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96"/>
      <c r="Q17" s="1570" t="str">
        <f>B17</f>
        <v>交通便捷度</v>
      </c>
      <c r="R17" s="1571" t="s">
        <v>8</v>
      </c>
      <c r="S17" s="1572">
        <f>F17</f>
        <v>100</v>
      </c>
      <c r="T17" s="1571" t="s">
        <v>8</v>
      </c>
      <c r="U17" s="1572">
        <f>H17</f>
        <v>100</v>
      </c>
      <c r="V17" s="1571" t="s">
        <v>8</v>
      </c>
      <c r="W17" s="1572">
        <f>J17</f>
        <v>100</v>
      </c>
      <c r="X17" s="1565"/>
      <c r="Y17" s="3396"/>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396"/>
      <c r="Q18" s="1570"/>
      <c r="R18" s="1571"/>
      <c r="S18" s="1572"/>
      <c r="T18" s="1571"/>
      <c r="U18" s="1572"/>
      <c r="V18" s="1571"/>
      <c r="W18" s="1572"/>
      <c r="X18" s="1565"/>
      <c r="Y18" s="3396"/>
      <c r="Z18" s="1573"/>
      <c r="AA18" s="1574">
        <v>1</v>
      </c>
      <c r="AB18" s="1574">
        <v>1</v>
      </c>
      <c r="AC18" s="1574">
        <v>1</v>
      </c>
    </row>
    <row r="19" spans="1:29" ht="42.75">
      <c r="A19" s="531"/>
      <c r="B19" s="2576"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96"/>
      <c r="Q19" s="1570" t="str">
        <f>B19</f>
        <v>公共配套设施</v>
      </c>
      <c r="R19" s="1571" t="s">
        <v>8</v>
      </c>
      <c r="S19" s="1572">
        <f>F19</f>
        <v>100</v>
      </c>
      <c r="T19" s="1571" t="s">
        <v>8</v>
      </c>
      <c r="U19" s="1572">
        <f>H19</f>
        <v>100</v>
      </c>
      <c r="V19" s="1571" t="s">
        <v>8</v>
      </c>
      <c r="W19" s="1572">
        <f>J19</f>
        <v>100</v>
      </c>
      <c r="X19" s="1565"/>
      <c r="Y19" s="3396"/>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0"/>
      <c r="M20" s="2132"/>
      <c r="N20" s="2132"/>
      <c r="O20" s="2139"/>
      <c r="P20" s="3396"/>
      <c r="Q20" s="1570"/>
      <c r="R20" s="1571"/>
      <c r="S20" s="1572"/>
      <c r="T20" s="1571"/>
      <c r="U20" s="1572"/>
      <c r="V20" s="1571"/>
      <c r="W20" s="1572"/>
      <c r="X20" s="1565"/>
      <c r="Y20" s="3396"/>
      <c r="Z20" s="1573"/>
      <c r="AA20" s="1574">
        <v>1</v>
      </c>
      <c r="AB20" s="1574">
        <v>1</v>
      </c>
      <c r="AC20" s="1574">
        <v>1</v>
      </c>
    </row>
    <row r="21" spans="1:29" ht="28.5">
      <c r="A21" s="531"/>
      <c r="B21" s="2569"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96"/>
      <c r="Q21" s="2555" t="str">
        <f>B21</f>
        <v>基础设施水平</v>
      </c>
      <c r="R21" s="1571" t="s">
        <v>8</v>
      </c>
      <c r="S21" s="1572">
        <f>F21</f>
        <v>100</v>
      </c>
      <c r="T21" s="1571" t="s">
        <v>8</v>
      </c>
      <c r="U21" s="1572">
        <f>H21</f>
        <v>100</v>
      </c>
      <c r="V21" s="1571" t="s">
        <v>8</v>
      </c>
      <c r="W21" s="1572">
        <f>J21</f>
        <v>100</v>
      </c>
      <c r="X21" s="2557"/>
      <c r="Y21" s="3396"/>
      <c r="Z21" s="2556"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8"/>
      <c r="L22" s="2140"/>
      <c r="M22" s="2132"/>
      <c r="N22" s="2132"/>
      <c r="O22" s="2139"/>
      <c r="P22" s="3396"/>
      <c r="Q22" s="2555"/>
      <c r="R22" s="1571"/>
      <c r="S22" s="1572"/>
      <c r="T22" s="1571"/>
      <c r="U22" s="1572"/>
      <c r="V22" s="1571"/>
      <c r="W22" s="1572"/>
      <c r="X22" s="2557"/>
      <c r="Y22" s="3396"/>
      <c r="Z22" s="2556"/>
      <c r="AA22" s="1574">
        <v>1</v>
      </c>
      <c r="AB22" s="1574">
        <v>1</v>
      </c>
      <c r="AC22" s="1574">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96"/>
      <c r="Q23" s="1570" t="str">
        <f>B23</f>
        <v>自然及人文环境</v>
      </c>
      <c r="R23" s="1571" t="s">
        <v>8</v>
      </c>
      <c r="S23" s="1572">
        <f>F23</f>
        <v>100</v>
      </c>
      <c r="T23" s="1571" t="s">
        <v>8</v>
      </c>
      <c r="U23" s="1572">
        <f>H23</f>
        <v>100</v>
      </c>
      <c r="V23" s="1571" t="s">
        <v>8</v>
      </c>
      <c r="W23" s="1572">
        <f>J23</f>
        <v>100</v>
      </c>
      <c r="X23" s="1565"/>
      <c r="Y23" s="3396"/>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0"/>
      <c r="M24" s="2132"/>
      <c r="N24" s="2132"/>
      <c r="O24" s="2139"/>
      <c r="P24" s="3396"/>
      <c r="Q24" s="1570"/>
      <c r="R24" s="1571"/>
      <c r="S24" s="1572"/>
      <c r="T24" s="1571"/>
      <c r="U24" s="1572"/>
      <c r="V24" s="1571"/>
      <c r="W24" s="1572"/>
      <c r="X24" s="1565"/>
      <c r="Y24" s="3396"/>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96"/>
      <c r="Q25" s="1570" t="str">
        <f t="shared" ref="Q25:Q46" si="11">B25</f>
        <v>临街状况</v>
      </c>
      <c r="R25" s="1571" t="s">
        <v>8</v>
      </c>
      <c r="S25" s="1572">
        <f>F25</f>
        <v>100</v>
      </c>
      <c r="T25" s="1571" t="s">
        <v>8</v>
      </c>
      <c r="U25" s="1572">
        <f>H25</f>
        <v>100</v>
      </c>
      <c r="V25" s="1571" t="s">
        <v>8</v>
      </c>
      <c r="W25" s="1572">
        <f>J25</f>
        <v>100</v>
      </c>
      <c r="X25" s="1565"/>
      <c r="Y25" s="3396"/>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96"/>
      <c r="Q26" s="1570" t="str">
        <f t="shared" si="11"/>
        <v>平面位置/可视性</v>
      </c>
      <c r="R26" s="1571" t="s">
        <v>8</v>
      </c>
      <c r="S26" s="1572">
        <f>F26</f>
        <v>100</v>
      </c>
      <c r="T26" s="1571" t="s">
        <v>8</v>
      </c>
      <c r="U26" s="1572">
        <f>H26</f>
        <v>100</v>
      </c>
      <c r="V26" s="1571" t="s">
        <v>8</v>
      </c>
      <c r="W26" s="1572">
        <f>J26</f>
        <v>100</v>
      </c>
      <c r="X26" s="1565"/>
      <c r="Y26" s="3396"/>
      <c r="Z26" s="1573" t="str">
        <f>Q26</f>
        <v>平面位置/可视性</v>
      </c>
      <c r="AA26" s="1574">
        <f t="shared" si="3"/>
        <v>1</v>
      </c>
      <c r="AB26" s="1574">
        <f t="shared" si="4"/>
        <v>1</v>
      </c>
      <c r="AC26" s="1574">
        <f t="shared" si="5"/>
        <v>1</v>
      </c>
    </row>
    <row r="27" spans="1:29" s="1217"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96"/>
      <c r="Q27" s="1148" t="str">
        <f t="shared" si="11"/>
        <v>人流量</v>
      </c>
      <c r="R27" s="1566" t="s">
        <v>8</v>
      </c>
      <c r="S27" s="1567">
        <f>F27</f>
        <v>100</v>
      </c>
      <c r="T27" s="1566" t="s">
        <v>8</v>
      </c>
      <c r="U27" s="1567">
        <f>H27</f>
        <v>100</v>
      </c>
      <c r="V27" s="1566" t="s">
        <v>8</v>
      </c>
      <c r="W27" s="1567">
        <f>J27</f>
        <v>100</v>
      </c>
      <c r="X27" s="1568"/>
      <c r="Y27" s="3396"/>
      <c r="Z27" s="1147"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96"/>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6"/>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96"/>
      <c r="Q29" s="1570">
        <f t="shared" si="11"/>
        <v>111</v>
      </c>
      <c r="R29" s="1571" t="s">
        <v>8</v>
      </c>
      <c r="S29" s="1572">
        <f t="shared" si="12"/>
        <v>100</v>
      </c>
      <c r="T29" s="1571" t="s">
        <v>8</v>
      </c>
      <c r="U29" s="1572">
        <f t="shared" si="13"/>
        <v>100</v>
      </c>
      <c r="V29" s="1571" t="s">
        <v>8</v>
      </c>
      <c r="W29" s="1572">
        <f t="shared" si="14"/>
        <v>100</v>
      </c>
      <c r="X29" s="1565"/>
      <c r="Y29" s="3396"/>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96"/>
      <c r="Q30" s="1570">
        <f t="shared" si="11"/>
        <v>111</v>
      </c>
      <c r="R30" s="1571" t="s">
        <v>8</v>
      </c>
      <c r="S30" s="1572">
        <f t="shared" si="12"/>
        <v>100</v>
      </c>
      <c r="T30" s="1571" t="s">
        <v>8</v>
      </c>
      <c r="U30" s="1572">
        <f t="shared" si="13"/>
        <v>100</v>
      </c>
      <c r="V30" s="1571" t="s">
        <v>8</v>
      </c>
      <c r="W30" s="1572">
        <f t="shared" si="14"/>
        <v>100</v>
      </c>
      <c r="X30" s="1565"/>
      <c r="Y30" s="3396"/>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96"/>
      <c r="Q31" s="1570">
        <f t="shared" si="11"/>
        <v>111</v>
      </c>
      <c r="R31" s="1571" t="s">
        <v>8</v>
      </c>
      <c r="S31" s="1572">
        <f t="shared" si="12"/>
        <v>100</v>
      </c>
      <c r="T31" s="1571" t="s">
        <v>8</v>
      </c>
      <c r="U31" s="1572">
        <f t="shared" si="13"/>
        <v>100</v>
      </c>
      <c r="V31" s="1571" t="s">
        <v>8</v>
      </c>
      <c r="W31" s="1572">
        <f t="shared" si="14"/>
        <v>100</v>
      </c>
      <c r="X31" s="1565"/>
      <c r="Y31" s="3396"/>
      <c r="Z31" s="1573">
        <f t="shared" si="15"/>
        <v>111</v>
      </c>
      <c r="AA31" s="1574">
        <f t="shared" si="3"/>
        <v>1</v>
      </c>
      <c r="AB31" s="1574">
        <f t="shared" si="4"/>
        <v>1</v>
      </c>
      <c r="AC31" s="1574">
        <f t="shared" si="5"/>
        <v>1</v>
      </c>
    </row>
    <row r="32" spans="1:29" ht="15">
      <c r="A32" s="2882"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97" t="s">
        <v>550</v>
      </c>
      <c r="Q32" s="1570" t="str">
        <f t="shared" si="11"/>
        <v>商业类型</v>
      </c>
      <c r="R32" s="1571" t="s">
        <v>8</v>
      </c>
      <c r="S32" s="1572">
        <f t="shared" si="12"/>
        <v>100</v>
      </c>
      <c r="T32" s="1571" t="s">
        <v>8</v>
      </c>
      <c r="U32" s="1572">
        <f t="shared" si="13"/>
        <v>100</v>
      </c>
      <c r="V32" s="1571" t="s">
        <v>8</v>
      </c>
      <c r="W32" s="1572">
        <f t="shared" si="14"/>
        <v>100</v>
      </c>
      <c r="X32" s="1565"/>
      <c r="Y32" s="3398" t="s">
        <v>550</v>
      </c>
      <c r="Z32" s="1573" t="str">
        <f t="shared" si="15"/>
        <v>商业类型</v>
      </c>
      <c r="AA32" s="1574">
        <f t="shared" si="3"/>
        <v>1</v>
      </c>
      <c r="AB32" s="1574">
        <f t="shared" si="4"/>
        <v>1</v>
      </c>
      <c r="AC32" s="1574">
        <f t="shared" si="5"/>
        <v>1</v>
      </c>
    </row>
    <row r="33" spans="1:29" s="1336"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98"/>
      <c r="Q33" s="1603" t="str">
        <f t="shared" si="11"/>
        <v>项目建筑规模</v>
      </c>
      <c r="R33" s="1575" t="s">
        <v>8</v>
      </c>
      <c r="S33" s="1576" t="e">
        <f t="shared" si="12"/>
        <v>#N/A</v>
      </c>
      <c r="T33" s="1575" t="s">
        <v>8</v>
      </c>
      <c r="U33" s="1576" t="e">
        <f t="shared" si="13"/>
        <v>#N/A</v>
      </c>
      <c r="V33" s="1575" t="s">
        <v>8</v>
      </c>
      <c r="W33" s="1576" t="e">
        <f t="shared" si="14"/>
        <v>#N/A</v>
      </c>
      <c r="X33" s="1577"/>
      <c r="Y33" s="3398"/>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98"/>
      <c r="Q34" s="1570" t="str">
        <f t="shared" si="11"/>
        <v>建筑结构</v>
      </c>
      <c r="R34" s="1571" t="s">
        <v>8</v>
      </c>
      <c r="S34" s="1572">
        <f t="shared" si="12"/>
        <v>100</v>
      </c>
      <c r="T34" s="1571" t="s">
        <v>8</v>
      </c>
      <c r="U34" s="1572">
        <f t="shared" si="13"/>
        <v>100</v>
      </c>
      <c r="V34" s="1571" t="s">
        <v>8</v>
      </c>
      <c r="W34" s="1572">
        <f t="shared" si="14"/>
        <v>100</v>
      </c>
      <c r="X34" s="1565"/>
      <c r="Y34" s="3398"/>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98"/>
      <c r="Q35" s="1570" t="str">
        <f t="shared" si="11"/>
        <v>公共部分装修</v>
      </c>
      <c r="R35" s="1571" t="s">
        <v>8</v>
      </c>
      <c r="S35" s="1572">
        <f t="shared" si="12"/>
        <v>100</v>
      </c>
      <c r="T35" s="1571" t="s">
        <v>8</v>
      </c>
      <c r="U35" s="1572">
        <f t="shared" si="13"/>
        <v>100</v>
      </c>
      <c r="V35" s="1571" t="s">
        <v>8</v>
      </c>
      <c r="W35" s="1572">
        <f t="shared" si="14"/>
        <v>100</v>
      </c>
      <c r="X35" s="1565"/>
      <c r="Y35" s="3398"/>
      <c r="Z35" s="1573" t="str">
        <f t="shared" si="15"/>
        <v>公共部分装修</v>
      </c>
      <c r="AA35" s="1574">
        <f t="shared" si="3"/>
        <v>1</v>
      </c>
      <c r="AB35" s="1574">
        <f t="shared" si="4"/>
        <v>1</v>
      </c>
      <c r="AC35" s="1574">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98"/>
      <c r="Q36" s="1570" t="str">
        <f t="shared" si="11"/>
        <v>成新度</v>
      </c>
      <c r="R36" s="1571" t="s">
        <v>8</v>
      </c>
      <c r="S36" s="1572" t="e">
        <f t="shared" si="12"/>
        <v>#N/A</v>
      </c>
      <c r="T36" s="1571" t="s">
        <v>8</v>
      </c>
      <c r="U36" s="1572" t="e">
        <f t="shared" si="13"/>
        <v>#N/A</v>
      </c>
      <c r="V36" s="1571" t="s">
        <v>8</v>
      </c>
      <c r="W36" s="1572" t="e">
        <f t="shared" si="14"/>
        <v>#N/A</v>
      </c>
      <c r="X36" s="1565"/>
      <c r="Y36" s="3398"/>
      <c r="Z36" s="1573" t="str">
        <f t="shared" si="15"/>
        <v>成新度</v>
      </c>
      <c r="AA36" s="1574" t="e">
        <f t="shared" si="3"/>
        <v>#N/A</v>
      </c>
      <c r="AB36" s="1574" t="e">
        <f t="shared" si="4"/>
        <v>#N/A</v>
      </c>
      <c r="AC36" s="1574" t="e">
        <f t="shared" si="5"/>
        <v>#N/A</v>
      </c>
    </row>
    <row r="37" spans="1:29" s="1217"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98"/>
      <c r="Q37" s="1148" t="str">
        <f t="shared" si="11"/>
        <v>市政基础设施</v>
      </c>
      <c r="R37" s="1566" t="s">
        <v>8</v>
      </c>
      <c r="S37" s="1567">
        <f t="shared" si="12"/>
        <v>100</v>
      </c>
      <c r="T37" s="1566" t="s">
        <v>8</v>
      </c>
      <c r="U37" s="1567">
        <f t="shared" si="13"/>
        <v>100</v>
      </c>
      <c r="V37" s="1566" t="s">
        <v>8</v>
      </c>
      <c r="W37" s="1567">
        <f t="shared" si="14"/>
        <v>100</v>
      </c>
      <c r="X37" s="1568"/>
      <c r="Y37" s="3398"/>
      <c r="Z37" s="1147"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98" t="s">
        <v>766</v>
      </c>
      <c r="Q38" s="1570" t="str">
        <f t="shared" si="11"/>
        <v>业态</v>
      </c>
      <c r="R38" s="1571" t="s">
        <v>8</v>
      </c>
      <c r="S38" s="1572">
        <f t="shared" si="12"/>
        <v>100</v>
      </c>
      <c r="T38" s="1571" t="s">
        <v>8</v>
      </c>
      <c r="U38" s="1572">
        <f t="shared" si="13"/>
        <v>100</v>
      </c>
      <c r="V38" s="1571" t="s">
        <v>8</v>
      </c>
      <c r="W38" s="1572">
        <f t="shared" si="14"/>
        <v>100</v>
      </c>
      <c r="X38" s="1565"/>
      <c r="Y38" s="3398"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8"/>
      <c r="Q39" s="1570" t="str">
        <f t="shared" si="11"/>
        <v>层高</v>
      </c>
      <c r="R39" s="1571" t="s">
        <v>8</v>
      </c>
      <c r="S39" s="1572">
        <f t="shared" si="12"/>
        <v>100</v>
      </c>
      <c r="T39" s="1571" t="s">
        <v>8</v>
      </c>
      <c r="U39" s="1572">
        <f t="shared" si="13"/>
        <v>100</v>
      </c>
      <c r="V39" s="1571" t="s">
        <v>8</v>
      </c>
      <c r="W39" s="1572">
        <f t="shared" si="14"/>
        <v>100</v>
      </c>
      <c r="X39" s="1565"/>
      <c r="Y39" s="3398"/>
      <c r="Z39" s="1573" t="str">
        <f t="shared" si="15"/>
        <v>层高</v>
      </c>
      <c r="AA39" s="1574">
        <f t="shared" si="3"/>
        <v>1</v>
      </c>
      <c r="AB39" s="1574">
        <f t="shared" si="4"/>
        <v>1</v>
      </c>
      <c r="AC39" s="1574">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98"/>
      <c r="Q40" s="1570" t="str">
        <f t="shared" si="11"/>
        <v>单套建筑面积</v>
      </c>
      <c r="R40" s="1571" t="s">
        <v>8</v>
      </c>
      <c r="S40" s="1572">
        <f t="shared" si="12"/>
        <v>100</v>
      </c>
      <c r="T40" s="1571" t="s">
        <v>8</v>
      </c>
      <c r="U40" s="1572">
        <f t="shared" si="13"/>
        <v>100</v>
      </c>
      <c r="V40" s="1571" t="s">
        <v>8</v>
      </c>
      <c r="W40" s="1572">
        <f t="shared" si="14"/>
        <v>100</v>
      </c>
      <c r="X40" s="1565"/>
      <c r="Y40" s="3398"/>
      <c r="Z40" s="1573" t="str">
        <f t="shared" si="15"/>
        <v>单套建筑面积</v>
      </c>
      <c r="AA40" s="1574">
        <f t="shared" si="3"/>
        <v>1</v>
      </c>
      <c r="AB40" s="1574">
        <f t="shared" si="4"/>
        <v>1</v>
      </c>
      <c r="AC40" s="1574">
        <f t="shared" si="5"/>
        <v>1</v>
      </c>
    </row>
    <row r="41" spans="1:29" s="1336"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98"/>
      <c r="Q41" s="1603" t="str">
        <f t="shared" si="11"/>
        <v>进深比</v>
      </c>
      <c r="R41" s="1575" t="s">
        <v>8</v>
      </c>
      <c r="S41" s="1576">
        <f t="shared" si="12"/>
        <v>100</v>
      </c>
      <c r="T41" s="1575" t="s">
        <v>8</v>
      </c>
      <c r="U41" s="1576">
        <f t="shared" si="13"/>
        <v>100</v>
      </c>
      <c r="V41" s="1575" t="s">
        <v>8</v>
      </c>
      <c r="W41" s="1576">
        <f t="shared" si="14"/>
        <v>100</v>
      </c>
      <c r="X41" s="1577"/>
      <c r="Y41" s="3398"/>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98"/>
      <c r="Q42" s="1570" t="str">
        <f t="shared" si="11"/>
        <v>内部装修</v>
      </c>
      <c r="R42" s="1571" t="s">
        <v>8</v>
      </c>
      <c r="S42" s="1572">
        <f t="shared" si="12"/>
        <v>100</v>
      </c>
      <c r="T42" s="1571" t="s">
        <v>8</v>
      </c>
      <c r="U42" s="1572">
        <f t="shared" si="13"/>
        <v>100</v>
      </c>
      <c r="V42" s="1571" t="s">
        <v>8</v>
      </c>
      <c r="W42" s="1572">
        <f t="shared" si="14"/>
        <v>100</v>
      </c>
      <c r="X42" s="1565"/>
      <c r="Y42" s="3398"/>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98"/>
      <c r="Q43" s="1570" t="str">
        <f t="shared" si="11"/>
        <v>内部装修维护情况</v>
      </c>
      <c r="R43" s="1571" t="s">
        <v>8</v>
      </c>
      <c r="S43" s="1572">
        <f t="shared" si="12"/>
        <v>100</v>
      </c>
      <c r="T43" s="1571" t="s">
        <v>8</v>
      </c>
      <c r="U43" s="1572">
        <f t="shared" si="13"/>
        <v>100</v>
      </c>
      <c r="V43" s="1571" t="s">
        <v>8</v>
      </c>
      <c r="W43" s="1572">
        <f t="shared" si="14"/>
        <v>100</v>
      </c>
      <c r="X43" s="1565"/>
      <c r="Y43" s="3398"/>
      <c r="Z43" s="1573" t="str">
        <f t="shared" si="15"/>
        <v>内部装修维护情况</v>
      </c>
      <c r="AA43" s="1574">
        <f t="shared" si="3"/>
        <v>1</v>
      </c>
      <c r="AB43" s="1574">
        <f t="shared" si="4"/>
        <v>1</v>
      </c>
      <c r="AC43" s="1574">
        <f t="shared" si="5"/>
        <v>1</v>
      </c>
    </row>
    <row r="44" spans="1:29" s="1217"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98"/>
      <c r="Q44" s="1148">
        <f t="shared" si="11"/>
        <v>111</v>
      </c>
      <c r="R44" s="1566" t="s">
        <v>8</v>
      </c>
      <c r="S44" s="1567">
        <f t="shared" si="12"/>
        <v>100</v>
      </c>
      <c r="T44" s="1566" t="s">
        <v>8</v>
      </c>
      <c r="U44" s="1567">
        <f t="shared" si="13"/>
        <v>100</v>
      </c>
      <c r="V44" s="1566" t="s">
        <v>8</v>
      </c>
      <c r="W44" s="1567">
        <f t="shared" si="14"/>
        <v>100</v>
      </c>
      <c r="X44" s="1568"/>
      <c r="Y44" s="3398"/>
      <c r="Z44" s="1147">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98"/>
      <c r="Q45" s="1570">
        <f t="shared" si="11"/>
        <v>111</v>
      </c>
      <c r="R45" s="1571" t="s">
        <v>8</v>
      </c>
      <c r="S45" s="1572">
        <f t="shared" si="12"/>
        <v>100</v>
      </c>
      <c r="T45" s="1571" t="s">
        <v>8</v>
      </c>
      <c r="U45" s="1572">
        <f t="shared" si="13"/>
        <v>100</v>
      </c>
      <c r="V45" s="1571" t="s">
        <v>8</v>
      </c>
      <c r="W45" s="1572">
        <f t="shared" si="14"/>
        <v>100</v>
      </c>
      <c r="X45" s="1565"/>
      <c r="Y45" s="3398"/>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8"/>
      <c r="Q46" s="1570">
        <f t="shared" si="11"/>
        <v>111</v>
      </c>
      <c r="R46" s="1571" t="s">
        <v>8</v>
      </c>
      <c r="S46" s="1572">
        <f t="shared" si="12"/>
        <v>100</v>
      </c>
      <c r="T46" s="1571" t="s">
        <v>8</v>
      </c>
      <c r="U46" s="1572">
        <f t="shared" si="13"/>
        <v>100</v>
      </c>
      <c r="V46" s="1571" t="s">
        <v>8</v>
      </c>
      <c r="W46" s="1572">
        <f t="shared" si="14"/>
        <v>100</v>
      </c>
      <c r="X46" s="1565"/>
      <c r="Y46" s="3498"/>
      <c r="Z46" s="1573">
        <f t="shared" si="15"/>
        <v>111</v>
      </c>
      <c r="AA46" s="1574">
        <f t="shared" si="3"/>
        <v>1</v>
      </c>
      <c r="AB46" s="1574">
        <f t="shared" si="4"/>
        <v>1</v>
      </c>
      <c r="AC46" s="1574">
        <f t="shared" si="5"/>
        <v>1</v>
      </c>
    </row>
    <row r="47" spans="1:29" ht="15">
      <c r="A47" s="606" t="s">
        <v>736</v>
      </c>
      <c r="B47" s="886"/>
      <c r="C47" s="2603" t="s">
        <v>1</v>
      </c>
      <c r="D47" s="2604"/>
      <c r="E47" s="2605"/>
      <c r="F47" s="2606"/>
      <c r="G47" s="2607"/>
      <c r="H47" s="2608"/>
      <c r="I47" s="2605"/>
      <c r="J47" s="2608"/>
      <c r="K47" s="1609"/>
      <c r="L47" s="2142"/>
      <c r="M47" s="2143"/>
      <c r="N47" s="2132"/>
      <c r="O47" s="2143"/>
      <c r="P47" s="3393" t="str">
        <f>A47</f>
        <v>成交单价（元/平方米）</v>
      </c>
      <c r="Q47" s="3393"/>
      <c r="R47" s="3497">
        <f>E47</f>
        <v>0</v>
      </c>
      <c r="S47" s="3497"/>
      <c r="T47" s="3497">
        <f>G47</f>
        <v>0</v>
      </c>
      <c r="U47" s="3497"/>
      <c r="V47" s="3497">
        <f>I47</f>
        <v>0</v>
      </c>
      <c r="W47" s="3497"/>
      <c r="X47" s="1557"/>
      <c r="Y47" s="1579"/>
      <c r="Z47" s="1557"/>
      <c r="AA47" s="1557"/>
      <c r="AB47" s="1557"/>
      <c r="AC47" s="1557"/>
    </row>
    <row r="48" spans="1:29" ht="15.75" thickBot="1">
      <c r="A48" s="614" t="s">
        <v>2759</v>
      </c>
      <c r="B48" s="887"/>
      <c r="C48" s="2609" t="e">
        <f>R49</f>
        <v>#DIV/0!</v>
      </c>
      <c r="D48" s="2610"/>
      <c r="E48" s="2611" t="e">
        <f>R48</f>
        <v>#DIV/0!</v>
      </c>
      <c r="F48" s="2611"/>
      <c r="G48" s="2609" t="e">
        <f>T48</f>
        <v>#DIV/0!</v>
      </c>
      <c r="H48" s="2610"/>
      <c r="I48" s="2611" t="e">
        <f>V48</f>
        <v>#DIV/0!</v>
      </c>
      <c r="J48" s="2610"/>
      <c r="K48" s="1610"/>
      <c r="L48" s="2142"/>
      <c r="M48" s="2143"/>
      <c r="N48" s="2132"/>
      <c r="O48" s="2143"/>
      <c r="P48" s="3393" t="str">
        <f>A48</f>
        <v>比较价格（元/平方米）</v>
      </c>
      <c r="Q48" s="3393"/>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57"/>
      <c r="Y48" s="1557"/>
      <c r="Z48" s="1557"/>
      <c r="AA48" s="1557"/>
      <c r="AB48" s="1557"/>
      <c r="AC48" s="1557"/>
    </row>
    <row r="49" spans="1:29" ht="15.75" thickBot="1">
      <c r="A49" s="620" t="s">
        <v>2934</v>
      </c>
      <c r="B49" s="621"/>
      <c r="C49" s="2612" t="e">
        <f>R49</f>
        <v>#DIV/0!</v>
      </c>
      <c r="D49" s="2612"/>
      <c r="E49" s="2612"/>
      <c r="F49" s="2612"/>
      <c r="G49" s="2612"/>
      <c r="H49" s="2612"/>
      <c r="I49" s="2612"/>
      <c r="J49" s="2612"/>
      <c r="K49" s="1611"/>
      <c r="L49" s="2142"/>
      <c r="M49" s="2143"/>
      <c r="N49" s="2132"/>
      <c r="O49" s="2143"/>
      <c r="P49" s="3417" t="str">
        <f>A49</f>
        <v>估价对象XX用房的比较价格（楼面单价，元/平方米）</v>
      </c>
      <c r="Q49" s="3418"/>
      <c r="R49" s="3496" t="e">
        <f>IF(F1="售价",ROUND(AVERAGE(R48:V48),0),ROUND(AVERAGE(R48:V48),1))</f>
        <v>#DIV/0!</v>
      </c>
      <c r="S49" s="3496"/>
      <c r="T49" s="3496"/>
      <c r="U49" s="3496"/>
      <c r="V49" s="3496"/>
      <c r="W49" s="3496"/>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529</v>
      </c>
      <c r="B58" s="645"/>
      <c r="C58" s="2777" t="str">
        <f>YEAR(C7)&amp;"-"&amp;MONTH(C7)</f>
        <v>2019-2</v>
      </c>
      <c r="D58" s="2779">
        <f>EDATE(C58,-1)</f>
        <v>43466</v>
      </c>
      <c r="E58" s="2779">
        <f t="shared" ref="E58:O58" si="16">EDATE(D58,-1)</f>
        <v>43435</v>
      </c>
      <c r="F58" s="2779">
        <f t="shared" si="16"/>
        <v>43405</v>
      </c>
      <c r="G58" s="2779">
        <f t="shared" si="16"/>
        <v>43374</v>
      </c>
      <c r="H58" s="2779">
        <f t="shared" si="16"/>
        <v>43344</v>
      </c>
      <c r="I58" s="2779">
        <f t="shared" si="16"/>
        <v>43313</v>
      </c>
      <c r="J58" s="2779">
        <f t="shared" si="16"/>
        <v>43282</v>
      </c>
      <c r="K58" s="2779">
        <f t="shared" si="16"/>
        <v>43252</v>
      </c>
      <c r="L58" s="2779">
        <f t="shared" si="16"/>
        <v>43221</v>
      </c>
      <c r="M58" s="2779">
        <f t="shared" si="16"/>
        <v>43191</v>
      </c>
      <c r="N58" s="2779">
        <f t="shared" si="16"/>
        <v>43160</v>
      </c>
      <c r="O58" s="2779">
        <f t="shared" si="16"/>
        <v>43132</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7"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7"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2"/>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3" t="s">
        <v>2558</v>
      </c>
      <c r="C82" s="2574" t="s">
        <v>2559</v>
      </c>
      <c r="D82" s="2574" t="s">
        <v>2560</v>
      </c>
      <c r="E82" s="2574" t="s">
        <v>2561</v>
      </c>
      <c r="F82" s="2574" t="s">
        <v>2562</v>
      </c>
      <c r="G82" s="2574" t="s">
        <v>2563</v>
      </c>
      <c r="H82" s="673"/>
      <c r="I82" s="673"/>
      <c r="J82" s="673"/>
      <c r="K82" s="673"/>
      <c r="L82" s="673"/>
      <c r="M82" s="2577"/>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C96" sqref="C96:G96"/>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777</v>
      </c>
      <c r="C1" s="503" t="s">
        <v>720</v>
      </c>
      <c r="D1" s="848" t="s">
        <v>3293</v>
      </c>
      <c r="E1" s="505"/>
      <c r="F1" s="2782" t="s">
        <v>3007</v>
      </c>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2" t="s">
        <v>467</v>
      </c>
      <c r="B2" s="849">
        <f>ROUND(B3*D3/10000,0)</f>
        <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8" t="s">
        <v>519</v>
      </c>
      <c r="B3" s="509">
        <f>C50</f>
        <v>49993</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521</v>
      </c>
      <c r="B4" s="512"/>
      <c r="C4" s="3399" t="s">
        <v>522</v>
      </c>
      <c r="D4" s="3400"/>
      <c r="E4" s="3426" t="s">
        <v>523</v>
      </c>
      <c r="F4" s="3427"/>
      <c r="G4" s="3399" t="s">
        <v>524</v>
      </c>
      <c r="H4" s="3400"/>
      <c r="I4" s="3399" t="s">
        <v>525</v>
      </c>
      <c r="J4" s="3400"/>
      <c r="K4" s="513" t="s">
        <v>526</v>
      </c>
      <c r="L4" s="2131"/>
      <c r="M4" s="2132"/>
      <c r="N4" s="2132"/>
      <c r="O4" s="2132"/>
      <c r="P4" s="3500" t="s">
        <v>527</v>
      </c>
      <c r="Q4" s="3402"/>
      <c r="R4" s="3387" t="s">
        <v>523</v>
      </c>
      <c r="S4" s="3388"/>
      <c r="T4" s="3387" t="s">
        <v>524</v>
      </c>
      <c r="U4" s="3388"/>
      <c r="V4" s="3407" t="s">
        <v>525</v>
      </c>
      <c r="W4" s="3407"/>
      <c r="X4" s="1565"/>
      <c r="Y4" s="3387" t="s">
        <v>527</v>
      </c>
      <c r="Z4" s="3388"/>
      <c r="AA4" s="3382" t="s">
        <v>523</v>
      </c>
      <c r="AB4" s="3382" t="s">
        <v>524</v>
      </c>
      <c r="AC4" s="3382" t="s">
        <v>525</v>
      </c>
    </row>
    <row r="5" spans="1:29" ht="15">
      <c r="A5" s="514"/>
      <c r="B5" s="515"/>
      <c r="C5" s="3410" t="s">
        <v>2928</v>
      </c>
      <c r="D5" s="3411"/>
      <c r="E5" s="3415" t="s">
        <v>3290</v>
      </c>
      <c r="F5" s="3416"/>
      <c r="G5" s="3493" t="s">
        <v>3306</v>
      </c>
      <c r="H5" s="3411"/>
      <c r="I5" s="3493" t="s">
        <v>3309</v>
      </c>
      <c r="J5" s="3411"/>
      <c r="K5" s="513"/>
      <c r="L5" s="2131"/>
      <c r="M5" s="2132"/>
      <c r="N5" s="2132"/>
      <c r="O5" s="2132"/>
      <c r="P5" s="3501"/>
      <c r="Q5" s="3404"/>
      <c r="R5" s="3389"/>
      <c r="S5" s="3390"/>
      <c r="T5" s="3389"/>
      <c r="U5" s="3390"/>
      <c r="V5" s="3407"/>
      <c r="W5" s="3407"/>
      <c r="X5" s="1565"/>
      <c r="Y5" s="3389"/>
      <c r="Z5" s="3390"/>
      <c r="AA5" s="3383"/>
      <c r="AB5" s="3383"/>
      <c r="AC5" s="3383"/>
    </row>
    <row r="6" spans="1:29" ht="33.75" customHeight="1" thickBot="1">
      <c r="A6" s="516"/>
      <c r="B6" s="517"/>
      <c r="C6" s="3408" t="s">
        <v>2932</v>
      </c>
      <c r="D6" s="3409"/>
      <c r="E6" s="3499" t="s">
        <v>3291</v>
      </c>
      <c r="F6" s="3430"/>
      <c r="G6" s="3495" t="s">
        <v>3307</v>
      </c>
      <c r="H6" s="3409"/>
      <c r="I6" s="3495" t="s">
        <v>3310</v>
      </c>
      <c r="J6" s="3409"/>
      <c r="K6" s="513" t="s">
        <v>528</v>
      </c>
      <c r="L6" s="2131"/>
      <c r="M6" s="2132"/>
      <c r="N6" s="2132"/>
      <c r="O6" s="2132"/>
      <c r="P6" s="3502"/>
      <c r="Q6" s="3406"/>
      <c r="R6" s="3389"/>
      <c r="S6" s="3390"/>
      <c r="T6" s="3391"/>
      <c r="U6" s="3392"/>
      <c r="V6" s="3407"/>
      <c r="W6" s="3407"/>
      <c r="X6" s="1565"/>
      <c r="Y6" s="3391"/>
      <c r="Z6" s="3392"/>
      <c r="AA6" s="3384"/>
      <c r="AB6" s="3384"/>
      <c r="AC6" s="3384"/>
    </row>
    <row r="7" spans="1:29" s="1217" customFormat="1" ht="15.75" thickBot="1">
      <c r="A7" s="2887"/>
      <c r="B7" s="2894" t="s">
        <v>529</v>
      </c>
      <c r="C7" s="518">
        <f>'数据-取费表'!B2</f>
        <v>43510</v>
      </c>
      <c r="D7" s="519">
        <v>100</v>
      </c>
      <c r="E7" s="520">
        <v>43497</v>
      </c>
      <c r="F7" s="521">
        <f>SUMIF(59:59,YEAR(E7)&amp;"-"&amp;MONTH(E7),60:60)</f>
        <v>100</v>
      </c>
      <c r="G7" s="520">
        <v>43497</v>
      </c>
      <c r="H7" s="519">
        <f>SUMIF(59:59,YEAR(G7)&amp;"-"&amp;MONTH(G7),60:60)</f>
        <v>100</v>
      </c>
      <c r="I7" s="520">
        <v>43497</v>
      </c>
      <c r="J7" s="519">
        <f>SUMIF(59:59,YEAR(I7)&amp;"-"&amp;MONTH(I7),60:60)</f>
        <v>100</v>
      </c>
      <c r="K7" s="523"/>
      <c r="L7" s="2133"/>
      <c r="M7" s="2134"/>
      <c r="N7" s="2134"/>
      <c r="O7" s="2134"/>
      <c r="P7" s="3394" t="s">
        <v>530</v>
      </c>
      <c r="Q7" s="3394"/>
      <c r="R7" s="1566" t="s">
        <v>8</v>
      </c>
      <c r="S7" s="1567">
        <f t="shared" ref="S7:S15" si="0">F7</f>
        <v>100</v>
      </c>
      <c r="T7" s="1566" t="s">
        <v>8</v>
      </c>
      <c r="U7" s="1567">
        <f t="shared" ref="U7:U15" si="1">H7</f>
        <v>100</v>
      </c>
      <c r="V7" s="1566" t="s">
        <v>8</v>
      </c>
      <c r="W7" s="1567">
        <f t="shared" ref="W7:W15" si="2">J7</f>
        <v>100</v>
      </c>
      <c r="X7" s="1568"/>
      <c r="Y7" s="3385" t="s">
        <v>530</v>
      </c>
      <c r="Z7" s="3386"/>
      <c r="AA7" s="1569">
        <f>D7/F7</f>
        <v>1</v>
      </c>
      <c r="AB7" s="1569">
        <f>D7/H7</f>
        <v>1</v>
      </c>
      <c r="AC7" s="1569">
        <f>D7/J7</f>
        <v>1</v>
      </c>
    </row>
    <row r="8" spans="1:29" s="1217" customFormat="1" ht="15.75" thickBot="1">
      <c r="A8" s="2888"/>
      <c r="B8" s="2895"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3"/>
      <c r="M8" s="2134"/>
      <c r="N8" s="2134"/>
      <c r="O8" s="2134"/>
      <c r="P8" s="3394" t="s">
        <v>533</v>
      </c>
      <c r="Q8" s="3386"/>
      <c r="R8" s="1566" t="s">
        <v>8</v>
      </c>
      <c r="S8" s="1567">
        <f t="shared" si="0"/>
        <v>100</v>
      </c>
      <c r="T8" s="1566" t="s">
        <v>8</v>
      </c>
      <c r="U8" s="1567">
        <f t="shared" si="1"/>
        <v>100</v>
      </c>
      <c r="V8" s="1566" t="s">
        <v>8</v>
      </c>
      <c r="W8" s="1567">
        <f t="shared" si="2"/>
        <v>100</v>
      </c>
      <c r="X8" s="1568"/>
      <c r="Y8" s="3385" t="s">
        <v>533</v>
      </c>
      <c r="Z8" s="3386"/>
      <c r="AA8" s="1569">
        <f t="shared" ref="AA8:AA47" si="3">D8/F8</f>
        <v>1</v>
      </c>
      <c r="AB8" s="1569">
        <f t="shared" ref="AB8:AB47" si="4">D8/H8</f>
        <v>1</v>
      </c>
      <c r="AC8" s="1569">
        <f t="shared" ref="AC8:AC47" si="5">D8/J8</f>
        <v>1</v>
      </c>
    </row>
    <row r="9" spans="1:29" s="1217" customFormat="1" ht="15">
      <c r="A9" s="2889"/>
      <c r="B9" s="2896" t="s">
        <v>2755</v>
      </c>
      <c r="C9" s="3179" t="s">
        <v>3289</v>
      </c>
      <c r="D9" s="253">
        <v>100</v>
      </c>
      <c r="E9" s="3179" t="s">
        <v>3294</v>
      </c>
      <c r="F9" s="253">
        <f>SUMIF(64:64,E9,65:65)-SUMIF(64:64,C9,65:65)+100</f>
        <v>100</v>
      </c>
      <c r="G9" s="3179" t="s">
        <v>3294</v>
      </c>
      <c r="H9" s="253">
        <f>SUMIF(64:64,G9,65:65)-SUMIF(64:64,C9,65:65)+100</f>
        <v>100</v>
      </c>
      <c r="I9" s="3179" t="s">
        <v>3294</v>
      </c>
      <c r="J9" s="253">
        <f>SUMIF(64:64,I9,65:65)-SUMIF(64:64,C9,65:65)+100</f>
        <v>100</v>
      </c>
      <c r="K9" s="523"/>
      <c r="L9" s="2133"/>
      <c r="M9" s="2134"/>
      <c r="N9" s="2134"/>
      <c r="O9" s="2134"/>
      <c r="P9" s="3393" t="s">
        <v>535</v>
      </c>
      <c r="Q9" s="1148" t="str">
        <f t="shared" ref="Q9:Q15" si="6">B9</f>
        <v>用途</v>
      </c>
      <c r="R9" s="1566" t="s">
        <v>8</v>
      </c>
      <c r="S9" s="1567">
        <f t="shared" si="0"/>
        <v>100</v>
      </c>
      <c r="T9" s="1566" t="s">
        <v>8</v>
      </c>
      <c r="U9" s="1567">
        <f t="shared" si="1"/>
        <v>100</v>
      </c>
      <c r="V9" s="1566" t="s">
        <v>8</v>
      </c>
      <c r="W9" s="1567">
        <f t="shared" si="2"/>
        <v>100</v>
      </c>
      <c r="X9" s="1568"/>
      <c r="Y9" s="3344" t="s">
        <v>536</v>
      </c>
      <c r="Z9" s="1147" t="str">
        <f t="shared" ref="Z9:Z15" si="7">Q9</f>
        <v>用途</v>
      </c>
      <c r="AA9" s="1569">
        <f t="shared" si="3"/>
        <v>1</v>
      </c>
      <c r="AB9" s="1569">
        <f t="shared" si="4"/>
        <v>1</v>
      </c>
      <c r="AC9" s="1569">
        <f t="shared" si="5"/>
        <v>1</v>
      </c>
    </row>
    <row r="10" spans="1:29" s="1335" customFormat="1" ht="27">
      <c r="A10" s="2890"/>
      <c r="B10" s="2895" t="s">
        <v>2756</v>
      </c>
      <c r="C10" s="860" t="s">
        <v>3292</v>
      </c>
      <c r="D10" s="254">
        <v>100</v>
      </c>
      <c r="E10" s="860" t="s">
        <v>3039</v>
      </c>
      <c r="F10" s="254">
        <f>SUMIF(66:66,E10,67:67)-SUMIF(66:66,C10,67:67)+100</f>
        <v>103</v>
      </c>
      <c r="G10" s="860" t="s">
        <v>3039</v>
      </c>
      <c r="H10" s="254">
        <f>SUMIF(66:66,G10,67:67)-SUMIF(66:66,C10,67:67)+100</f>
        <v>103</v>
      </c>
      <c r="I10" s="860" t="s">
        <v>3039</v>
      </c>
      <c r="J10" s="254">
        <f>SUMIF(66:66,I10,67:67)-SUMIF(66:66,C10,67:67)+100</f>
        <v>103</v>
      </c>
      <c r="K10" s="583">
        <v>3</v>
      </c>
      <c r="L10" s="2136"/>
      <c r="M10" s="2176"/>
      <c r="N10" s="2176"/>
      <c r="O10" s="2176"/>
      <c r="P10" s="3393"/>
      <c r="Q10" s="1148" t="str">
        <f t="shared" si="6"/>
        <v>土地使用年限（年）</v>
      </c>
      <c r="R10" s="1566" t="s">
        <v>8</v>
      </c>
      <c r="S10" s="1567">
        <f t="shared" si="0"/>
        <v>103</v>
      </c>
      <c r="T10" s="1566" t="s">
        <v>8</v>
      </c>
      <c r="U10" s="1567">
        <f t="shared" si="1"/>
        <v>103</v>
      </c>
      <c r="V10" s="1566" t="s">
        <v>8</v>
      </c>
      <c r="W10" s="1567">
        <f t="shared" si="2"/>
        <v>103</v>
      </c>
      <c r="X10" s="1568"/>
      <c r="Y10" s="3344"/>
      <c r="Z10" s="1147" t="str">
        <f t="shared" si="7"/>
        <v>土地使用年限（年）</v>
      </c>
      <c r="AA10" s="1569">
        <f t="shared" si="3"/>
        <v>0.970873786407767</v>
      </c>
      <c r="AB10" s="1569">
        <f t="shared" si="4"/>
        <v>0.970873786407767</v>
      </c>
      <c r="AC10" s="1569">
        <f t="shared" si="5"/>
        <v>0.970873786407767</v>
      </c>
    </row>
    <row r="11" spans="1:29" ht="15">
      <c r="A11" s="2891"/>
      <c r="B11" s="2895" t="s">
        <v>2757</v>
      </c>
      <c r="C11" s="532">
        <v>2.5</v>
      </c>
      <c r="D11" s="254">
        <v>100</v>
      </c>
      <c r="E11" s="532">
        <v>7.5</v>
      </c>
      <c r="F11" s="254">
        <f>LOOKUP(E11,69:69,70:70)-LOOKUP(C11,69:69,70:70)+100</f>
        <v>95</v>
      </c>
      <c r="G11" s="532">
        <v>7.5</v>
      </c>
      <c r="H11" s="254">
        <f>LOOKUP(G11,69:69,70:70)-LOOKUP(C11,69:69,70:70)+100</f>
        <v>95</v>
      </c>
      <c r="I11" s="532">
        <v>7.5</v>
      </c>
      <c r="J11" s="254">
        <f>LOOKUP(I11,69:69,70:70)-LOOKUP(C11,69:69,70:70)+100</f>
        <v>95</v>
      </c>
      <c r="K11" s="583">
        <v>1</v>
      </c>
      <c r="L11" s="2138"/>
      <c r="M11" s="2132"/>
      <c r="N11" s="2132"/>
      <c r="O11" s="2132"/>
      <c r="P11" s="3393"/>
      <c r="Q11" s="1148" t="str">
        <f t="shared" si="6"/>
        <v>容积率</v>
      </c>
      <c r="R11" s="1566" t="s">
        <v>8</v>
      </c>
      <c r="S11" s="1567">
        <f t="shared" si="0"/>
        <v>95</v>
      </c>
      <c r="T11" s="1566" t="s">
        <v>8</v>
      </c>
      <c r="U11" s="1567">
        <f t="shared" si="1"/>
        <v>95</v>
      </c>
      <c r="V11" s="1566" t="s">
        <v>8</v>
      </c>
      <c r="W11" s="1567">
        <f t="shared" si="2"/>
        <v>95</v>
      </c>
      <c r="X11" s="1568"/>
      <c r="Y11" s="3344"/>
      <c r="Z11" s="1147" t="str">
        <f t="shared" si="7"/>
        <v>容积率</v>
      </c>
      <c r="AA11" s="1569">
        <f t="shared" si="3"/>
        <v>1.0526315789473684</v>
      </c>
      <c r="AB11" s="1569">
        <f t="shared" si="4"/>
        <v>1.0526315789473684</v>
      </c>
      <c r="AC11" s="1569">
        <f t="shared" si="5"/>
        <v>1.0526315789473684</v>
      </c>
    </row>
    <row r="12" spans="1:29" s="1217" customFormat="1" ht="15">
      <c r="A12" s="2892"/>
      <c r="B12" s="2898">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93"/>
      <c r="Q12" s="1148">
        <f t="shared" si="6"/>
        <v>111</v>
      </c>
      <c r="R12" s="1566" t="s">
        <v>8</v>
      </c>
      <c r="S12" s="1567">
        <f t="shared" si="0"/>
        <v>100</v>
      </c>
      <c r="T12" s="1566" t="s">
        <v>8</v>
      </c>
      <c r="U12" s="1567">
        <f t="shared" si="1"/>
        <v>100</v>
      </c>
      <c r="V12" s="1566" t="s">
        <v>8</v>
      </c>
      <c r="W12" s="1567">
        <f t="shared" si="2"/>
        <v>100</v>
      </c>
      <c r="X12" s="1568"/>
      <c r="Y12" s="3344"/>
      <c r="Z12" s="1147">
        <f t="shared" si="7"/>
        <v>111</v>
      </c>
      <c r="AA12" s="1569">
        <f>D12/F12</f>
        <v>1</v>
      </c>
      <c r="AB12" s="1569">
        <f>D12/H12</f>
        <v>1</v>
      </c>
      <c r="AC12" s="1569">
        <f>D12/J12</f>
        <v>1</v>
      </c>
    </row>
    <row r="13" spans="1:29" ht="15">
      <c r="A13" s="2892"/>
      <c r="B13" s="2898">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93"/>
      <c r="Q13" s="1148">
        <f t="shared" si="6"/>
        <v>111</v>
      </c>
      <c r="R13" s="1566" t="s">
        <v>8</v>
      </c>
      <c r="S13" s="1567">
        <f t="shared" si="0"/>
        <v>100</v>
      </c>
      <c r="T13" s="1566" t="s">
        <v>8</v>
      </c>
      <c r="U13" s="1567">
        <f t="shared" si="1"/>
        <v>100</v>
      </c>
      <c r="V13" s="1566" t="s">
        <v>8</v>
      </c>
      <c r="W13" s="1567">
        <f t="shared" si="2"/>
        <v>100</v>
      </c>
      <c r="X13" s="1568"/>
      <c r="Y13" s="3344"/>
      <c r="Z13" s="1147">
        <f t="shared" si="7"/>
        <v>111</v>
      </c>
      <c r="AA13" s="1569">
        <f t="shared" si="3"/>
        <v>1</v>
      </c>
      <c r="AB13" s="1569">
        <f t="shared" si="4"/>
        <v>1</v>
      </c>
      <c r="AC13" s="1569">
        <f t="shared" si="5"/>
        <v>1</v>
      </c>
    </row>
    <row r="14" spans="1:29" ht="15.75" thickBot="1">
      <c r="A14" s="2893"/>
      <c r="B14" s="2899">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93"/>
      <c r="Q14" s="1148">
        <f t="shared" si="6"/>
        <v>111</v>
      </c>
      <c r="R14" s="1566" t="s">
        <v>8</v>
      </c>
      <c r="S14" s="1567">
        <f t="shared" si="0"/>
        <v>100</v>
      </c>
      <c r="T14" s="1566" t="s">
        <v>8</v>
      </c>
      <c r="U14" s="1567">
        <f t="shared" si="1"/>
        <v>100</v>
      </c>
      <c r="V14" s="1566" t="s">
        <v>8</v>
      </c>
      <c r="W14" s="1567">
        <f t="shared" si="2"/>
        <v>100</v>
      </c>
      <c r="X14" s="1568"/>
      <c r="Y14" s="3344"/>
      <c r="Z14" s="1147">
        <f t="shared" si="7"/>
        <v>111</v>
      </c>
      <c r="AA14" s="1569">
        <f t="shared" si="3"/>
        <v>1</v>
      </c>
      <c r="AB14" s="1569">
        <f t="shared" si="4"/>
        <v>1</v>
      </c>
      <c r="AC14" s="1569">
        <f t="shared" si="5"/>
        <v>1</v>
      </c>
    </row>
    <row r="15" spans="1:29" ht="71.25">
      <c r="A15" s="2885" t="s">
        <v>2753</v>
      </c>
      <c r="B15" s="546" t="s">
        <v>542</v>
      </c>
      <c r="C15" s="547" t="str">
        <f>估价对象房地状况!C5</f>
        <v>估价对象位于XX商圈，周边办公楼项目较多，入驻率高，办公集聚程度较好</v>
      </c>
      <c r="D15" s="548">
        <v>100</v>
      </c>
      <c r="E15" s="551"/>
      <c r="F15" s="548">
        <f>SUMIF(77:77,E16,78:78)-SUMIF(77:77,C16,78:78)+100</f>
        <v>100</v>
      </c>
      <c r="G15" s="551"/>
      <c r="H15" s="548">
        <f>SUMIF(77:77,G16,78:78)-SUMIF(77:77,C16,78:78)+100</f>
        <v>100</v>
      </c>
      <c r="I15" s="551"/>
      <c r="J15" s="548">
        <f>SUMIF(77:77,I16,78:78)-SUMIF(77:77,C16,78:78)+100</f>
        <v>100</v>
      </c>
      <c r="K15" s="897">
        <v>0</v>
      </c>
      <c r="L15" s="2140"/>
      <c r="M15" s="2132"/>
      <c r="N15" s="2132"/>
      <c r="O15" s="2132"/>
      <c r="P15" s="3395" t="s">
        <v>540</v>
      </c>
      <c r="Q15" s="1570" t="str">
        <f t="shared" si="6"/>
        <v>办公集聚程度</v>
      </c>
      <c r="R15" s="1571" t="s">
        <v>8</v>
      </c>
      <c r="S15" s="1572">
        <f t="shared" si="0"/>
        <v>100</v>
      </c>
      <c r="T15" s="1571" t="s">
        <v>8</v>
      </c>
      <c r="U15" s="1572">
        <f t="shared" si="1"/>
        <v>100</v>
      </c>
      <c r="V15" s="1571" t="s">
        <v>8</v>
      </c>
      <c r="W15" s="1572">
        <f t="shared" si="2"/>
        <v>100</v>
      </c>
      <c r="X15" s="1565"/>
      <c r="Y15" s="3395" t="s">
        <v>540</v>
      </c>
      <c r="Z15" s="1573" t="str">
        <f t="shared" si="7"/>
        <v>办公集聚程度</v>
      </c>
      <c r="AA15" s="1574">
        <f t="shared" si="3"/>
        <v>1</v>
      </c>
      <c r="AB15" s="1574">
        <f t="shared" si="4"/>
        <v>1</v>
      </c>
      <c r="AC15" s="1574">
        <f t="shared" si="5"/>
        <v>1</v>
      </c>
    </row>
    <row r="16" spans="1:29" ht="15">
      <c r="A16" s="531"/>
      <c r="B16" s="552"/>
      <c r="C16" s="553" t="str">
        <f>'比较法-住宅、综合'!C22</f>
        <v>较差</v>
      </c>
      <c r="D16" s="554"/>
      <c r="E16" s="575" t="s">
        <v>3025</v>
      </c>
      <c r="F16" s="554"/>
      <c r="G16" s="575" t="s">
        <v>3025</v>
      </c>
      <c r="H16" s="558"/>
      <c r="I16" s="575" t="s">
        <v>3025</v>
      </c>
      <c r="J16" s="554"/>
      <c r="K16" s="898"/>
      <c r="L16" s="2140"/>
      <c r="M16" s="2132"/>
      <c r="N16" s="2132"/>
      <c r="O16" s="2132"/>
      <c r="P16" s="3396"/>
      <c r="Q16" s="1570"/>
      <c r="R16" s="1571"/>
      <c r="S16" s="1572"/>
      <c r="T16" s="1571"/>
      <c r="U16" s="1572"/>
      <c r="V16" s="1571"/>
      <c r="W16" s="1572"/>
      <c r="X16" s="1565"/>
      <c r="Y16" s="3396"/>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105</v>
      </c>
      <c r="G17" s="563"/>
      <c r="H17" s="564">
        <f>SUMIF(79:79,G18,80:80)-SUMIF(79:79,C18,80:80)+100</f>
        <v>105</v>
      </c>
      <c r="I17" s="563"/>
      <c r="J17" s="564">
        <f>SUMIF(79:79,I18,80:80)-SUMIF(79:79,C18,80:80)+100</f>
        <v>105</v>
      </c>
      <c r="K17" s="897">
        <v>5</v>
      </c>
      <c r="L17" s="2140"/>
      <c r="M17" s="2132"/>
      <c r="N17" s="2132"/>
      <c r="O17" s="2132"/>
      <c r="P17" s="3396"/>
      <c r="Q17" s="1570" t="str">
        <f>B17</f>
        <v>交通便捷度</v>
      </c>
      <c r="R17" s="1571" t="s">
        <v>8</v>
      </c>
      <c r="S17" s="1572">
        <f>F17</f>
        <v>105</v>
      </c>
      <c r="T17" s="1571" t="s">
        <v>8</v>
      </c>
      <c r="U17" s="1572">
        <f>H17</f>
        <v>105</v>
      </c>
      <c r="V17" s="1571" t="s">
        <v>8</v>
      </c>
      <c r="W17" s="1572">
        <f>J17</f>
        <v>105</v>
      </c>
      <c r="X17" s="1565"/>
      <c r="Y17" s="3396"/>
      <c r="Z17" s="1573" t="str">
        <f>Q17</f>
        <v>交通便捷度</v>
      </c>
      <c r="AA17" s="1574">
        <f t="shared" si="3"/>
        <v>0.95238095238095233</v>
      </c>
      <c r="AB17" s="1574">
        <f t="shared" si="4"/>
        <v>0.95238095238095233</v>
      </c>
      <c r="AC17" s="1574">
        <f t="shared" si="5"/>
        <v>0.95238095238095233</v>
      </c>
    </row>
    <row r="18" spans="1:29" ht="15">
      <c r="A18" s="531"/>
      <c r="B18" s="565"/>
      <c r="C18" s="566" t="str">
        <f>'比较法-住宅、综合'!C24</f>
        <v>一般</v>
      </c>
      <c r="D18" s="558"/>
      <c r="E18" s="568" t="s">
        <v>2992</v>
      </c>
      <c r="F18" s="558"/>
      <c r="G18" s="568" t="s">
        <v>2992</v>
      </c>
      <c r="H18" s="554"/>
      <c r="I18" s="568" t="s">
        <v>2992</v>
      </c>
      <c r="J18" s="554"/>
      <c r="K18" s="898"/>
      <c r="L18" s="2140"/>
      <c r="M18" s="2132"/>
      <c r="N18" s="2132"/>
      <c r="O18" s="2132"/>
      <c r="P18" s="3396"/>
      <c r="Q18" s="1570"/>
      <c r="R18" s="1571"/>
      <c r="S18" s="1572"/>
      <c r="T18" s="1571"/>
      <c r="U18" s="1572"/>
      <c r="V18" s="1571"/>
      <c r="W18" s="1572"/>
      <c r="X18" s="1565"/>
      <c r="Y18" s="3396"/>
      <c r="Z18" s="1573"/>
      <c r="AA18" s="1574">
        <v>1</v>
      </c>
      <c r="AB18" s="1574">
        <v>1</v>
      </c>
      <c r="AC18" s="1574">
        <v>1</v>
      </c>
    </row>
    <row r="19" spans="1:29" ht="42.75">
      <c r="A19" s="531"/>
      <c r="B19" s="2579" t="s">
        <v>2546</v>
      </c>
      <c r="C19" s="572" t="str">
        <f>估价对象房地状况!C7</f>
        <v>估价对象所在区域公共配套设施齐备情况</v>
      </c>
      <c r="D19" s="564">
        <v>100</v>
      </c>
      <c r="E19" s="571"/>
      <c r="F19" s="564">
        <f>SUMIF(81:81,E20,82:82)-SUMIF(81:81,C20,82:82)+100</f>
        <v>105</v>
      </c>
      <c r="G19" s="571"/>
      <c r="H19" s="558">
        <f>SUMIF(81:81,G20,82:82)-SUMIF(81:81,C20,82:82)+100</f>
        <v>105</v>
      </c>
      <c r="I19" s="571"/>
      <c r="J19" s="558">
        <f>SUMIF(81:81,I20,82:82)-SUMIF(81:81,C20,82:82)+100</f>
        <v>105</v>
      </c>
      <c r="K19" s="897">
        <v>5</v>
      </c>
      <c r="L19" s="2140"/>
      <c r="M19" s="2132"/>
      <c r="N19" s="2132"/>
      <c r="O19" s="2132"/>
      <c r="P19" s="3396"/>
      <c r="Q19" s="1570" t="str">
        <f>B19</f>
        <v>公共配套设施</v>
      </c>
      <c r="R19" s="1571" t="s">
        <v>8</v>
      </c>
      <c r="S19" s="1572">
        <f>F19</f>
        <v>105</v>
      </c>
      <c r="T19" s="1571" t="s">
        <v>8</v>
      </c>
      <c r="U19" s="1572">
        <f>H19</f>
        <v>105</v>
      </c>
      <c r="V19" s="1571" t="s">
        <v>8</v>
      </c>
      <c r="W19" s="1572">
        <f>J19</f>
        <v>105</v>
      </c>
      <c r="X19" s="1565"/>
      <c r="Y19" s="3396"/>
      <c r="Z19" s="1573" t="str">
        <f>Q19</f>
        <v>公共配套设施</v>
      </c>
      <c r="AA19" s="1574">
        <f t="shared" si="3"/>
        <v>0.95238095238095233</v>
      </c>
      <c r="AB19" s="1574">
        <f t="shared" si="4"/>
        <v>0.95238095238095233</v>
      </c>
      <c r="AC19" s="1574">
        <f t="shared" si="5"/>
        <v>0.95238095238095233</v>
      </c>
    </row>
    <row r="20" spans="1:29" ht="15">
      <c r="A20" s="531"/>
      <c r="B20" s="565"/>
      <c r="C20" s="553" t="str">
        <f>'比较法-住宅、综合'!C30</f>
        <v>一般</v>
      </c>
      <c r="D20" s="554"/>
      <c r="E20" s="557" t="s">
        <v>2992</v>
      </c>
      <c r="F20" s="554"/>
      <c r="G20" s="557" t="s">
        <v>2992</v>
      </c>
      <c r="H20" s="554"/>
      <c r="I20" s="557" t="s">
        <v>2992</v>
      </c>
      <c r="J20" s="554"/>
      <c r="K20" s="898"/>
      <c r="L20" s="2140"/>
      <c r="M20" s="2132"/>
      <c r="N20" s="2132"/>
      <c r="O20" s="2132"/>
      <c r="P20" s="3396"/>
      <c r="Q20" s="1570"/>
      <c r="R20" s="1571"/>
      <c r="S20" s="1572"/>
      <c r="T20" s="1571"/>
      <c r="U20" s="1572"/>
      <c r="V20" s="1571"/>
      <c r="W20" s="1572"/>
      <c r="X20" s="1565"/>
      <c r="Y20" s="3396"/>
      <c r="Z20" s="1573"/>
      <c r="AA20" s="1574">
        <v>1</v>
      </c>
      <c r="AB20" s="1574">
        <v>1</v>
      </c>
      <c r="AC20" s="1574">
        <v>1</v>
      </c>
    </row>
    <row r="21" spans="1:29" ht="28.5">
      <c r="A21" s="531"/>
      <c r="B21" s="2567" t="s">
        <v>2558</v>
      </c>
      <c r="C21" s="572" t="str">
        <f>估价对象房地状况!C8</f>
        <v>估价对象所在区域基础设施水平</v>
      </c>
      <c r="D21" s="564">
        <v>100</v>
      </c>
      <c r="E21" s="571"/>
      <c r="F21" s="564">
        <f>SUMIF(83:83,E22,84:84)-SUMIF(83:83,C22,84:84)+100</f>
        <v>100</v>
      </c>
      <c r="G21" s="571"/>
      <c r="H21" s="564">
        <f>SUMIF(83:83,G22,84:84)-SUMIF(83:83,C22,84:84)+100</f>
        <v>100</v>
      </c>
      <c r="I21" s="571"/>
      <c r="J21" s="564">
        <f>SUMIF(83:83,I22,84:84)-SUMIF(83:83,C22,84:84)+100</f>
        <v>100</v>
      </c>
      <c r="K21" s="897">
        <v>1</v>
      </c>
      <c r="L21" s="2140"/>
      <c r="M21" s="2132"/>
      <c r="N21" s="2132"/>
      <c r="O21" s="2132"/>
      <c r="P21" s="3396"/>
      <c r="Q21" s="2555" t="str">
        <f>B21</f>
        <v>基础设施水平</v>
      </c>
      <c r="R21" s="1571" t="s">
        <v>8</v>
      </c>
      <c r="S21" s="1572">
        <f>F21</f>
        <v>100</v>
      </c>
      <c r="T21" s="1571" t="s">
        <v>8</v>
      </c>
      <c r="U21" s="1572">
        <f>H21</f>
        <v>100</v>
      </c>
      <c r="V21" s="1571" t="s">
        <v>8</v>
      </c>
      <c r="W21" s="1572">
        <f>J21</f>
        <v>100</v>
      </c>
      <c r="X21" s="2557"/>
      <c r="Y21" s="3396"/>
      <c r="Z21" s="2556" t="str">
        <f>Q21</f>
        <v>基础设施水平</v>
      </c>
      <c r="AA21" s="1574">
        <f t="shared" ref="AA21" si="8">D21/F21</f>
        <v>1</v>
      </c>
      <c r="AB21" s="1574">
        <f t="shared" ref="AB21" si="9">D21/H21</f>
        <v>1</v>
      </c>
      <c r="AC21" s="1574">
        <f t="shared" ref="AC21" si="10">D21/J21</f>
        <v>1</v>
      </c>
    </row>
    <row r="22" spans="1:29" ht="15">
      <c r="A22" s="531"/>
      <c r="B22" s="577"/>
      <c r="C22" s="566" t="s">
        <v>3028</v>
      </c>
      <c r="D22" s="554"/>
      <c r="E22" s="575" t="s">
        <v>3028</v>
      </c>
      <c r="F22" s="554"/>
      <c r="G22" s="575" t="s">
        <v>3028</v>
      </c>
      <c r="H22" s="554"/>
      <c r="I22" s="575" t="s">
        <v>3028</v>
      </c>
      <c r="J22" s="554"/>
      <c r="K22" s="2578"/>
      <c r="L22" s="2140"/>
      <c r="M22" s="2132"/>
      <c r="N22" s="2132"/>
      <c r="O22" s="2132"/>
      <c r="P22" s="3396"/>
      <c r="Q22" s="2555"/>
      <c r="R22" s="1571"/>
      <c r="S22" s="1572"/>
      <c r="T22" s="1571"/>
      <c r="U22" s="1572"/>
      <c r="V22" s="1571"/>
      <c r="W22" s="1572"/>
      <c r="X22" s="2557"/>
      <c r="Y22" s="3396"/>
      <c r="Z22" s="2556"/>
      <c r="AA22" s="1574">
        <v>1</v>
      </c>
      <c r="AB22" s="1574">
        <v>1</v>
      </c>
      <c r="AC22" s="1574">
        <v>1</v>
      </c>
    </row>
    <row r="23" spans="1:29" ht="57">
      <c r="A23" s="531"/>
      <c r="B23" s="559" t="s">
        <v>778</v>
      </c>
      <c r="C23" s="572" t="str">
        <f>估价对象房地状况!C9</f>
        <v>区域自然环境：；人文环境；综合评价环境状况一般</v>
      </c>
      <c r="D23" s="558">
        <v>100</v>
      </c>
      <c r="E23" s="563"/>
      <c r="F23" s="558">
        <f>SUMIF(85:85,E24,86:86)-SUMIF(85:85,C24,86:86)+100</f>
        <v>105</v>
      </c>
      <c r="G23" s="563"/>
      <c r="H23" s="558">
        <f>SUMIF(85:85,G24,86:86)-SUMIF(85:85,C24,86:86)+100</f>
        <v>105</v>
      </c>
      <c r="I23" s="563"/>
      <c r="J23" s="558">
        <f>SUMIF(85:85,I24,86:86)-SUMIF(85:85,C24,86:86)+100</f>
        <v>105</v>
      </c>
      <c r="K23" s="897">
        <v>5</v>
      </c>
      <c r="L23" s="2140"/>
      <c r="M23" s="2132"/>
      <c r="N23" s="2132"/>
      <c r="O23" s="2132"/>
      <c r="P23" s="3396"/>
      <c r="Q23" s="1570" t="str">
        <f>B23</f>
        <v>环境质量</v>
      </c>
      <c r="R23" s="1571" t="s">
        <v>8</v>
      </c>
      <c r="S23" s="1572">
        <f>F23</f>
        <v>105</v>
      </c>
      <c r="T23" s="1571" t="s">
        <v>8</v>
      </c>
      <c r="U23" s="1572">
        <f>H23</f>
        <v>105</v>
      </c>
      <c r="V23" s="1571" t="s">
        <v>8</v>
      </c>
      <c r="W23" s="1572">
        <f>J23</f>
        <v>105</v>
      </c>
      <c r="X23" s="1565"/>
      <c r="Y23" s="3396"/>
      <c r="Z23" s="1573" t="str">
        <f>Q23</f>
        <v>环境质量</v>
      </c>
      <c r="AA23" s="1574">
        <f t="shared" si="3"/>
        <v>0.95238095238095233</v>
      </c>
      <c r="AB23" s="1574">
        <f t="shared" si="4"/>
        <v>0.95238095238095233</v>
      </c>
      <c r="AC23" s="1574">
        <f t="shared" si="5"/>
        <v>0.95238095238095233</v>
      </c>
    </row>
    <row r="24" spans="1:29" ht="15">
      <c r="A24" s="531"/>
      <c r="B24" s="577"/>
      <c r="C24" s="553" t="str">
        <f>'比较法-住宅、综合'!C28</f>
        <v>一般</v>
      </c>
      <c r="D24" s="554"/>
      <c r="E24" s="557" t="s">
        <v>2992</v>
      </c>
      <c r="F24" s="554"/>
      <c r="G24" s="557" t="s">
        <v>2992</v>
      </c>
      <c r="H24" s="554"/>
      <c r="I24" s="557" t="s">
        <v>2992</v>
      </c>
      <c r="J24" s="554"/>
      <c r="K24" s="898"/>
      <c r="L24" s="2140"/>
      <c r="M24" s="2132"/>
      <c r="N24" s="2132"/>
      <c r="O24" s="2132"/>
      <c r="P24" s="3396"/>
      <c r="Q24" s="1570"/>
      <c r="R24" s="1571"/>
      <c r="S24" s="1572"/>
      <c r="T24" s="1571"/>
      <c r="U24" s="1572"/>
      <c r="V24" s="1571"/>
      <c r="W24" s="1572"/>
      <c r="X24" s="1565"/>
      <c r="Y24" s="3396"/>
      <c r="Z24" s="1573"/>
      <c r="AA24" s="1574">
        <v>1</v>
      </c>
      <c r="AB24" s="1574">
        <v>1</v>
      </c>
      <c r="AC24" s="1574">
        <v>1</v>
      </c>
    </row>
    <row r="25" spans="1:29" ht="27">
      <c r="A25" s="514"/>
      <c r="B25" s="559" t="s">
        <v>548</v>
      </c>
      <c r="C25" s="3193"/>
      <c r="D25" s="539">
        <v>100</v>
      </c>
      <c r="E25" s="3194"/>
      <c r="F25" s="539">
        <f>SUMIF(87:87,E26,88:88)-SUMIF(87:87,C26,88:88)+100</f>
        <v>101</v>
      </c>
      <c r="G25" s="3194"/>
      <c r="H25" s="539">
        <f>SUMIF(87:87,G26,88:88)-SUMIF(87:87,C26,88:88)+100</f>
        <v>101</v>
      </c>
      <c r="I25" s="538"/>
      <c r="J25" s="539">
        <f>SUMIF(87:87,I26,88:88)-SUMIF(87:87,C26,88:88)+100</f>
        <v>101</v>
      </c>
      <c r="K25" s="897">
        <v>1</v>
      </c>
      <c r="L25" s="2140"/>
      <c r="M25" s="2132"/>
      <c r="N25" s="2132"/>
      <c r="O25" s="2132"/>
      <c r="P25" s="3396"/>
      <c r="Q25" s="1570" t="str">
        <f>B25</f>
        <v>毗邻道路的类型与等级</v>
      </c>
      <c r="R25" s="1571" t="s">
        <v>8</v>
      </c>
      <c r="S25" s="1572">
        <f>F25</f>
        <v>101</v>
      </c>
      <c r="T25" s="1571" t="s">
        <v>8</v>
      </c>
      <c r="U25" s="1572">
        <f>H25</f>
        <v>101</v>
      </c>
      <c r="V25" s="1571" t="s">
        <v>8</v>
      </c>
      <c r="W25" s="1572">
        <f>J25</f>
        <v>101</v>
      </c>
      <c r="X25" s="1565"/>
      <c r="Y25" s="3396"/>
      <c r="Z25" s="1573" t="str">
        <f>Q25</f>
        <v>毗邻道路的类型与等级</v>
      </c>
      <c r="AA25" s="1574">
        <f t="shared" si="3"/>
        <v>0.99009900990099009</v>
      </c>
      <c r="AB25" s="1574">
        <f t="shared" si="4"/>
        <v>0.99009900990099009</v>
      </c>
      <c r="AC25" s="1574">
        <f t="shared" si="5"/>
        <v>0.99009900990099009</v>
      </c>
    </row>
    <row r="26" spans="1:29" ht="15">
      <c r="A26" s="514"/>
      <c r="B26" s="565"/>
      <c r="C26" s="579" t="s">
        <v>3032</v>
      </c>
      <c r="D26" s="539"/>
      <c r="E26" s="582" t="s">
        <v>3319</v>
      </c>
      <c r="F26" s="539"/>
      <c r="G26" s="579" t="s">
        <v>3319</v>
      </c>
      <c r="H26" s="539"/>
      <c r="I26" s="582" t="s">
        <v>3319</v>
      </c>
      <c r="J26" s="539"/>
      <c r="K26" s="898"/>
      <c r="L26" s="2140"/>
      <c r="M26" s="2132"/>
      <c r="N26" s="2132"/>
      <c r="O26" s="2132"/>
      <c r="P26" s="3396"/>
      <c r="Q26" s="1570"/>
      <c r="R26" s="1571"/>
      <c r="S26" s="1572"/>
      <c r="T26" s="1571"/>
      <c r="U26" s="1572"/>
      <c r="V26" s="1571"/>
      <c r="W26" s="1572"/>
      <c r="X26" s="1565"/>
      <c r="Y26" s="3396"/>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96"/>
      <c r="Q27" s="1570" t="str">
        <f t="shared" ref="Q27:Q47" si="11">B27</f>
        <v>楼层</v>
      </c>
      <c r="R27" s="1571" t="s">
        <v>8</v>
      </c>
      <c r="S27" s="1572">
        <f>F27</f>
        <v>100</v>
      </c>
      <c r="T27" s="1571" t="s">
        <v>8</v>
      </c>
      <c r="U27" s="1572">
        <f>H27</f>
        <v>100</v>
      </c>
      <c r="V27" s="1571" t="s">
        <v>8</v>
      </c>
      <c r="W27" s="1572">
        <f>J27</f>
        <v>100</v>
      </c>
      <c r="X27" s="1565"/>
      <c r="Y27" s="3396"/>
      <c r="Z27" s="1573" t="str">
        <f>Q27</f>
        <v>楼层</v>
      </c>
      <c r="AA27" s="1574">
        <f t="shared" si="3"/>
        <v>1</v>
      </c>
      <c r="AB27" s="1574">
        <f t="shared" si="4"/>
        <v>1</v>
      </c>
      <c r="AC27" s="1574">
        <f t="shared" si="5"/>
        <v>1</v>
      </c>
    </row>
    <row r="28" spans="1:29" s="1217"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96"/>
      <c r="Q28" s="1148" t="str">
        <f t="shared" si="11"/>
        <v>朝向</v>
      </c>
      <c r="R28" s="1566" t="s">
        <v>8</v>
      </c>
      <c r="S28" s="1567">
        <f>F28</f>
        <v>100</v>
      </c>
      <c r="T28" s="1566" t="s">
        <v>8</v>
      </c>
      <c r="U28" s="1567">
        <f>H28</f>
        <v>100</v>
      </c>
      <c r="V28" s="1566" t="s">
        <v>8</v>
      </c>
      <c r="W28" s="1567">
        <f>J28</f>
        <v>100</v>
      </c>
      <c r="X28" s="1568"/>
      <c r="Y28" s="3396"/>
      <c r="Z28" s="1147" t="str">
        <f>Q28</f>
        <v>朝向</v>
      </c>
      <c r="AA28" s="1574">
        <f>D28/F28</f>
        <v>1</v>
      </c>
      <c r="AB28" s="1574">
        <f>D28/H28</f>
        <v>1</v>
      </c>
      <c r="AC28" s="1574">
        <f>D28/J28</f>
        <v>1</v>
      </c>
    </row>
    <row r="29" spans="1:29" ht="15">
      <c r="A29" s="531"/>
      <c r="B29" s="3192" t="s">
        <v>3314</v>
      </c>
      <c r="C29" s="3193" t="s">
        <v>3316</v>
      </c>
      <c r="D29" s="539">
        <v>100</v>
      </c>
      <c r="E29" s="3195" t="s">
        <v>3317</v>
      </c>
      <c r="F29" s="539">
        <f>SUMIF(93:93,E29,94:94)-SUMIF(93:93,C29,94:94)+100</f>
        <v>105</v>
      </c>
      <c r="G29" s="3195" t="s">
        <v>3317</v>
      </c>
      <c r="H29" s="539">
        <f>SUMIF(93:93,G29,94:94)-SUMIF(93:93,C29,94:94)+100</f>
        <v>105</v>
      </c>
      <c r="I29" s="3195" t="s">
        <v>3317</v>
      </c>
      <c r="J29" s="539">
        <f>SUMIF(93:93,I29,94:94)-SUMIF(93:93,C29,94:94)+100</f>
        <v>105</v>
      </c>
      <c r="K29" s="580"/>
      <c r="L29" s="2140"/>
      <c r="M29" s="2132"/>
      <c r="N29" s="2132"/>
      <c r="O29" s="2132"/>
      <c r="P29" s="3396"/>
      <c r="Q29" s="1570" t="str">
        <f t="shared" si="11"/>
        <v>居住成熟度</v>
      </c>
      <c r="R29" s="1571" t="s">
        <v>8</v>
      </c>
      <c r="S29" s="1572">
        <f t="shared" ref="S29:S47" si="12">F29</f>
        <v>105</v>
      </c>
      <c r="T29" s="1571" t="s">
        <v>8</v>
      </c>
      <c r="U29" s="1572">
        <f t="shared" ref="U29:U47" si="13">H29</f>
        <v>105</v>
      </c>
      <c r="V29" s="1571" t="s">
        <v>8</v>
      </c>
      <c r="W29" s="1572">
        <f t="shared" ref="W29:W47" si="14">J29</f>
        <v>105</v>
      </c>
      <c r="X29" s="1565"/>
      <c r="Y29" s="3396"/>
      <c r="Z29" s="1573" t="str">
        <f t="shared" ref="Z29:Z47" si="15">Q29</f>
        <v>居住成熟度</v>
      </c>
      <c r="AA29" s="1574">
        <f t="shared" si="3"/>
        <v>0.95238095238095233</v>
      </c>
      <c r="AB29" s="1574">
        <f t="shared" si="4"/>
        <v>0.95238095238095233</v>
      </c>
      <c r="AC29" s="1574">
        <f t="shared" si="5"/>
        <v>0.95238095238095233</v>
      </c>
    </row>
    <row r="30" spans="1:29" ht="15">
      <c r="A30" s="531"/>
      <c r="B30" s="3192" t="s">
        <v>3321</v>
      </c>
      <c r="C30" s="911" t="str">
        <f>C29</f>
        <v>一般</v>
      </c>
      <c r="D30" s="539">
        <v>100</v>
      </c>
      <c r="E30" s="527" t="str">
        <f>E29</f>
        <v>较好</v>
      </c>
      <c r="F30" s="539">
        <f>SUMIF(95:95,E30,96:96)-SUMIF(95:95,C30,96:96)+100</f>
        <v>103</v>
      </c>
      <c r="G30" s="909" t="str">
        <f>G29</f>
        <v>较好</v>
      </c>
      <c r="H30" s="539">
        <f>SUMIF(95:95,G30,96:96)-SUMIF(95:95,C30,96:96)+100</f>
        <v>103</v>
      </c>
      <c r="I30" s="527" t="str">
        <f>I29</f>
        <v>较好</v>
      </c>
      <c r="J30" s="539">
        <f>SUMIF(95:95,I30,96:96)-SUMIF(95:95,C30,96:96)+100</f>
        <v>103</v>
      </c>
      <c r="K30" s="580"/>
      <c r="L30" s="2140"/>
      <c r="M30" s="2132"/>
      <c r="N30" s="2132"/>
      <c r="O30" s="2132"/>
      <c r="P30" s="3396"/>
      <c r="Q30" s="1570" t="str">
        <f t="shared" si="11"/>
        <v>商业繁华度</v>
      </c>
      <c r="R30" s="1571" t="s">
        <v>8</v>
      </c>
      <c r="S30" s="1572">
        <f t="shared" si="12"/>
        <v>103</v>
      </c>
      <c r="T30" s="1571" t="s">
        <v>8</v>
      </c>
      <c r="U30" s="1572">
        <f t="shared" si="13"/>
        <v>103</v>
      </c>
      <c r="V30" s="1571" t="s">
        <v>8</v>
      </c>
      <c r="W30" s="1572">
        <f t="shared" si="14"/>
        <v>103</v>
      </c>
      <c r="X30" s="1565"/>
      <c r="Y30" s="3396"/>
      <c r="Z30" s="1573" t="str">
        <f t="shared" si="15"/>
        <v>商业繁华度</v>
      </c>
      <c r="AA30" s="1574">
        <f t="shared" si="3"/>
        <v>0.970873786407767</v>
      </c>
      <c r="AB30" s="1574">
        <f t="shared" si="4"/>
        <v>0.970873786407767</v>
      </c>
      <c r="AC30" s="1574">
        <f t="shared" si="5"/>
        <v>0.970873786407767</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96"/>
      <c r="Q31" s="1570">
        <f t="shared" si="11"/>
        <v>111</v>
      </c>
      <c r="R31" s="1571" t="s">
        <v>8</v>
      </c>
      <c r="S31" s="1572">
        <f t="shared" si="12"/>
        <v>100</v>
      </c>
      <c r="T31" s="1571" t="s">
        <v>8</v>
      </c>
      <c r="U31" s="1572">
        <f t="shared" si="13"/>
        <v>100</v>
      </c>
      <c r="V31" s="1571" t="s">
        <v>8</v>
      </c>
      <c r="W31" s="1572">
        <f t="shared" si="14"/>
        <v>100</v>
      </c>
      <c r="X31" s="1565"/>
      <c r="Y31" s="3396"/>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96"/>
      <c r="Q32" s="1570">
        <f t="shared" si="11"/>
        <v>111</v>
      </c>
      <c r="R32" s="1571" t="s">
        <v>8</v>
      </c>
      <c r="S32" s="1572">
        <f t="shared" si="12"/>
        <v>100</v>
      </c>
      <c r="T32" s="1571" t="s">
        <v>8</v>
      </c>
      <c r="U32" s="1572">
        <f t="shared" si="13"/>
        <v>100</v>
      </c>
      <c r="V32" s="1571" t="s">
        <v>8</v>
      </c>
      <c r="W32" s="1572">
        <f t="shared" si="14"/>
        <v>100</v>
      </c>
      <c r="X32" s="1565"/>
      <c r="Y32" s="3396"/>
      <c r="Z32" s="1573">
        <f t="shared" si="15"/>
        <v>111</v>
      </c>
      <c r="AA32" s="1574">
        <f t="shared" si="3"/>
        <v>1</v>
      </c>
      <c r="AB32" s="1574">
        <f t="shared" si="4"/>
        <v>1</v>
      </c>
      <c r="AC32" s="1574">
        <f t="shared" si="5"/>
        <v>1</v>
      </c>
    </row>
    <row r="33" spans="1:29" ht="15">
      <c r="A33" s="2882" t="s">
        <v>2754</v>
      </c>
      <c r="B33" s="172" t="s">
        <v>780</v>
      </c>
      <c r="C33" s="915" t="s">
        <v>3295</v>
      </c>
      <c r="D33" s="596">
        <v>100</v>
      </c>
      <c r="E33" s="915" t="s">
        <v>3295</v>
      </c>
      <c r="F33" s="574">
        <f>SUMIF(101:101,E33,102:102)-SUMIF(101:101,C33,102:102)+100</f>
        <v>100</v>
      </c>
      <c r="G33" s="915" t="s">
        <v>3295</v>
      </c>
      <c r="H33" s="539">
        <f>SUMIF(101:101,G33,102:102)-SUMIF(101:101,C33,102:102)+100</f>
        <v>100</v>
      </c>
      <c r="I33" s="915" t="s">
        <v>3295</v>
      </c>
      <c r="J33" s="596">
        <f>SUMIF(101:101,I33,102:102)-SUMIF(101:101,C33,102:102)+100</f>
        <v>100</v>
      </c>
      <c r="K33" s="583">
        <v>5</v>
      </c>
      <c r="L33" s="2140"/>
      <c r="M33" s="2132"/>
      <c r="N33" s="2132"/>
      <c r="O33" s="2132"/>
      <c r="P33" s="3397" t="s">
        <v>550</v>
      </c>
      <c r="Q33" s="1570" t="str">
        <f t="shared" si="11"/>
        <v>建筑类型</v>
      </c>
      <c r="R33" s="1571" t="s">
        <v>8</v>
      </c>
      <c r="S33" s="1572">
        <f t="shared" si="12"/>
        <v>100</v>
      </c>
      <c r="T33" s="1571" t="s">
        <v>8</v>
      </c>
      <c r="U33" s="1572">
        <f t="shared" si="13"/>
        <v>100</v>
      </c>
      <c r="V33" s="1571" t="s">
        <v>8</v>
      </c>
      <c r="W33" s="1572">
        <f t="shared" si="14"/>
        <v>100</v>
      </c>
      <c r="X33" s="1565"/>
      <c r="Y33" s="3398" t="s">
        <v>550</v>
      </c>
      <c r="Z33" s="1573" t="str">
        <f t="shared" si="15"/>
        <v>建筑类型</v>
      </c>
      <c r="AA33" s="1574">
        <f t="shared" si="3"/>
        <v>1</v>
      </c>
      <c r="AB33" s="1574">
        <f t="shared" si="4"/>
        <v>1</v>
      </c>
      <c r="AC33" s="1574">
        <f t="shared" si="5"/>
        <v>1</v>
      </c>
    </row>
    <row r="34" spans="1:29" s="1336" customFormat="1" ht="15">
      <c r="A34" s="602"/>
      <c r="B34" s="526" t="s">
        <v>726</v>
      </c>
      <c r="C34" s="879">
        <f>'数据-汇总表'!E3</f>
        <v>86130.880000000005</v>
      </c>
      <c r="D34" s="254">
        <v>100</v>
      </c>
      <c r="E34" s="533">
        <v>117609</v>
      </c>
      <c r="F34" s="862">
        <f>LOOKUP(E34,104:104,105:105)-LOOKUP(C34,104:104,105:105)+100</f>
        <v>100</v>
      </c>
      <c r="G34" s="532">
        <v>315968</v>
      </c>
      <c r="H34" s="254">
        <f>LOOKUP(G34,104:104,105:105)-LOOKUP(C34,104:104,105:105)+100</f>
        <v>100</v>
      </c>
      <c r="I34" s="532">
        <v>330000</v>
      </c>
      <c r="J34" s="254">
        <f>LOOKUP(I34,104:104,105:105)-LOOKUP(C34,104:104,105:105)+100</f>
        <v>100</v>
      </c>
      <c r="K34" s="580"/>
      <c r="L34" s="2138"/>
      <c r="M34" s="2169"/>
      <c r="N34" s="2169"/>
      <c r="O34" s="2169"/>
      <c r="P34" s="3398"/>
      <c r="Q34" s="1603" t="str">
        <f t="shared" si="11"/>
        <v>项目建筑规模</v>
      </c>
      <c r="R34" s="1575" t="s">
        <v>8</v>
      </c>
      <c r="S34" s="1576">
        <f t="shared" si="12"/>
        <v>100</v>
      </c>
      <c r="T34" s="1575" t="s">
        <v>8</v>
      </c>
      <c r="U34" s="1576">
        <f t="shared" si="13"/>
        <v>100</v>
      </c>
      <c r="V34" s="1575" t="s">
        <v>8</v>
      </c>
      <c r="W34" s="1576">
        <f t="shared" si="14"/>
        <v>100</v>
      </c>
      <c r="X34" s="1577"/>
      <c r="Y34" s="3398"/>
      <c r="Z34" s="1578" t="str">
        <f t="shared" si="15"/>
        <v>项目建筑规模</v>
      </c>
      <c r="AA34" s="1574">
        <f t="shared" si="3"/>
        <v>1</v>
      </c>
      <c r="AB34" s="1574">
        <f t="shared" si="4"/>
        <v>1</v>
      </c>
      <c r="AC34" s="1574">
        <f t="shared" si="5"/>
        <v>1</v>
      </c>
    </row>
    <row r="35" spans="1:29" ht="15">
      <c r="A35" s="593"/>
      <c r="B35" s="526" t="s">
        <v>727</v>
      </c>
      <c r="C35" s="573" t="s">
        <v>3044</v>
      </c>
      <c r="D35" s="539">
        <v>100</v>
      </c>
      <c r="E35" s="573" t="s">
        <v>3044</v>
      </c>
      <c r="F35" s="574">
        <f>SUMIF(106:106,E35,107:107)-SUMIF(106:106,C35,107:107)+100</f>
        <v>100</v>
      </c>
      <c r="G35" s="573" t="s">
        <v>3044</v>
      </c>
      <c r="H35" s="539">
        <f>SUMIF(106:106,G35,107:107)-SUMIF(106:106,C35,107:107)+100</f>
        <v>100</v>
      </c>
      <c r="I35" s="573" t="s">
        <v>3044</v>
      </c>
      <c r="J35" s="539">
        <f>SUMIF(106:106,I35,107:107)-SUMIF(106:106,C35,107:107)+100</f>
        <v>100</v>
      </c>
      <c r="K35" s="583">
        <v>5</v>
      </c>
      <c r="L35" s="2140"/>
      <c r="M35" s="2132"/>
      <c r="N35" s="2132"/>
      <c r="O35" s="2132"/>
      <c r="P35" s="3398"/>
      <c r="Q35" s="1570" t="str">
        <f t="shared" si="11"/>
        <v>建筑结构</v>
      </c>
      <c r="R35" s="1571" t="s">
        <v>8</v>
      </c>
      <c r="S35" s="1572">
        <f t="shared" si="12"/>
        <v>100</v>
      </c>
      <c r="T35" s="1571" t="s">
        <v>8</v>
      </c>
      <c r="U35" s="1572">
        <f t="shared" si="13"/>
        <v>100</v>
      </c>
      <c r="V35" s="1571" t="s">
        <v>8</v>
      </c>
      <c r="W35" s="1572">
        <f t="shared" si="14"/>
        <v>100</v>
      </c>
      <c r="X35" s="1565"/>
      <c r="Y35" s="3398"/>
      <c r="Z35" s="1573" t="str">
        <f t="shared" si="15"/>
        <v>建筑结构</v>
      </c>
      <c r="AA35" s="1574">
        <f t="shared" si="3"/>
        <v>1</v>
      </c>
      <c r="AB35" s="1574">
        <f t="shared" si="4"/>
        <v>1</v>
      </c>
      <c r="AC35" s="1574">
        <f t="shared" si="5"/>
        <v>1</v>
      </c>
    </row>
    <row r="36" spans="1:29" ht="15">
      <c r="A36" s="593"/>
      <c r="B36" s="526" t="s">
        <v>763</v>
      </c>
      <c r="C36" s="573" t="s">
        <v>3048</v>
      </c>
      <c r="D36" s="539">
        <v>100</v>
      </c>
      <c r="E36" s="573" t="s">
        <v>3048</v>
      </c>
      <c r="F36" s="574">
        <f>SUMIF(108:108,E36,109:109)-SUMIF(108:108,C36,109:109)+100</f>
        <v>100</v>
      </c>
      <c r="G36" s="573" t="s">
        <v>3048</v>
      </c>
      <c r="H36" s="539">
        <f>SUMIF(108:108,G36,109:109)-SUMIF(108:108,C36,109:109)+100</f>
        <v>100</v>
      </c>
      <c r="I36" s="573" t="s">
        <v>3048</v>
      </c>
      <c r="J36" s="539">
        <f>SUMIF(108:108,I36,109:109)-SUMIF(108:108,C36,109:109)+100</f>
        <v>100</v>
      </c>
      <c r="K36" s="583">
        <v>2</v>
      </c>
      <c r="L36" s="2140"/>
      <c r="M36" s="2132"/>
      <c r="N36" s="2132"/>
      <c r="O36" s="2132"/>
      <c r="P36" s="3398"/>
      <c r="Q36" s="1570" t="str">
        <f t="shared" si="11"/>
        <v>公共部分装修</v>
      </c>
      <c r="R36" s="1571" t="s">
        <v>8</v>
      </c>
      <c r="S36" s="1572">
        <f t="shared" si="12"/>
        <v>100</v>
      </c>
      <c r="T36" s="1571" t="s">
        <v>8</v>
      </c>
      <c r="U36" s="1572">
        <f t="shared" si="13"/>
        <v>100</v>
      </c>
      <c r="V36" s="1571" t="s">
        <v>8</v>
      </c>
      <c r="W36" s="1572">
        <f t="shared" si="14"/>
        <v>100</v>
      </c>
      <c r="X36" s="1565"/>
      <c r="Y36" s="3398"/>
      <c r="Z36" s="1573" t="str">
        <f t="shared" si="15"/>
        <v>公共部分装修</v>
      </c>
      <c r="AA36" s="1574">
        <f t="shared" si="3"/>
        <v>1</v>
      </c>
      <c r="AB36" s="1574">
        <f t="shared" si="4"/>
        <v>1</v>
      </c>
      <c r="AC36" s="1574">
        <f t="shared" si="5"/>
        <v>1</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v>1</v>
      </c>
      <c r="L37" s="2140"/>
      <c r="M37" s="2132"/>
      <c r="N37" s="2132"/>
      <c r="O37" s="2132"/>
      <c r="P37" s="3398"/>
      <c r="Q37" s="1570" t="str">
        <f t="shared" si="11"/>
        <v>成新度</v>
      </c>
      <c r="R37" s="1571" t="s">
        <v>8</v>
      </c>
      <c r="S37" s="1572">
        <f t="shared" si="12"/>
        <v>100</v>
      </c>
      <c r="T37" s="1571" t="s">
        <v>8</v>
      </c>
      <c r="U37" s="1572">
        <f t="shared" si="13"/>
        <v>100</v>
      </c>
      <c r="V37" s="1571" t="s">
        <v>8</v>
      </c>
      <c r="W37" s="1572">
        <f t="shared" si="14"/>
        <v>100</v>
      </c>
      <c r="X37" s="1565"/>
      <c r="Y37" s="3398"/>
      <c r="Z37" s="1573" t="str">
        <f t="shared" si="15"/>
        <v>成新度</v>
      </c>
      <c r="AA37" s="1574">
        <f t="shared" si="3"/>
        <v>1</v>
      </c>
      <c r="AB37" s="1574">
        <f t="shared" si="4"/>
        <v>1</v>
      </c>
      <c r="AC37" s="1574">
        <f t="shared" si="5"/>
        <v>1</v>
      </c>
    </row>
    <row r="38" spans="1:29" s="1217"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98"/>
      <c r="Q38" s="1148" t="str">
        <f t="shared" si="11"/>
        <v>写字楼等级</v>
      </c>
      <c r="R38" s="1566" t="s">
        <v>8</v>
      </c>
      <c r="S38" s="1567">
        <f t="shared" si="12"/>
        <v>100</v>
      </c>
      <c r="T38" s="1566" t="s">
        <v>8</v>
      </c>
      <c r="U38" s="1567">
        <f t="shared" si="13"/>
        <v>100</v>
      </c>
      <c r="V38" s="1566" t="s">
        <v>8</v>
      </c>
      <c r="W38" s="1567">
        <f t="shared" si="14"/>
        <v>100</v>
      </c>
      <c r="X38" s="1568"/>
      <c r="Y38" s="3398"/>
      <c r="Z38" s="1147" t="str">
        <f t="shared" si="15"/>
        <v>写字楼等级</v>
      </c>
      <c r="AA38" s="1569">
        <f t="shared" si="3"/>
        <v>1</v>
      </c>
      <c r="AB38" s="1569">
        <f t="shared" si="4"/>
        <v>1</v>
      </c>
      <c r="AC38" s="1569">
        <f t="shared" si="5"/>
        <v>1</v>
      </c>
    </row>
    <row r="39" spans="1:29" ht="15">
      <c r="A39" s="593"/>
      <c r="B39" s="526" t="s">
        <v>782</v>
      </c>
      <c r="C39" s="573" t="s">
        <v>3050</v>
      </c>
      <c r="D39" s="539">
        <v>100</v>
      </c>
      <c r="E39" s="573" t="s">
        <v>3050</v>
      </c>
      <c r="F39" s="574">
        <f>SUMIF(115:115,E39,116:116)-SUMIF(115:115,C39,116:116)+100</f>
        <v>100</v>
      </c>
      <c r="G39" s="573" t="s">
        <v>3050</v>
      </c>
      <c r="H39" s="539">
        <f>SUMIF(115:115,G39,116:116)-SUMIF(115:115,C39,116:116)+100</f>
        <v>100</v>
      </c>
      <c r="I39" s="573" t="s">
        <v>3050</v>
      </c>
      <c r="J39" s="539">
        <f>SUMIF(115:115,I39,116:116)-SUMIF(115:115,C39,116:116)+100</f>
        <v>100</v>
      </c>
      <c r="K39" s="583">
        <v>5</v>
      </c>
      <c r="L39" s="2140"/>
      <c r="M39" s="2132"/>
      <c r="N39" s="2132"/>
      <c r="O39" s="2132"/>
      <c r="P39" s="3398" t="s">
        <v>550</v>
      </c>
      <c r="Q39" s="1570" t="str">
        <f t="shared" si="11"/>
        <v>物业管理</v>
      </c>
      <c r="R39" s="1571" t="s">
        <v>8</v>
      </c>
      <c r="S39" s="1572">
        <f t="shared" si="12"/>
        <v>100</v>
      </c>
      <c r="T39" s="1571" t="s">
        <v>8</v>
      </c>
      <c r="U39" s="1572">
        <f t="shared" si="13"/>
        <v>100</v>
      </c>
      <c r="V39" s="1571" t="s">
        <v>8</v>
      </c>
      <c r="W39" s="1572">
        <f t="shared" si="14"/>
        <v>100</v>
      </c>
      <c r="X39" s="1565"/>
      <c r="Y39" s="3398" t="s">
        <v>550</v>
      </c>
      <c r="Z39" s="1573" t="str">
        <f t="shared" si="15"/>
        <v>物业管理</v>
      </c>
      <c r="AA39" s="1574">
        <f t="shared" si="3"/>
        <v>1</v>
      </c>
      <c r="AB39" s="1574">
        <f t="shared" si="4"/>
        <v>1</v>
      </c>
      <c r="AC39" s="1574">
        <f t="shared" si="5"/>
        <v>1</v>
      </c>
    </row>
    <row r="40" spans="1:29" ht="15">
      <c r="A40" s="593"/>
      <c r="B40" s="1893" t="s">
        <v>2565</v>
      </c>
      <c r="C40" s="573" t="s">
        <v>3300</v>
      </c>
      <c r="D40" s="539">
        <v>100</v>
      </c>
      <c r="E40" s="573" t="s">
        <v>3300</v>
      </c>
      <c r="F40" s="574">
        <f>SUMIF(117:117,E40,118:118)-SUMIF(117:117,C40,118:118)+100</f>
        <v>100</v>
      </c>
      <c r="G40" s="573" t="s">
        <v>3300</v>
      </c>
      <c r="H40" s="539">
        <f>SUMIF(117:117,G40,118:118)-SUMIF(117:117,C40,118:118)+100</f>
        <v>100</v>
      </c>
      <c r="I40" s="573" t="s">
        <v>3311</v>
      </c>
      <c r="J40" s="539">
        <f>SUMIF(117:117,I40,118:118)-SUMIF(117:117,C40,118:118)+100</f>
        <v>101</v>
      </c>
      <c r="K40" s="583">
        <v>1</v>
      </c>
      <c r="L40" s="2140"/>
      <c r="M40" s="2132"/>
      <c r="N40" s="2132"/>
      <c r="O40" s="2132"/>
      <c r="P40" s="3398"/>
      <c r="Q40" s="1570" t="str">
        <f t="shared" si="11"/>
        <v>市政基础设施</v>
      </c>
      <c r="R40" s="1571" t="s">
        <v>8</v>
      </c>
      <c r="S40" s="1572">
        <f t="shared" si="12"/>
        <v>100</v>
      </c>
      <c r="T40" s="1571" t="s">
        <v>8</v>
      </c>
      <c r="U40" s="1572">
        <f t="shared" si="13"/>
        <v>100</v>
      </c>
      <c r="V40" s="1571" t="s">
        <v>8</v>
      </c>
      <c r="W40" s="1572">
        <f t="shared" si="14"/>
        <v>101</v>
      </c>
      <c r="X40" s="1565"/>
      <c r="Y40" s="3398"/>
      <c r="Z40" s="1573" t="str">
        <f t="shared" si="15"/>
        <v>市政基础设施</v>
      </c>
      <c r="AA40" s="1574">
        <f t="shared" si="3"/>
        <v>1</v>
      </c>
      <c r="AB40" s="1574">
        <f t="shared" si="4"/>
        <v>1</v>
      </c>
      <c r="AC40" s="1574">
        <f t="shared" si="5"/>
        <v>0.99009900990099009</v>
      </c>
    </row>
    <row r="41" spans="1:29" ht="15">
      <c r="A41" s="593"/>
      <c r="B41" s="526" t="s">
        <v>767</v>
      </c>
      <c r="C41" s="582" t="s">
        <v>3302</v>
      </c>
      <c r="D41" s="539">
        <v>100</v>
      </c>
      <c r="E41" s="582" t="s">
        <v>3302</v>
      </c>
      <c r="F41" s="574">
        <f>SUMIF(119:119,E41,120:120)-SUMIF(119:119,C41,120:120)+100</f>
        <v>100</v>
      </c>
      <c r="G41" s="582" t="s">
        <v>3302</v>
      </c>
      <c r="H41" s="539">
        <f>SUMIF(119:119,G41,120:120)-SUMIF(119:119,C41,120:120)+100</f>
        <v>100</v>
      </c>
      <c r="I41" s="582" t="s">
        <v>3302</v>
      </c>
      <c r="J41" s="539">
        <f>SUMIF(119:119,I41,120:120)-SUMIF(119:119,C41,120:120)+100</f>
        <v>100</v>
      </c>
      <c r="K41" s="583">
        <v>5</v>
      </c>
      <c r="L41" s="2140"/>
      <c r="M41" s="2132"/>
      <c r="N41" s="2132"/>
      <c r="O41" s="2132"/>
      <c r="P41" s="3398"/>
      <c r="Q41" s="1570" t="str">
        <f t="shared" si="11"/>
        <v>层高</v>
      </c>
      <c r="R41" s="1571" t="s">
        <v>8</v>
      </c>
      <c r="S41" s="1572">
        <f t="shared" si="12"/>
        <v>100</v>
      </c>
      <c r="T41" s="1571" t="s">
        <v>8</v>
      </c>
      <c r="U41" s="1572">
        <f t="shared" si="13"/>
        <v>100</v>
      </c>
      <c r="V41" s="1571" t="s">
        <v>8</v>
      </c>
      <c r="W41" s="1572">
        <f t="shared" si="14"/>
        <v>100</v>
      </c>
      <c r="X41" s="1565"/>
      <c r="Y41" s="3398"/>
      <c r="Z41" s="1573" t="str">
        <f t="shared" si="15"/>
        <v>层高</v>
      </c>
      <c r="AA41" s="1574">
        <f t="shared" si="3"/>
        <v>1</v>
      </c>
      <c r="AB41" s="1574">
        <f t="shared" si="4"/>
        <v>1</v>
      </c>
      <c r="AC41" s="1574">
        <f t="shared" si="5"/>
        <v>1</v>
      </c>
    </row>
    <row r="42" spans="1:29" s="1336" customFormat="1" ht="15">
      <c r="A42" s="602"/>
      <c r="B42" s="903" t="s">
        <v>783</v>
      </c>
      <c r="C42" s="538" t="s">
        <v>3305</v>
      </c>
      <c r="D42" s="539">
        <v>100</v>
      </c>
      <c r="E42" s="538" t="s">
        <v>3305</v>
      </c>
      <c r="F42" s="574">
        <f>SUMIF(121:121,E42,122:122)-SUMIF(121:121,C42,122:122)+100</f>
        <v>100</v>
      </c>
      <c r="G42" s="538" t="s">
        <v>3308</v>
      </c>
      <c r="H42" s="539">
        <f>SUMIF(121:121,G42,122:122)-SUMIF(121:121,C42,122:122)+100</f>
        <v>100</v>
      </c>
      <c r="I42" s="538" t="s">
        <v>3313</v>
      </c>
      <c r="J42" s="539">
        <f>SUMIF(121:121,I42,122:122)-SUMIF(121:121,C42,122:122)+100</f>
        <v>100</v>
      </c>
      <c r="K42" s="580"/>
      <c r="L42" s="2138"/>
      <c r="M42" s="2169"/>
      <c r="N42" s="2169"/>
      <c r="O42" s="2169"/>
      <c r="P42" s="3398"/>
      <c r="Q42" s="1603" t="str">
        <f t="shared" si="11"/>
        <v>单套建筑面积</v>
      </c>
      <c r="R42" s="1575" t="s">
        <v>8</v>
      </c>
      <c r="S42" s="1576">
        <f t="shared" si="12"/>
        <v>100</v>
      </c>
      <c r="T42" s="1575" t="s">
        <v>8</v>
      </c>
      <c r="U42" s="1576">
        <f t="shared" si="13"/>
        <v>100</v>
      </c>
      <c r="V42" s="1575" t="s">
        <v>8</v>
      </c>
      <c r="W42" s="1576">
        <f t="shared" si="14"/>
        <v>100</v>
      </c>
      <c r="X42" s="1577"/>
      <c r="Y42" s="3398"/>
      <c r="Z42" s="1578" t="str">
        <f t="shared" si="15"/>
        <v>单套建筑面积</v>
      </c>
      <c r="AA42" s="1574">
        <f t="shared" si="3"/>
        <v>1</v>
      </c>
      <c r="AB42" s="1574">
        <f t="shared" si="4"/>
        <v>1</v>
      </c>
      <c r="AC42" s="1574">
        <f t="shared" si="5"/>
        <v>1</v>
      </c>
    </row>
    <row r="43" spans="1:29" ht="15">
      <c r="A43" s="593"/>
      <c r="B43" s="526" t="s">
        <v>770</v>
      </c>
      <c r="C43" s="573" t="s">
        <v>3048</v>
      </c>
      <c r="D43" s="539">
        <v>100</v>
      </c>
      <c r="E43" s="573" t="s">
        <v>3048</v>
      </c>
      <c r="F43" s="574">
        <f>SUMIF(123:123,E43,124:124)-SUMIF(123:123,C43,124:124)+100</f>
        <v>100</v>
      </c>
      <c r="G43" s="573" t="s">
        <v>3048</v>
      </c>
      <c r="H43" s="539">
        <f>SUMIF(123:123,G43,124:124)-SUMIF(123:123,C43,124:124)+100</f>
        <v>100</v>
      </c>
      <c r="I43" s="573" t="s">
        <v>3048</v>
      </c>
      <c r="J43" s="539">
        <f>SUMIF(123:123,I43,124:124)-SUMIF(123:123,C43,124:124)+100</f>
        <v>100</v>
      </c>
      <c r="K43" s="583">
        <v>3</v>
      </c>
      <c r="L43" s="2140"/>
      <c r="M43" s="2132"/>
      <c r="N43" s="2132"/>
      <c r="O43" s="2132"/>
      <c r="P43" s="3398"/>
      <c r="Q43" s="1570" t="str">
        <f t="shared" si="11"/>
        <v>内部装修</v>
      </c>
      <c r="R43" s="1571" t="s">
        <v>8</v>
      </c>
      <c r="S43" s="1572">
        <f t="shared" si="12"/>
        <v>100</v>
      </c>
      <c r="T43" s="1571" t="s">
        <v>8</v>
      </c>
      <c r="U43" s="1572">
        <f t="shared" si="13"/>
        <v>100</v>
      </c>
      <c r="V43" s="1571" t="s">
        <v>8</v>
      </c>
      <c r="W43" s="1572">
        <f t="shared" si="14"/>
        <v>100</v>
      </c>
      <c r="X43" s="1565"/>
      <c r="Y43" s="3398"/>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98"/>
      <c r="Q44" s="1570" t="str">
        <f t="shared" si="11"/>
        <v>内部装修维护情况</v>
      </c>
      <c r="R44" s="1571" t="s">
        <v>8</v>
      </c>
      <c r="S44" s="1572">
        <f t="shared" si="12"/>
        <v>100</v>
      </c>
      <c r="T44" s="1571" t="s">
        <v>8</v>
      </c>
      <c r="U44" s="1572">
        <f t="shared" si="13"/>
        <v>100</v>
      </c>
      <c r="V44" s="1571" t="s">
        <v>8</v>
      </c>
      <c r="W44" s="1572">
        <f t="shared" si="14"/>
        <v>100</v>
      </c>
      <c r="X44" s="1565"/>
      <c r="Y44" s="3398"/>
      <c r="Z44" s="1573" t="str">
        <f t="shared" si="15"/>
        <v>内部装修维护情况</v>
      </c>
      <c r="AA44" s="1574">
        <f t="shared" si="3"/>
        <v>1</v>
      </c>
      <c r="AB44" s="1574">
        <f t="shared" si="4"/>
        <v>1</v>
      </c>
      <c r="AC44" s="1574">
        <f t="shared" si="5"/>
        <v>1</v>
      </c>
    </row>
    <row r="45" spans="1:29" s="1217"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98"/>
      <c r="Q45" s="1148">
        <f t="shared" si="11"/>
        <v>111</v>
      </c>
      <c r="R45" s="1566" t="s">
        <v>8</v>
      </c>
      <c r="S45" s="1567">
        <f t="shared" si="12"/>
        <v>100</v>
      </c>
      <c r="T45" s="1566" t="s">
        <v>8</v>
      </c>
      <c r="U45" s="1567">
        <f t="shared" si="13"/>
        <v>100</v>
      </c>
      <c r="V45" s="1566" t="s">
        <v>8</v>
      </c>
      <c r="W45" s="1567">
        <f t="shared" si="14"/>
        <v>100</v>
      </c>
      <c r="X45" s="1568"/>
      <c r="Y45" s="3398"/>
      <c r="Z45" s="1147">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98"/>
      <c r="Q46" s="1570">
        <f t="shared" si="11"/>
        <v>111</v>
      </c>
      <c r="R46" s="1571" t="s">
        <v>8</v>
      </c>
      <c r="S46" s="1572">
        <f t="shared" si="12"/>
        <v>100</v>
      </c>
      <c r="T46" s="1571" t="s">
        <v>8</v>
      </c>
      <c r="U46" s="1572">
        <f t="shared" si="13"/>
        <v>100</v>
      </c>
      <c r="V46" s="1571" t="s">
        <v>8</v>
      </c>
      <c r="W46" s="1572">
        <f t="shared" si="14"/>
        <v>100</v>
      </c>
      <c r="X46" s="1565"/>
      <c r="Y46" s="3398"/>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8"/>
      <c r="Q47" s="1570">
        <f t="shared" si="11"/>
        <v>111</v>
      </c>
      <c r="R47" s="1571" t="s">
        <v>8</v>
      </c>
      <c r="S47" s="1572">
        <f t="shared" si="12"/>
        <v>100</v>
      </c>
      <c r="T47" s="1571" t="s">
        <v>8</v>
      </c>
      <c r="U47" s="1572">
        <f t="shared" si="13"/>
        <v>100</v>
      </c>
      <c r="V47" s="1571" t="s">
        <v>8</v>
      </c>
      <c r="W47" s="1572">
        <f t="shared" si="14"/>
        <v>100</v>
      </c>
      <c r="X47" s="1565"/>
      <c r="Y47" s="3498"/>
      <c r="Z47" s="1573">
        <f t="shared" si="15"/>
        <v>111</v>
      </c>
      <c r="AA47" s="1574">
        <f t="shared" si="3"/>
        <v>1</v>
      </c>
      <c r="AB47" s="1574">
        <f t="shared" si="4"/>
        <v>1</v>
      </c>
      <c r="AC47" s="1574">
        <f t="shared" si="5"/>
        <v>1</v>
      </c>
    </row>
    <row r="48" spans="1:29" ht="15">
      <c r="A48" s="606" t="s">
        <v>736</v>
      </c>
      <c r="B48" s="886"/>
      <c r="C48" s="2603" t="s">
        <v>1</v>
      </c>
      <c r="D48" s="2604"/>
      <c r="E48" s="2605">
        <f>0.98*65000</f>
        <v>63700</v>
      </c>
      <c r="F48" s="2606"/>
      <c r="G48" s="2607">
        <f>0.98*60000</f>
        <v>58800</v>
      </c>
      <c r="H48" s="2608"/>
      <c r="I48" s="2605">
        <f>0.98*65000</f>
        <v>63700</v>
      </c>
      <c r="J48" s="2608"/>
      <c r="K48" s="1609"/>
      <c r="L48" s="2142"/>
      <c r="M48" s="2132"/>
      <c r="N48" s="2132"/>
      <c r="O48" s="2132"/>
      <c r="P48" s="3418" t="str">
        <f>A48</f>
        <v>成交单价（元/平方米）</v>
      </c>
      <c r="Q48" s="3393"/>
      <c r="R48" s="3497">
        <f>E48</f>
        <v>63700</v>
      </c>
      <c r="S48" s="3497"/>
      <c r="T48" s="3497">
        <f>G48</f>
        <v>58800</v>
      </c>
      <c r="U48" s="3497"/>
      <c r="V48" s="3497">
        <f>I48</f>
        <v>63700</v>
      </c>
      <c r="W48" s="3497"/>
      <c r="X48" s="1557"/>
      <c r="Y48" s="1579"/>
      <c r="Z48" s="1557"/>
      <c r="AA48" s="1557"/>
      <c r="AB48" s="1557"/>
      <c r="AC48" s="1557"/>
    </row>
    <row r="49" spans="1:29" ht="15.75" thickBot="1">
      <c r="A49" s="614" t="s">
        <v>2759</v>
      </c>
      <c r="B49" s="887"/>
      <c r="C49" s="2609">
        <f>R50</f>
        <v>49993</v>
      </c>
      <c r="D49" s="2610"/>
      <c r="E49" s="2611">
        <f>R49</f>
        <v>51483</v>
      </c>
      <c r="F49" s="2611"/>
      <c r="G49" s="2609">
        <f>T49</f>
        <v>47523</v>
      </c>
      <c r="H49" s="2610"/>
      <c r="I49" s="2611">
        <f>V49</f>
        <v>50973</v>
      </c>
      <c r="J49" s="2610"/>
      <c r="K49" s="1610"/>
      <c r="L49" s="2142"/>
      <c r="M49" s="2132"/>
      <c r="N49" s="2132"/>
      <c r="O49" s="2132"/>
      <c r="P49" s="3418" t="str">
        <f>A49</f>
        <v>比较价格（元/平方米）</v>
      </c>
      <c r="Q49" s="3393"/>
      <c r="R49" s="3497">
        <f>IF(F1="售价",ROUND(PRODUCT(R48,AA7:AA47),0),ROUND(PRODUCT(R48,AA7:AA47),1))</f>
        <v>51483</v>
      </c>
      <c r="S49" s="3497"/>
      <c r="T49" s="3497">
        <f>IF(F1="售价",ROUND(PRODUCT(T48,AB7:AB47),0),ROUND(PRODUCT(T48,AB7:AB47),1))</f>
        <v>47523</v>
      </c>
      <c r="U49" s="3497"/>
      <c r="V49" s="3497">
        <f>IF(F1="售价",ROUND(PRODUCT(V48,AC7:AC47),0),ROUND(PRODUCT(V48,AC7:AC47),1))</f>
        <v>50973</v>
      </c>
      <c r="W49" s="3497"/>
      <c r="X49" s="1557"/>
      <c r="Y49" s="1557"/>
      <c r="Z49" s="1557"/>
      <c r="AA49" s="1557"/>
      <c r="AB49" s="1557"/>
      <c r="AC49" s="1557"/>
    </row>
    <row r="50" spans="1:29" ht="15.75" thickBot="1">
      <c r="A50" s="620" t="s">
        <v>2934</v>
      </c>
      <c r="B50" s="621"/>
      <c r="C50" s="2612">
        <f>R50</f>
        <v>49993</v>
      </c>
      <c r="D50" s="2612"/>
      <c r="E50" s="2612"/>
      <c r="F50" s="2612"/>
      <c r="G50" s="2612"/>
      <c r="H50" s="2612"/>
      <c r="I50" s="2612"/>
      <c r="J50" s="2612"/>
      <c r="K50" s="1611"/>
      <c r="L50" s="2142"/>
      <c r="M50" s="2132"/>
      <c r="N50" s="2132"/>
      <c r="O50" s="2132"/>
      <c r="P50" s="3503" t="str">
        <f>A50</f>
        <v>估价对象XX用房的比较价格（楼面单价，元/平方米）</v>
      </c>
      <c r="Q50" s="3418"/>
      <c r="R50" s="3496">
        <f>IF(F1="售价",ROUND(AVERAGE(R49:V49),0),ROUND(AVERAGE(R49:V49),1))</f>
        <v>49993</v>
      </c>
      <c r="S50" s="3496"/>
      <c r="T50" s="3496"/>
      <c r="U50" s="3496"/>
      <c r="V50" s="3496"/>
      <c r="W50" s="3496"/>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0.23730163354893841</v>
      </c>
      <c r="F53" s="626" t="str">
        <f>IF(OR(E53&gt;=0.3,E53&lt;=-0.3),"超过30%","")</f>
        <v/>
      </c>
      <c r="G53" s="625">
        <f>IF(G48&lt;G49,G49/G48-1,G48/G49-1)</f>
        <v>0.23729562527618198</v>
      </c>
      <c r="H53" s="626" t="str">
        <f>IF(OR(G53&gt;=0.3,G53&lt;=-0.3),"超过30%","")</f>
        <v/>
      </c>
      <c r="I53" s="625">
        <f>IF(I48&lt;I49,I49/I48-1,I48/I49-1)</f>
        <v>0.24968120377454728</v>
      </c>
      <c r="J53" s="626"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8.3328072722681723E-2</v>
      </c>
      <c r="F54" s="626" t="str">
        <f>IF(OR(E54&gt;=0.2,E54&lt;=-0.2),"超过20%","")</f>
        <v/>
      </c>
      <c r="G54" s="625">
        <f>IF(G49&lt;I49,I49/G49-1,G49/I49-1)</f>
        <v>7.2596426993245311E-2</v>
      </c>
      <c r="H54" s="626" t="str">
        <f>IF(OR(G54&gt;=0.2,G54&lt;=-0.2),"超过20%","")</f>
        <v/>
      </c>
      <c r="I54" s="625">
        <f>IF(I49&lt;E49,E49/I49-1,I49/E49-1)</f>
        <v>1.0005296921899776E-2</v>
      </c>
      <c r="J54" s="626"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3" t="s">
        <v>559</v>
      </c>
      <c r="D55" s="627"/>
      <c r="E55" s="625">
        <f>IF(E48&lt;G48,G48/E48-1,E48/G48-1)</f>
        <v>8.3333333333333259E-2</v>
      </c>
      <c r="F55" s="626" t="str">
        <f>IF(OR(E55&gt;=0.3,E55&lt;=-0.3),"超过30%","")</f>
        <v/>
      </c>
      <c r="G55" s="625">
        <f>IF(G48&lt;I48,I48/G48-1,G48/I48-1)</f>
        <v>8.3333333333333259E-2</v>
      </c>
      <c r="H55" s="626" t="str">
        <f>IF(OR(G55&gt;=0.3,G55&lt;=-0.3),"超过30%","")</f>
        <v/>
      </c>
      <c r="I55" s="625">
        <f>IF(I48&lt;E48,E48/I48-1,I48/E48-1)</f>
        <v>0</v>
      </c>
      <c r="J55" s="626"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4" t="s">
        <v>529</v>
      </c>
      <c r="B59" s="645"/>
      <c r="C59" s="2777" t="str">
        <f>YEAR(C7)&amp;"-"&amp;MONTH(C7)</f>
        <v>2019-2</v>
      </c>
      <c r="D59" s="2779">
        <f>EDATE(C59,-1)</f>
        <v>43466</v>
      </c>
      <c r="E59" s="2779">
        <f t="shared" ref="E59:O59" si="16">EDATE(D59,-1)</f>
        <v>43435</v>
      </c>
      <c r="F59" s="2779">
        <f t="shared" si="16"/>
        <v>43405</v>
      </c>
      <c r="G59" s="2779">
        <f t="shared" si="16"/>
        <v>43374</v>
      </c>
      <c r="H59" s="2779">
        <f t="shared" si="16"/>
        <v>43344</v>
      </c>
      <c r="I59" s="2779">
        <f t="shared" si="16"/>
        <v>43313</v>
      </c>
      <c r="J59" s="2779">
        <f t="shared" si="16"/>
        <v>43282</v>
      </c>
      <c r="K59" s="2779">
        <f t="shared" si="16"/>
        <v>43252</v>
      </c>
      <c r="L59" s="2779">
        <f t="shared" si="16"/>
        <v>43221</v>
      </c>
      <c r="M59" s="2779">
        <f t="shared" si="16"/>
        <v>43191</v>
      </c>
      <c r="N59" s="2779">
        <f t="shared" si="16"/>
        <v>43160</v>
      </c>
      <c r="O59" s="2779">
        <f t="shared" si="16"/>
        <v>43132</v>
      </c>
      <c r="P59" s="2209"/>
      <c r="Q59" s="2159"/>
      <c r="R59" s="2159"/>
      <c r="S59" s="2159"/>
      <c r="T59" s="2159"/>
      <c r="U59" s="2159"/>
      <c r="V59" s="2159"/>
      <c r="W59" s="2159"/>
      <c r="X59" s="2159"/>
      <c r="Y59" s="2159"/>
      <c r="Z59" s="2159"/>
      <c r="AA59" s="2159"/>
      <c r="AB59" s="2159"/>
      <c r="AC59" s="2159"/>
    </row>
    <row r="60" spans="1:29" s="1217"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7"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7"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t="str">
        <f>C9</f>
        <v>办公</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97</v>
      </c>
      <c r="G67" s="678">
        <f>F67-$K10</f>
        <v>94</v>
      </c>
      <c r="H67" s="678">
        <f>G67-$K10</f>
        <v>91</v>
      </c>
      <c r="I67" s="678">
        <f>H67-$K10</f>
        <v>88</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2（含）-3</v>
      </c>
      <c r="D68" s="681" t="str">
        <f t="shared" ref="D68:L68" si="17">D69&amp;"（含）"&amp;"-"&amp;E69</f>
        <v>3（含）-4</v>
      </c>
      <c r="E68" s="681" t="str">
        <f t="shared" si="17"/>
        <v>4（含）-5</v>
      </c>
      <c r="F68" s="681" t="str">
        <f t="shared" si="17"/>
        <v>5（含）-6</v>
      </c>
      <c r="G68" s="681" t="str">
        <f t="shared" si="17"/>
        <v>6（含）-7</v>
      </c>
      <c r="H68" s="681" t="str">
        <f t="shared" si="17"/>
        <v>7（含）-8</v>
      </c>
      <c r="I68" s="681" t="str">
        <f t="shared" si="17"/>
        <v>8（含）-9</v>
      </c>
      <c r="J68" s="681" t="str">
        <f t="shared" si="17"/>
        <v>9（含）-10</v>
      </c>
      <c r="K68" s="681" t="str">
        <f t="shared" si="17"/>
        <v>10（含）-11</v>
      </c>
      <c r="L68" s="681" t="str">
        <f t="shared" si="17"/>
        <v>11（含）-12</v>
      </c>
      <c r="M68" s="554" t="str">
        <f>M69&amp;"（含）"&amp;"-"&amp;P69</f>
        <v>12（含）-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v>2</v>
      </c>
      <c r="D69" s="540">
        <v>3</v>
      </c>
      <c r="E69" s="540">
        <v>4</v>
      </c>
      <c r="F69" s="540">
        <v>5</v>
      </c>
      <c r="G69" s="540">
        <v>6</v>
      </c>
      <c r="H69" s="540">
        <v>7</v>
      </c>
      <c r="I69" s="540">
        <v>8</v>
      </c>
      <c r="J69" s="540">
        <v>9</v>
      </c>
      <c r="K69" s="540">
        <v>10</v>
      </c>
      <c r="L69" s="540">
        <v>11</v>
      </c>
      <c r="M69" s="540">
        <v>12</v>
      </c>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99</v>
      </c>
      <c r="E70" s="678">
        <f t="shared" si="18"/>
        <v>98</v>
      </c>
      <c r="F70" s="678">
        <f t="shared" si="18"/>
        <v>97</v>
      </c>
      <c r="G70" s="678">
        <f t="shared" si="18"/>
        <v>96</v>
      </c>
      <c r="H70" s="678">
        <f t="shared" si="18"/>
        <v>95</v>
      </c>
      <c r="I70" s="678">
        <f t="shared" si="18"/>
        <v>94</v>
      </c>
      <c r="J70" s="678">
        <f t="shared" si="18"/>
        <v>93</v>
      </c>
      <c r="K70" s="678">
        <f t="shared" si="18"/>
        <v>92</v>
      </c>
      <c r="L70" s="678">
        <f t="shared" si="18"/>
        <v>91</v>
      </c>
      <c r="M70" s="679">
        <f t="shared" si="18"/>
        <v>90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95</v>
      </c>
      <c r="E80" s="678">
        <f>D80-$K17</f>
        <v>90</v>
      </c>
      <c r="F80" s="678">
        <f>E80-$K17</f>
        <v>85</v>
      </c>
      <c r="G80" s="678">
        <f>F80-$K17</f>
        <v>80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95</v>
      </c>
      <c r="E82" s="678">
        <f>D82-$K19</f>
        <v>90</v>
      </c>
      <c r="F82" s="678">
        <f>E82-$K19</f>
        <v>85</v>
      </c>
      <c r="G82" s="678">
        <f>F82-$K19</f>
        <v>80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3" t="s">
        <v>2558</v>
      </c>
      <c r="C83" s="2574" t="s">
        <v>2559</v>
      </c>
      <c r="D83" s="2574" t="s">
        <v>2560</v>
      </c>
      <c r="E83" s="2574" t="s">
        <v>2561</v>
      </c>
      <c r="F83" s="2574" t="s">
        <v>2562</v>
      </c>
      <c r="G83" s="2574" t="s">
        <v>2563</v>
      </c>
      <c r="H83" s="673"/>
      <c r="I83" s="673"/>
      <c r="J83" s="673"/>
      <c r="K83" s="673"/>
      <c r="L83" s="673"/>
      <c r="M83" s="2577"/>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99</v>
      </c>
      <c r="E84" s="678">
        <f>D84-$K21</f>
        <v>98</v>
      </c>
      <c r="F84" s="678">
        <f>E84-$K21</f>
        <v>97</v>
      </c>
      <c r="G84" s="678">
        <f>F84-$K21</f>
        <v>96</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95</v>
      </c>
      <c r="E86" s="678">
        <f>D86-$K23</f>
        <v>90</v>
      </c>
      <c r="F86" s="678">
        <f>E86-$K23</f>
        <v>85</v>
      </c>
      <c r="G86" s="678">
        <f>F86-$K23</f>
        <v>80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8"/>
      <c r="B87" s="672" t="s">
        <v>785</v>
      </c>
      <c r="C87" s="3176" t="s">
        <v>3318</v>
      </c>
      <c r="D87" s="687"/>
      <c r="E87" s="3176" t="s">
        <v>3320</v>
      </c>
      <c r="F87" s="3176" t="s">
        <v>3315</v>
      </c>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8"/>
      <c r="B88" s="677"/>
      <c r="C88" s="711">
        <v>100</v>
      </c>
      <c r="D88" s="678">
        <f t="shared" ref="D88:M88" si="19">C88-$K25</f>
        <v>99</v>
      </c>
      <c r="E88" s="678">
        <f t="shared" si="19"/>
        <v>98</v>
      </c>
      <c r="F88" s="678">
        <f t="shared" si="19"/>
        <v>97</v>
      </c>
      <c r="G88" s="678">
        <f t="shared" si="19"/>
        <v>96</v>
      </c>
      <c r="H88" s="678">
        <f t="shared" si="19"/>
        <v>95</v>
      </c>
      <c r="I88" s="678">
        <f t="shared" si="19"/>
        <v>94</v>
      </c>
      <c r="J88" s="678">
        <f t="shared" si="19"/>
        <v>93</v>
      </c>
      <c r="K88" s="678">
        <f t="shared" si="19"/>
        <v>92</v>
      </c>
      <c r="L88" s="678">
        <f t="shared" si="19"/>
        <v>91</v>
      </c>
      <c r="M88" s="678">
        <f t="shared" si="19"/>
        <v>90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t="str">
        <f>B29</f>
        <v>居住成熟度</v>
      </c>
      <c r="C93" s="3196" t="s">
        <v>579</v>
      </c>
      <c r="D93" s="3196" t="s">
        <v>580</v>
      </c>
      <c r="E93" s="3196" t="s">
        <v>581</v>
      </c>
      <c r="F93" s="3196" t="s">
        <v>582</v>
      </c>
      <c r="G93" s="3196" t="s">
        <v>583</v>
      </c>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v>100</v>
      </c>
      <c r="D94" s="670">
        <v>95</v>
      </c>
      <c r="E94" s="691">
        <v>90</v>
      </c>
      <c r="F94" s="670">
        <v>85</v>
      </c>
      <c r="G94" s="691">
        <v>80</v>
      </c>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t="str">
        <f>B30</f>
        <v>商业繁华度</v>
      </c>
      <c r="C95" s="3196" t="s">
        <v>579</v>
      </c>
      <c r="D95" s="3196" t="s">
        <v>580</v>
      </c>
      <c r="E95" s="3196" t="s">
        <v>581</v>
      </c>
      <c r="F95" s="3196" t="s">
        <v>582</v>
      </c>
      <c r="G95" s="3196" t="s">
        <v>583</v>
      </c>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v>100</v>
      </c>
      <c r="D96" s="670">
        <v>97</v>
      </c>
      <c r="E96" s="691">
        <v>94</v>
      </c>
      <c r="F96" s="670">
        <v>91</v>
      </c>
      <c r="G96" s="691">
        <v>88</v>
      </c>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3174" t="s">
        <v>3296</v>
      </c>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95</v>
      </c>
      <c r="E102" s="678">
        <f t="shared" si="22"/>
        <v>90</v>
      </c>
      <c r="F102" s="678">
        <f t="shared" si="22"/>
        <v>85</v>
      </c>
      <c r="G102" s="678">
        <f t="shared" si="22"/>
        <v>80</v>
      </c>
      <c r="H102" s="678">
        <f t="shared" si="22"/>
        <v>75</v>
      </c>
      <c r="I102" s="678">
        <f t="shared" si="22"/>
        <v>70</v>
      </c>
      <c r="J102" s="678">
        <f t="shared" si="22"/>
        <v>65</v>
      </c>
      <c r="K102" s="678">
        <f t="shared" si="22"/>
        <v>60</v>
      </c>
      <c r="L102" s="678">
        <f t="shared" si="22"/>
        <v>55</v>
      </c>
      <c r="M102" s="679">
        <f t="shared" si="22"/>
        <v>50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0(含)-1000</v>
      </c>
      <c r="D103" s="707" t="str">
        <f t="shared" ref="D103:L103" si="23">D104&amp;"(含)"&amp;"-"&amp;E104</f>
        <v>1000(含)-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7"/>
      <c r="B104" s="728"/>
      <c r="C104" s="729">
        <v>0</v>
      </c>
      <c r="D104" s="729">
        <v>1000</v>
      </c>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3176" t="s">
        <v>3297</v>
      </c>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95</v>
      </c>
      <c r="E107" s="678">
        <f t="shared" si="24"/>
        <v>90</v>
      </c>
      <c r="F107" s="678">
        <f t="shared" si="24"/>
        <v>85</v>
      </c>
      <c r="G107" s="678">
        <f t="shared" si="24"/>
        <v>80</v>
      </c>
      <c r="H107" s="678">
        <f t="shared" si="24"/>
        <v>75</v>
      </c>
      <c r="I107" s="678">
        <f t="shared" si="24"/>
        <v>70</v>
      </c>
      <c r="J107" s="678">
        <f t="shared" si="24"/>
        <v>65</v>
      </c>
      <c r="K107" s="678">
        <f t="shared" si="24"/>
        <v>60</v>
      </c>
      <c r="L107" s="678">
        <f t="shared" si="24"/>
        <v>55</v>
      </c>
      <c r="M107" s="679">
        <f t="shared" si="24"/>
        <v>50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3176" t="s">
        <v>3298</v>
      </c>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3176" t="s">
        <v>3299</v>
      </c>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95</v>
      </c>
      <c r="E116" s="678">
        <f t="shared" si="28"/>
        <v>90</v>
      </c>
      <c r="F116" s="678">
        <f t="shared" si="28"/>
        <v>85</v>
      </c>
      <c r="G116" s="678">
        <f t="shared" si="28"/>
        <v>80</v>
      </c>
      <c r="H116" s="678">
        <f t="shared" si="28"/>
        <v>75</v>
      </c>
      <c r="I116" s="678">
        <f t="shared" si="28"/>
        <v>70</v>
      </c>
      <c r="J116" s="678">
        <f t="shared" si="28"/>
        <v>65</v>
      </c>
      <c r="K116" s="678">
        <f t="shared" si="28"/>
        <v>60</v>
      </c>
      <c r="L116" s="678">
        <f t="shared" si="28"/>
        <v>55</v>
      </c>
      <c r="M116" s="679">
        <f t="shared" si="28"/>
        <v>50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3176" t="s">
        <v>3312</v>
      </c>
      <c r="E117" s="3176" t="s">
        <v>3301</v>
      </c>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3175" t="s">
        <v>3303</v>
      </c>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95</v>
      </c>
      <c r="E120" s="678">
        <f t="shared" ref="E120:M120" si="29">D120-$K41</f>
        <v>90</v>
      </c>
      <c r="F120" s="678">
        <f t="shared" si="29"/>
        <v>85</v>
      </c>
      <c r="G120" s="678">
        <f t="shared" si="29"/>
        <v>80</v>
      </c>
      <c r="H120" s="678">
        <f t="shared" si="29"/>
        <v>75</v>
      </c>
      <c r="I120" s="678">
        <f t="shared" si="29"/>
        <v>70</v>
      </c>
      <c r="J120" s="678">
        <f t="shared" si="29"/>
        <v>65</v>
      </c>
      <c r="K120" s="678">
        <f t="shared" si="29"/>
        <v>60</v>
      </c>
      <c r="L120" s="678">
        <f t="shared" si="29"/>
        <v>55</v>
      </c>
      <c r="M120" s="678">
        <f t="shared" si="29"/>
        <v>50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3176" t="s">
        <v>3048</v>
      </c>
      <c r="D123" s="687"/>
      <c r="E123" s="3176"/>
      <c r="F123" s="3175" t="s">
        <v>3304</v>
      </c>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97</v>
      </c>
      <c r="E124" s="678">
        <f t="shared" si="30"/>
        <v>94</v>
      </c>
      <c r="F124" s="678">
        <f t="shared" si="30"/>
        <v>91</v>
      </c>
      <c r="G124" s="678">
        <f t="shared" si="30"/>
        <v>88</v>
      </c>
      <c r="H124" s="678">
        <f t="shared" si="30"/>
        <v>85</v>
      </c>
      <c r="I124" s="678">
        <f t="shared" si="30"/>
        <v>82</v>
      </c>
      <c r="J124" s="678">
        <f t="shared" si="30"/>
        <v>79</v>
      </c>
      <c r="K124" s="678">
        <f t="shared" si="30"/>
        <v>76</v>
      </c>
      <c r="L124" s="678">
        <f t="shared" si="30"/>
        <v>73</v>
      </c>
      <c r="M124" s="679">
        <f t="shared" si="30"/>
        <v>70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6" sqref="F2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3066</v>
      </c>
      <c r="D1" s="3098" t="s">
        <v>3322</v>
      </c>
      <c r="E1" s="2363" t="s">
        <v>2374</v>
      </c>
      <c r="F1" s="2364">
        <f ca="1">J53</f>
        <v>24.05</v>
      </c>
      <c r="G1" s="773">
        <f>MATCH(C1,'数据-取费表'!A6:A16,0)+5</f>
        <v>6</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97879</v>
      </c>
      <c r="C2" s="2055"/>
      <c r="D2" s="2053"/>
      <c r="E2" s="2054"/>
      <c r="F2" s="2054"/>
      <c r="G2" s="1588"/>
      <c r="H2" s="2055"/>
      <c r="I2" s="2055"/>
      <c r="J2" s="2055"/>
      <c r="K2" s="2056"/>
      <c r="L2" s="2055"/>
      <c r="M2" s="2055"/>
    </row>
    <row r="3" spans="1:33" ht="18" customHeight="1" thickBot="1">
      <c r="A3" s="832" t="s">
        <v>1727</v>
      </c>
      <c r="B3" s="833">
        <f ca="1">IF(ISERROR(B2*10000/F43),0,ROUND(B2*10000/F43,0))</f>
        <v>21886</v>
      </c>
      <c r="C3" s="2055"/>
      <c r="D3" s="2053"/>
      <c r="E3" s="2054"/>
      <c r="F3" s="2054"/>
      <c r="G3" s="1588"/>
      <c r="H3" s="775" t="s">
        <v>695</v>
      </c>
      <c r="I3" s="1360"/>
      <c r="J3" s="1360"/>
      <c r="K3" s="1589"/>
      <c r="L3" s="1360"/>
      <c r="M3" s="1360"/>
    </row>
    <row r="4" spans="1:33" ht="18" customHeight="1">
      <c r="A4" s="776" t="s">
        <v>1728</v>
      </c>
      <c r="B4" s="777" t="s">
        <v>1729</v>
      </c>
      <c r="C4" s="777" t="s">
        <v>1730</v>
      </c>
      <c r="D4" s="777" t="s">
        <v>633</v>
      </c>
      <c r="E4" s="778" t="s">
        <v>1731</v>
      </c>
      <c r="F4" s="779"/>
      <c r="G4" s="1590"/>
      <c r="H4" s="776" t="s">
        <v>1732</v>
      </c>
      <c r="I4" s="777" t="s">
        <v>1733</v>
      </c>
      <c r="J4" s="777" t="s">
        <v>1734</v>
      </c>
      <c r="K4" s="777" t="s">
        <v>1735</v>
      </c>
      <c r="L4" s="778" t="s">
        <v>1736</v>
      </c>
      <c r="M4" s="779"/>
    </row>
    <row r="5" spans="1:33" ht="18" customHeight="1">
      <c r="A5" s="780">
        <v>1</v>
      </c>
      <c r="B5" s="781" t="s">
        <v>2458</v>
      </c>
      <c r="C5" s="55">
        <f ca="1">C6+C10+C12</f>
        <v>7364</v>
      </c>
      <c r="D5" s="2472" t="s">
        <v>2461</v>
      </c>
      <c r="E5" s="2466"/>
      <c r="F5" s="2467"/>
      <c r="G5" s="1590"/>
      <c r="H5" s="780">
        <v>1</v>
      </c>
      <c r="I5" s="781" t="s">
        <v>2458</v>
      </c>
      <c r="J5" s="55">
        <f ca="1">J6+J10+J12</f>
        <v>0</v>
      </c>
      <c r="K5" s="2472" t="s">
        <v>2461</v>
      </c>
      <c r="L5" s="2466"/>
      <c r="M5" s="2467"/>
    </row>
    <row r="6" spans="1:33" ht="18" customHeight="1">
      <c r="A6" s="1828" t="s">
        <v>1824</v>
      </c>
      <c r="B6" s="3455" t="s">
        <v>2463</v>
      </c>
      <c r="C6" s="782">
        <f ca="1">ROUND(F6*F8*F7*(1-F9)/10000,0)</f>
        <v>7346</v>
      </c>
      <c r="D6" s="2473" t="s">
        <v>2462</v>
      </c>
      <c r="E6" s="783" t="s">
        <v>1738</v>
      </c>
      <c r="F6" s="784">
        <f ca="1">INDIRECT("'数据-取费表'!u"&amp;$G$1)</f>
        <v>5</v>
      </c>
      <c r="G6" s="1590"/>
      <c r="H6" s="2480" t="s">
        <v>2468</v>
      </c>
      <c r="I6" s="3455" t="s">
        <v>2463</v>
      </c>
      <c r="J6" s="782">
        <f ca="1">ROUND(M6*M8*M7*(1-M9)/10000,0)</f>
        <v>0</v>
      </c>
      <c r="K6" s="340" t="s">
        <v>1737</v>
      </c>
      <c r="L6" s="783" t="s">
        <v>1738</v>
      </c>
      <c r="M6" s="784">
        <f ca="1">INDIRECT("'数据-取费表'!z"&amp;$G$1)</f>
        <v>0</v>
      </c>
    </row>
    <row r="7" spans="1:33" ht="18" customHeight="1">
      <c r="A7" s="2476"/>
      <c r="B7" s="3456"/>
      <c r="C7" s="787"/>
      <c r="D7" s="788"/>
      <c r="E7" s="783" t="s">
        <v>1739</v>
      </c>
      <c r="F7" s="784">
        <f ca="1">IF(INDIRECT("'数据-取费表'!ah"&amp;$G$1)="",INDIRECT("'数据-取费表'!k"&amp;$G$1),INDIRECT("'数据-取费表'!ah"&amp;$G$1))</f>
        <v>44722.86</v>
      </c>
      <c r="G7" s="1590"/>
      <c r="H7" s="2465"/>
      <c r="I7" s="3456"/>
      <c r="J7" s="787"/>
      <c r="K7" s="788"/>
      <c r="L7" s="783" t="s">
        <v>1739</v>
      </c>
      <c r="M7" s="784">
        <f ca="1">F7</f>
        <v>44722.86</v>
      </c>
    </row>
    <row r="8" spans="1:33" ht="18" customHeight="1">
      <c r="A8" s="2469"/>
      <c r="B8" s="3457"/>
      <c r="C8" s="787"/>
      <c r="D8" s="788"/>
      <c r="E8" s="783" t="s">
        <v>1740</v>
      </c>
      <c r="F8" s="784">
        <f ca="1">INDIRECT("'数据-取费表'!ai"&amp;$G$1)</f>
        <v>365</v>
      </c>
      <c r="G8" s="1590"/>
      <c r="H8" s="2465"/>
      <c r="I8" s="3457"/>
      <c r="J8" s="787"/>
      <c r="K8" s="788"/>
      <c r="L8" s="783" t="s">
        <v>1740</v>
      </c>
      <c r="M8" s="784">
        <f ca="1">INDIRECT("'数据-取费表'!ai"&amp;$G$1)</f>
        <v>365</v>
      </c>
    </row>
    <row r="9" spans="1:33" ht="18" customHeight="1">
      <c r="A9" s="785"/>
      <c r="B9" s="3458"/>
      <c r="C9" s="787"/>
      <c r="D9" s="788"/>
      <c r="E9" s="783" t="s">
        <v>1741</v>
      </c>
      <c r="F9" s="793">
        <f ca="1">INDIRECT("'数据-取费表'!w"&amp;$G$1)</f>
        <v>0.1</v>
      </c>
      <c r="G9" s="1590"/>
      <c r="H9" s="2481"/>
      <c r="I9" s="3457"/>
      <c r="J9" s="787"/>
      <c r="K9" s="788"/>
      <c r="L9" s="794" t="s">
        <v>1741</v>
      </c>
      <c r="M9" s="795">
        <f ca="1">INDIRECT("'数据-取费表'!ab"&amp;$G$1)</f>
        <v>0</v>
      </c>
    </row>
    <row r="10" spans="1:33" ht="18" customHeight="1">
      <c r="A10" s="1828" t="s">
        <v>2466</v>
      </c>
      <c r="B10" s="2470" t="s">
        <v>2459</v>
      </c>
      <c r="C10" s="798">
        <f ca="1">ROUND(IF(F10="押一",C6/12*F11,IF(F10="押二",C6/12*2*F11,IF(F10="押三",C6/12*3*F11,C11*F11))),0)</f>
        <v>18</v>
      </c>
      <c r="D10" s="2477" t="s">
        <v>2975</v>
      </c>
      <c r="E10" s="2474" t="s">
        <v>2464</v>
      </c>
      <c r="F10" s="2597" t="s">
        <v>3323</v>
      </c>
      <c r="G10" s="1590"/>
      <c r="H10" s="2537" t="s">
        <v>2469</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2465</v>
      </c>
      <c r="F11" s="795">
        <f ca="1">'数据-取费表'!B39</f>
        <v>1.4999999999999999E-2</v>
      </c>
      <c r="G11" s="1590"/>
      <c r="H11" s="2538"/>
      <c r="I11" s="2471" t="s">
        <v>2573</v>
      </c>
      <c r="J11" s="2475"/>
      <c r="K11" s="2539"/>
      <c r="L11" s="2474" t="s">
        <v>2465</v>
      </c>
      <c r="M11" s="2468">
        <f ca="1">'数据-取费表'!B39</f>
        <v>1.4999999999999999E-2</v>
      </c>
    </row>
    <row r="12" spans="1:33" ht="18" customHeight="1" thickBot="1">
      <c r="A12" s="2513" t="s">
        <v>2467</v>
      </c>
      <c r="B12" s="2514" t="s">
        <v>2460</v>
      </c>
      <c r="C12" s="2515"/>
      <c r="D12" s="2516"/>
      <c r="E12" s="2517"/>
      <c r="F12" s="2518"/>
      <c r="G12" s="1590"/>
      <c r="H12" s="2527" t="s">
        <v>2470</v>
      </c>
      <c r="I12" s="2540" t="s">
        <v>2460</v>
      </c>
      <c r="J12" s="2541"/>
      <c r="K12" s="2516"/>
      <c r="L12" s="2517"/>
      <c r="M12" s="2530"/>
    </row>
    <row r="13" spans="1:33" ht="18" customHeight="1" thickTop="1">
      <c r="A13" s="1827">
        <v>2</v>
      </c>
      <c r="B13" s="1825" t="s">
        <v>1742</v>
      </c>
      <c r="C13" s="791">
        <f ca="1">ROUND(C29*F13,0)</f>
        <v>26004</v>
      </c>
      <c r="D13" s="1832" t="s">
        <v>2297</v>
      </c>
      <c r="E13" s="1832" t="s">
        <v>1744</v>
      </c>
      <c r="F13" s="2512">
        <f ca="1">INDIRECT("'数据-取费表'!y"&amp;$G$1)</f>
        <v>1</v>
      </c>
      <c r="G13" s="1590"/>
      <c r="H13" s="1827">
        <v>2</v>
      </c>
      <c r="I13" s="1825" t="s">
        <v>1742</v>
      </c>
      <c r="J13" s="1817">
        <f ca="1">ROUND(J14*J15,0)</f>
        <v>0</v>
      </c>
      <c r="K13" s="1819" t="s">
        <v>1743</v>
      </c>
      <c r="L13" s="2528"/>
      <c r="M13" s="2529"/>
    </row>
    <row r="14" spans="1:33" ht="18" customHeight="1">
      <c r="A14" s="1646" t="s">
        <v>1884</v>
      </c>
      <c r="B14" s="783" t="s">
        <v>645</v>
      </c>
      <c r="C14" s="803">
        <f ca="1">INDIRECT("'数据-取费表'!m"&amp;$G$1)+INDIRECT("'数据-取费表'!t"&amp;$G$1)</f>
        <v>18125</v>
      </c>
      <c r="D14" s="1977" t="s">
        <v>1745</v>
      </c>
      <c r="E14" s="1978"/>
      <c r="F14" s="804"/>
      <c r="G14" s="1590"/>
      <c r="H14" s="1647" t="s">
        <v>1830</v>
      </c>
      <c r="I14" s="2229" t="s">
        <v>2825</v>
      </c>
      <c r="J14" s="53">
        <f ca="1">C29</f>
        <v>26004</v>
      </c>
      <c r="K14" s="26"/>
      <c r="L14" s="800"/>
      <c r="M14" s="801"/>
    </row>
    <row r="15" spans="1:33" s="2062" customFormat="1" ht="18" customHeight="1" thickBot="1">
      <c r="A15" s="1646" t="s">
        <v>1885</v>
      </c>
      <c r="B15" s="783" t="s">
        <v>647</v>
      </c>
      <c r="C15" s="53">
        <f ca="1">ROUND(C14*F15,0)</f>
        <v>544</v>
      </c>
      <c r="D15" s="805" t="s">
        <v>1746</v>
      </c>
      <c r="E15" s="805" t="s">
        <v>1747</v>
      </c>
      <c r="F15" s="806">
        <f>'数据-取费表'!B33</f>
        <v>0.03</v>
      </c>
      <c r="G15" s="1591"/>
      <c r="H15" s="2527" t="s">
        <v>1889</v>
      </c>
      <c r="I15" s="2522" t="s">
        <v>1744</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1886</v>
      </c>
      <c r="B16" s="783" t="s">
        <v>650</v>
      </c>
      <c r="C16" s="53">
        <f ca="1">ROUND(INDIRECT("'数据-取费表'!m"&amp;$G$1)*F16,0)</f>
        <v>0</v>
      </c>
      <c r="D16" s="783" t="s">
        <v>1746</v>
      </c>
      <c r="E16" s="783" t="s">
        <v>1747</v>
      </c>
      <c r="F16" s="808">
        <f ca="1">IF(INDIRECT("'数据-取费表'!c"&amp;$G$1)="住宅",'数据-取费表'!B34,0)</f>
        <v>0</v>
      </c>
      <c r="G16" s="1590"/>
      <c r="H16" s="1827" t="s">
        <v>1748</v>
      </c>
      <c r="I16" s="1825" t="s">
        <v>1749</v>
      </c>
      <c r="J16" s="791">
        <f ca="1">ROUND(J17+J22+J23+J24,0)</f>
        <v>2576</v>
      </c>
      <c r="K16" s="1819" t="s">
        <v>1750</v>
      </c>
      <c r="L16" s="2462"/>
      <c r="M16" s="2467"/>
    </row>
    <row r="17" spans="1:33" s="2062" customFormat="1" ht="18" customHeight="1">
      <c r="A17" s="1646" t="s">
        <v>1887</v>
      </c>
      <c r="B17" s="783" t="s">
        <v>653</v>
      </c>
      <c r="C17" s="53">
        <f ca="1">ROUND(F17*(F43+INDIRECT("'数据-取费表'!S"&amp;$G$1))/10000,0)</f>
        <v>910</v>
      </c>
      <c r="D17" s="783" t="s">
        <v>1751</v>
      </c>
      <c r="E17" s="783" t="s">
        <v>1752</v>
      </c>
      <c r="F17" s="56">
        <f>'数据-取费表'!B35</f>
        <v>200</v>
      </c>
      <c r="G17" s="1591"/>
      <c r="H17" s="1647" t="s">
        <v>1830</v>
      </c>
      <c r="I17" s="783" t="s">
        <v>656</v>
      </c>
      <c r="J17" s="53">
        <f ca="1">ROUND(IF(项目基本情况!B11="自然人",J5*M17,J18+J19+J20),0)</f>
        <v>2186</v>
      </c>
      <c r="K17" s="2461" t="s">
        <v>1753</v>
      </c>
      <c r="L17" s="2460" t="s">
        <v>1754</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272</v>
      </c>
      <c r="D18" s="783" t="s">
        <v>1746</v>
      </c>
      <c r="E18" s="783" t="s">
        <v>1747</v>
      </c>
      <c r="F18" s="808">
        <f>'数据-取费表'!B36</f>
        <v>1.4999999999999999E-2</v>
      </c>
      <c r="G18" s="1591"/>
      <c r="H18" s="1646" t="s">
        <v>1884</v>
      </c>
      <c r="I18" s="783" t="s">
        <v>1755</v>
      </c>
      <c r="J18" s="53">
        <f ca="1">ROUND(J5*M18/1.05,1)</f>
        <v>0</v>
      </c>
      <c r="K18" s="2460" t="s">
        <v>1756</v>
      </c>
      <c r="L18" s="783" t="s">
        <v>1747</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1830</v>
      </c>
      <c r="B19" s="783" t="s">
        <v>662</v>
      </c>
      <c r="C19" s="53">
        <f ca="1">SUM(C14:C18)</f>
        <v>19851</v>
      </c>
      <c r="D19" s="260" t="s">
        <v>1757</v>
      </c>
      <c r="E19" s="1980"/>
      <c r="F19" s="56"/>
      <c r="G19" s="1590"/>
      <c r="H19" s="1646" t="s">
        <v>1885</v>
      </c>
      <c r="I19" s="783" t="s">
        <v>1758</v>
      </c>
      <c r="J19" s="53">
        <f ca="1">IF(K19="按租金收入计税",ROUND(J5*M19,1),ROUND(C29*F33*0.7,1))</f>
        <v>2184.3000000000002</v>
      </c>
      <c r="K19" s="810" t="s">
        <v>665</v>
      </c>
      <c r="L19" s="783" t="s">
        <v>1747</v>
      </c>
      <c r="M19" s="808">
        <f>IF(K19="按租金收入计税",'数据-取费表'!B51,'数据-取费表'!B50)</f>
        <v>1.2E-2</v>
      </c>
    </row>
    <row r="20" spans="1:33" s="2062" customFormat="1" ht="18" customHeight="1">
      <c r="A20" s="1647" t="s">
        <v>1889</v>
      </c>
      <c r="B20" s="783" t="s">
        <v>666</v>
      </c>
      <c r="C20" s="53">
        <f ca="1">ROUND(C19*F20,0)</f>
        <v>397</v>
      </c>
      <c r="D20" s="811" t="s">
        <v>1759</v>
      </c>
      <c r="E20" s="783" t="s">
        <v>1747</v>
      </c>
      <c r="F20" s="808">
        <f>'数据-取费表'!B37</f>
        <v>0.02</v>
      </c>
      <c r="G20" s="1591"/>
      <c r="H20" s="1649" t="s">
        <v>1880</v>
      </c>
      <c r="I20" s="340" t="s">
        <v>1760</v>
      </c>
      <c r="J20" s="54">
        <f ca="1">ROUND(M20*M21/10000,0)</f>
        <v>2</v>
      </c>
      <c r="K20" s="813" t="s">
        <v>1761</v>
      </c>
      <c r="L20" s="783" t="s">
        <v>1762</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1763</v>
      </c>
      <c r="C21" s="53" t="s">
        <v>1764</v>
      </c>
      <c r="D21" s="811" t="s">
        <v>2298</v>
      </c>
      <c r="E21" s="783" t="s">
        <v>1765</v>
      </c>
      <c r="F21" s="808">
        <f>'数据-取费表'!B38</f>
        <v>0.02</v>
      </c>
      <c r="G21" s="1591"/>
      <c r="H21" s="2482"/>
      <c r="I21" s="792"/>
      <c r="J21" s="69"/>
      <c r="K21" s="815"/>
      <c r="L21" s="783" t="s">
        <v>1766</v>
      </c>
      <c r="M21" s="784">
        <f ca="1">INDIRECT("'数据-取费表'!r"&amp;$G$1)</f>
        <v>10355.700000000001</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1767</v>
      </c>
      <c r="C22" s="53"/>
      <c r="D22" s="2548" t="str">
        <f>IF(F23&lt;=1,"单利计息。","复利计息。")&amp;"建造成本、管理费用、销售费用产生的利息。"</f>
        <v>复利计息。建造成本、管理费用、销售费用产生的利息。</v>
      </c>
      <c r="E22" s="1980"/>
      <c r="F22" s="56"/>
      <c r="G22" s="1590"/>
      <c r="H22" s="1647" t="s">
        <v>1889</v>
      </c>
      <c r="I22" s="783" t="s">
        <v>1768</v>
      </c>
      <c r="J22" s="53">
        <f ca="1">ROUND(J14*M22,0)</f>
        <v>390</v>
      </c>
      <c r="K22" s="2460" t="s">
        <v>1769</v>
      </c>
      <c r="L22" s="783" t="s">
        <v>1747</v>
      </c>
      <c r="M22" s="816">
        <f ca="1">INDIRECT("'数据-取费表'!Ak"&amp;$G$1)</f>
        <v>1.4999999999999999E-2</v>
      </c>
    </row>
    <row r="23" spans="1:33" s="2062" customFormat="1" ht="18" customHeight="1">
      <c r="A23" s="1646" t="s">
        <v>1831</v>
      </c>
      <c r="B23" s="783" t="s">
        <v>2535</v>
      </c>
      <c r="C23" s="53">
        <f ca="1">ROUND(IF('数据-取费表'!B22&lt;=1,(C19+C20)*F24*F23/2,(C19+C20)*(POWER((1+F24),F23/2)-1)),0)</f>
        <v>717</v>
      </c>
      <c r="D23" s="2547" t="str">
        <f>IF(F23&lt;=1,"(建造成本+管理费用)×利率×(建设周期÷2)","(建造成本+管理费用)×((1+利率)^(建设周期÷2)-1)")</f>
        <v>(建造成本+管理费用)×((1+利率)^(建设周期÷2)-1)</v>
      </c>
      <c r="E23" s="783" t="s">
        <v>1770</v>
      </c>
      <c r="F23" s="639">
        <f>'数据-取费表'!B20</f>
        <v>1.5</v>
      </c>
      <c r="G23" s="1591"/>
      <c r="H23" s="1647" t="s">
        <v>1890</v>
      </c>
      <c r="I23" s="783" t="s">
        <v>679</v>
      </c>
      <c r="J23" s="53">
        <f ca="1">ROUND(J13*M23,0)</f>
        <v>0</v>
      </c>
      <c r="K23" s="2460" t="s">
        <v>1771</v>
      </c>
      <c r="L23" s="783" t="s">
        <v>1747</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1772</v>
      </c>
      <c r="C24" s="53">
        <f ca="1">ROUND(IF('数据-取费表'!B22&lt;=1,F21*F24*F23/2,F21*(POWER((1+F24),F23/2)-1)),4)</f>
        <v>6.9999999999999999E-4</v>
      </c>
      <c r="D24" s="2547" t="str">
        <f>IF(F23&lt;=1,"销售费用×利率×(建设周期÷2)","销售费用×((1+利率)^(建设周期÷2)-1)")</f>
        <v>销售费用×((1+利率)^(建设周期÷2)-1)</v>
      </c>
      <c r="E24" s="783" t="s">
        <v>1773</v>
      </c>
      <c r="F24" s="818">
        <f ca="1">'数据-取费表'!B40</f>
        <v>4.7500000000000001E-2</v>
      </c>
      <c r="G24" s="1591"/>
      <c r="H24" s="2527" t="s">
        <v>1891</v>
      </c>
      <c r="I24" s="2522" t="s">
        <v>666</v>
      </c>
      <c r="J24" s="2520">
        <f ca="1">ROUND(J5*M24,0)</f>
        <v>0</v>
      </c>
      <c r="K24" s="2521" t="s">
        <v>1774</v>
      </c>
      <c r="L24" s="2522" t="s">
        <v>1747</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1775</v>
      </c>
      <c r="E25" s="1980"/>
      <c r="F25" s="56"/>
      <c r="G25" s="1590"/>
      <c r="H25" s="1827" t="s">
        <v>1776</v>
      </c>
      <c r="I25" s="2982" t="s">
        <v>2821</v>
      </c>
      <c r="J25" s="791">
        <f ca="1">J5-J16</f>
        <v>-2576</v>
      </c>
      <c r="K25" s="2524" t="s">
        <v>1777</v>
      </c>
      <c r="L25" s="2525"/>
      <c r="M25" s="2526"/>
    </row>
    <row r="26" spans="1:33" ht="18" customHeight="1">
      <c r="A26" s="1646" t="s">
        <v>1831</v>
      </c>
      <c r="B26" s="783" t="s">
        <v>2438</v>
      </c>
      <c r="C26" s="53">
        <f ca="1">ROUND((C19+C20)*F26,0)</f>
        <v>3037</v>
      </c>
      <c r="D26" s="811" t="s">
        <v>1778</v>
      </c>
      <c r="E26" s="794" t="s">
        <v>1779</v>
      </c>
      <c r="F26" s="793">
        <f ca="1">INDIRECT("'数据-取费表'!q"&amp;$G$1)</f>
        <v>0.15</v>
      </c>
      <c r="G26" s="1590"/>
      <c r="H26" s="2478" t="s">
        <v>1780</v>
      </c>
      <c r="I26" s="2230" t="s">
        <v>2826</v>
      </c>
      <c r="J26" s="782">
        <f ca="1">IF(J5&lt;&gt;0,ROUND(J25*(1-((1+M28)/(1+M26))^M27)/(M26-M28),0),0)</f>
        <v>0</v>
      </c>
      <c r="K26" s="813" t="s">
        <v>1781</v>
      </c>
      <c r="L26" s="783" t="s">
        <v>2419</v>
      </c>
      <c r="M26" s="793">
        <f ca="1">INDIRECT("'数据-取费表'!I"&amp;$G$1)</f>
        <v>5.5E-2</v>
      </c>
    </row>
    <row r="27" spans="1:33" ht="18" customHeight="1">
      <c r="A27" s="1646" t="s">
        <v>1832</v>
      </c>
      <c r="B27" s="783" t="s">
        <v>686</v>
      </c>
      <c r="C27" s="53">
        <f ca="1">ROUND(F21*F26,4)</f>
        <v>3.0000000000000001E-3</v>
      </c>
      <c r="D27" s="811" t="s">
        <v>1782</v>
      </c>
      <c r="E27" s="805"/>
      <c r="F27" s="806"/>
      <c r="G27" s="1590"/>
      <c r="H27" s="2479"/>
      <c r="I27" s="786"/>
      <c r="J27" s="787"/>
      <c r="K27" s="820" t="s">
        <v>1783</v>
      </c>
      <c r="L27" s="783" t="s">
        <v>1784</v>
      </c>
      <c r="M27" s="821">
        <f ca="1">INDIRECT("'数据-取费表'!ag"&amp;$G$1)</f>
        <v>0</v>
      </c>
    </row>
    <row r="28" spans="1:33" s="2062" customFormat="1" ht="18" customHeight="1">
      <c r="A28" s="1648" t="s">
        <v>1841</v>
      </c>
      <c r="B28" s="783" t="s">
        <v>687</v>
      </c>
      <c r="C28" s="53">
        <f>ROUND(F28/(1+'数据-取费表'!C42),4)</f>
        <v>5.33E-2</v>
      </c>
      <c r="D28" s="811" t="s">
        <v>2299</v>
      </c>
      <c r="E28" s="783" t="s">
        <v>1785</v>
      </c>
      <c r="F28" s="808">
        <f>'数据-取费表'!B41</f>
        <v>5.6000000000000001E-2</v>
      </c>
      <c r="G28" s="1591"/>
      <c r="H28" s="1827"/>
      <c r="I28" s="790"/>
      <c r="J28" s="791"/>
      <c r="K28" s="815"/>
      <c r="L28" s="783" t="s">
        <v>1786</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26004</v>
      </c>
      <c r="D29" s="2521"/>
      <c r="E29" s="2522"/>
      <c r="F29" s="2523"/>
      <c r="G29" s="1591"/>
      <c r="H29" s="822" t="s">
        <v>1787</v>
      </c>
      <c r="I29" s="823" t="s">
        <v>1788</v>
      </c>
      <c r="J29" s="824">
        <f ca="1">ROUND(J26/(1+F40)^F41,0)</f>
        <v>0</v>
      </c>
      <c r="K29" s="825" t="s">
        <v>1789</v>
      </c>
      <c r="L29" s="826"/>
      <c r="M29" s="827">
        <f ca="1">INDIRECT("'数据-取费表'!k"&amp;$G$1)</f>
        <v>44722.86</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1">
        <f ca="1">ROUND(C31+C36+C37+C38,0)</f>
        <v>1781</v>
      </c>
      <c r="D30" s="1819" t="s">
        <v>1791</v>
      </c>
      <c r="E30" s="2462"/>
      <c r="F30" s="2467"/>
      <c r="G30" s="2060"/>
      <c r="H30" s="2063"/>
      <c r="I30" s="2064"/>
      <c r="J30" s="2065"/>
      <c r="K30" s="2066"/>
      <c r="L30" s="2067"/>
      <c r="M30" s="2068"/>
    </row>
    <row r="31" spans="1:33" ht="18" customHeight="1">
      <c r="A31" s="1647" t="s">
        <v>1830</v>
      </c>
      <c r="B31" s="783" t="s">
        <v>656</v>
      </c>
      <c r="C31" s="53">
        <f ca="1">ROUND(IF(项目基本情况!B11="自然人",C5*F31,C32+C33+C34),1)</f>
        <v>1278</v>
      </c>
      <c r="D31" s="1977" t="s">
        <v>1792</v>
      </c>
      <c r="E31" s="1975"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1794</v>
      </c>
      <c r="C32" s="53">
        <f ca="1">ROUND(C5*F32/1.05,1)</f>
        <v>392.7</v>
      </c>
      <c r="D32" s="1975" t="s">
        <v>1795</v>
      </c>
      <c r="E32" s="783" t="s">
        <v>1796</v>
      </c>
      <c r="F32" s="808">
        <f>'数据-取费表'!B41</f>
        <v>5.6000000000000001E-2</v>
      </c>
      <c r="G32" s="2060"/>
      <c r="H32" s="2069"/>
      <c r="I32" s="2070"/>
      <c r="J32" s="2071"/>
      <c r="K32" s="2072"/>
      <c r="L32" s="2073"/>
      <c r="M32" s="2074"/>
    </row>
    <row r="33" spans="1:18" ht="18" customHeight="1">
      <c r="A33" s="1646" t="s">
        <v>1832</v>
      </c>
      <c r="B33" s="783" t="s">
        <v>1797</v>
      </c>
      <c r="C33" s="53">
        <f ca="1">IF(D33="按租金收入计税",ROUND(C5*F33,1),IF(D33="按房产原值计税",ROUND(C29*F33*0.7,1),INDIRECT("'数据-取费表'!Aj"&amp;$G$1)))</f>
        <v>883.7</v>
      </c>
      <c r="D33" s="810" t="s">
        <v>3324</v>
      </c>
      <c r="E33" s="783" t="s">
        <v>1796</v>
      </c>
      <c r="F33" s="808">
        <f>IF(D33="按租金收入计税",'数据-取费表'!B51,'数据-取费表'!B50)</f>
        <v>0.12</v>
      </c>
      <c r="G33" s="2060"/>
      <c r="H33" s="2075"/>
      <c r="I33" s="2075"/>
      <c r="J33" s="2075"/>
      <c r="K33" s="2076"/>
      <c r="L33" s="2075"/>
      <c r="M33" s="2075"/>
    </row>
    <row r="34" spans="1:18" ht="18" customHeight="1">
      <c r="A34" s="1649" t="s">
        <v>1833</v>
      </c>
      <c r="B34" s="340" t="s">
        <v>1798</v>
      </c>
      <c r="C34" s="54">
        <f ca="1">ROUND(F34*F35/10000,1)</f>
        <v>1.6</v>
      </c>
      <c r="D34" s="813" t="s">
        <v>1799</v>
      </c>
      <c r="E34" s="783" t="s">
        <v>1800</v>
      </c>
      <c r="F34" s="639">
        <f>'数据-取费表'!B52</f>
        <v>1.5</v>
      </c>
      <c r="G34" s="2060"/>
      <c r="H34" s="2063"/>
      <c r="I34" s="834" t="s">
        <v>1813</v>
      </c>
      <c r="J34" s="835"/>
      <c r="K34" s="2078"/>
      <c r="L34" s="2077"/>
      <c r="M34" s="2077"/>
    </row>
    <row r="35" spans="1:18" ht="18" customHeight="1">
      <c r="A35" s="814"/>
      <c r="B35" s="792"/>
      <c r="C35" s="69"/>
      <c r="D35" s="815"/>
      <c r="E35" s="783" t="s">
        <v>1801</v>
      </c>
      <c r="F35" s="784">
        <f ca="1">INDIRECT("'数据-取费表'!r"&amp;$G$1)</f>
        <v>10355.700000000001</v>
      </c>
      <c r="G35" s="2060"/>
      <c r="H35" s="2063"/>
      <c r="I35" s="836" t="s">
        <v>1814</v>
      </c>
      <c r="J35" s="837">
        <f ca="1">ROUND(C13*J36,0)</f>
        <v>2210</v>
      </c>
      <c r="K35" s="2076"/>
      <c r="L35" s="2075"/>
      <c r="M35" s="2075"/>
    </row>
    <row r="36" spans="1:18" ht="18" customHeight="1">
      <c r="A36" s="1647" t="s">
        <v>1889</v>
      </c>
      <c r="B36" s="783" t="s">
        <v>1802</v>
      </c>
      <c r="C36" s="53">
        <f ca="1">ROUND(C29*F36,1)</f>
        <v>390.1</v>
      </c>
      <c r="D36" s="1975"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39</v>
      </c>
      <c r="D37" s="1975" t="s">
        <v>1804</v>
      </c>
      <c r="E37" s="783" t="s">
        <v>1796</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73.599999999999994</v>
      </c>
      <c r="D38" s="2521" t="s">
        <v>1805</v>
      </c>
      <c r="E38" s="2522" t="s">
        <v>1796</v>
      </c>
      <c r="F38" s="2518">
        <f ca="1">INDIRECT("'数据-取费表'!Am"&amp;$G$1)</f>
        <v>0.01</v>
      </c>
      <c r="G38" s="2060"/>
      <c r="H38" s="2075"/>
      <c r="I38" s="842" t="s">
        <v>1817</v>
      </c>
      <c r="J38" s="843"/>
      <c r="K38" s="2081"/>
      <c r="L38" s="2075"/>
      <c r="M38" s="2075"/>
    </row>
    <row r="39" spans="1:18" ht="24.6" customHeight="1" thickTop="1">
      <c r="A39" s="1827" t="s">
        <v>1894</v>
      </c>
      <c r="B39" s="2982" t="s">
        <v>2821</v>
      </c>
      <c r="C39" s="791">
        <f ca="1">C5-C30</f>
        <v>5583</v>
      </c>
      <c r="D39" s="2524" t="s">
        <v>1806</v>
      </c>
      <c r="E39" s="2525"/>
      <c r="F39" s="2526"/>
      <c r="G39" s="2060"/>
      <c r="H39" s="2075"/>
      <c r="I39" s="836" t="s">
        <v>1818</v>
      </c>
      <c r="J39" s="844">
        <f ca="1">ROUND(J35/C39,3)</f>
        <v>0.39600000000000002</v>
      </c>
      <c r="K39" s="2081"/>
      <c r="L39" s="2075"/>
      <c r="M39" s="2075"/>
    </row>
    <row r="40" spans="1:18" ht="18" customHeight="1">
      <c r="A40" s="780" t="s">
        <v>1895</v>
      </c>
      <c r="B40" s="2230" t="s">
        <v>2301</v>
      </c>
      <c r="C40" s="782">
        <f ca="1">ROUND(C39*(1-((1+F42)/(1+F40))^F41)/(F40-F42),0)</f>
        <v>97879</v>
      </c>
      <c r="D40" s="813" t="s">
        <v>1807</v>
      </c>
      <c r="E40" s="783" t="s">
        <v>2419</v>
      </c>
      <c r="F40" s="793">
        <f ca="1">INDIRECT("'数据-取费表'!I"&amp;$G$1)</f>
        <v>5.5E-2</v>
      </c>
      <c r="G40" s="2060"/>
      <c r="H40" s="2060"/>
      <c r="I40" s="836" t="s">
        <v>1819</v>
      </c>
      <c r="J40" s="844">
        <f ca="1">1-J39</f>
        <v>0.60399999999999998</v>
      </c>
      <c r="K40" s="2081"/>
      <c r="L40" s="2060"/>
      <c r="M40" s="2060"/>
    </row>
    <row r="41" spans="1:18" ht="18" customHeight="1">
      <c r="A41" s="785"/>
      <c r="B41" s="786"/>
      <c r="C41" s="787"/>
      <c r="D41" s="820" t="s">
        <v>1808</v>
      </c>
      <c r="E41" s="783" t="s">
        <v>2965</v>
      </c>
      <c r="F41" s="821">
        <f ca="1">IF(INDIRECT("'数据-取费表'!af"&amp;$G$1)=0,INDIRECT("'数据-取费表'!ae"&amp;$G$1),INDIRECT("'数据-取费表'!af"&amp;$G$1))</f>
        <v>24.05</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0.26600000000000001</v>
      </c>
      <c r="K42" s="2080"/>
      <c r="L42" s="1986"/>
      <c r="M42" s="1986"/>
    </row>
    <row r="43" spans="1:18" ht="18" customHeight="1" thickBot="1">
      <c r="A43" s="822" t="s">
        <v>1787</v>
      </c>
      <c r="B43" s="823" t="s">
        <v>1810</v>
      </c>
      <c r="C43" s="824">
        <f ca="1">ROUND(C40*10000/F43,0)</f>
        <v>21886</v>
      </c>
      <c r="D43" s="825" t="s">
        <v>1811</v>
      </c>
      <c r="E43" s="826" t="s">
        <v>1812</v>
      </c>
      <c r="F43" s="827">
        <f ca="1">INDIRECT("'数据-取费表'!k"&amp;$G$1)</f>
        <v>44722.86</v>
      </c>
      <c r="G43" s="2060"/>
      <c r="H43" s="1986"/>
      <c r="I43" s="846" t="s">
        <v>1822</v>
      </c>
      <c r="J43" s="847">
        <f ca="1">1-J42</f>
        <v>0.73399999999999999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-103553</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40</v>
      </c>
      <c r="M47" s="1602" t="str">
        <f>IF(ISNUMBER(FIND("住宅",C1)),"住宅","非住宅")</f>
        <v>非住宅</v>
      </c>
      <c r="O47" s="2371" t="s">
        <v>2375</v>
      </c>
      <c r="P47" s="2372" t="s">
        <v>2376</v>
      </c>
      <c r="Q47" s="2373" t="s">
        <v>2377</v>
      </c>
      <c r="R47" s="2372" t="s">
        <v>2378</v>
      </c>
    </row>
    <row r="48" spans="1:18" s="2057" customFormat="1" ht="18" customHeight="1" thickBot="1">
      <c r="A48" s="2618" t="s">
        <v>2537</v>
      </c>
      <c r="B48" s="2619" t="s">
        <v>2538</v>
      </c>
      <c r="C48" s="2350">
        <f ca="1">ROUND(F48*F50*F49*(1-F51)/10000,0)</f>
        <v>0</v>
      </c>
      <c r="D48" s="2351" t="s">
        <v>636</v>
      </c>
      <c r="E48" s="2352" t="s">
        <v>2296</v>
      </c>
      <c r="F48" s="2353"/>
      <c r="G48" s="2088"/>
      <c r="I48" s="3099" t="s">
        <v>2345</v>
      </c>
      <c r="J48" s="2358" t="s">
        <v>2350</v>
      </c>
      <c r="K48" s="3128" t="s">
        <v>2351</v>
      </c>
      <c r="L48" s="1906">
        <f ca="1">INDIRECT("'数据-取费表'!f"&amp;$G$1)</f>
        <v>25.55</v>
      </c>
      <c r="O48" s="2374" t="s">
        <v>2379</v>
      </c>
      <c r="P48" s="2375" t="s">
        <v>2405</v>
      </c>
      <c r="Q48" s="2376">
        <f ca="1">C40+J29</f>
        <v>97879</v>
      </c>
      <c r="R48" s="2375" t="s">
        <v>2380</v>
      </c>
    </row>
    <row r="49" spans="1:18" s="2057" customFormat="1" ht="18" customHeight="1" thickBot="1">
      <c r="A49" s="785"/>
      <c r="B49" s="786"/>
      <c r="C49" s="787"/>
      <c r="D49" s="788"/>
      <c r="E49" s="783" t="s">
        <v>1739</v>
      </c>
      <c r="F49" s="784">
        <f ca="1">F7</f>
        <v>44722.86</v>
      </c>
      <c r="G49" s="2088"/>
      <c r="H49" s="2091"/>
      <c r="I49" s="3099" t="s">
        <v>2346</v>
      </c>
      <c r="J49" s="2359">
        <v>2021</v>
      </c>
      <c r="K49" s="3129" t="s">
        <v>2352</v>
      </c>
      <c r="L49" s="2360"/>
      <c r="O49" s="2374" t="s">
        <v>2381</v>
      </c>
      <c r="P49" s="2375" t="s">
        <v>2406</v>
      </c>
      <c r="Q49" s="2376">
        <f ca="1">J60</f>
        <v>1990</v>
      </c>
      <c r="R49" s="2375" t="s">
        <v>2382</v>
      </c>
    </row>
    <row r="50" spans="1:18" s="2057" customFormat="1" ht="18" customHeight="1" thickBot="1">
      <c r="A50" s="785"/>
      <c r="B50" s="786"/>
      <c r="C50" s="787"/>
      <c r="D50" s="788"/>
      <c r="E50" s="783" t="s">
        <v>1740</v>
      </c>
      <c r="F50" s="784">
        <f ca="1">F8</f>
        <v>365</v>
      </c>
      <c r="G50" s="2093"/>
      <c r="H50" s="2091"/>
      <c r="I50" s="3099" t="s">
        <v>2347</v>
      </c>
      <c r="J50" s="3124">
        <f>SUMPRODUCT((I63:I65=J47)*(J62:L62=J48)*(J63:L65))</f>
        <v>60</v>
      </c>
      <c r="K50" s="3129" t="s">
        <v>2353</v>
      </c>
      <c r="L50" s="2360"/>
      <c r="O50" s="2377" t="s">
        <v>2383</v>
      </c>
      <c r="P50" s="2375" t="s">
        <v>2407</v>
      </c>
      <c r="Q50" s="2376">
        <f ca="1">C29</f>
        <v>26004</v>
      </c>
      <c r="R50" s="2375" t="s">
        <v>2380</v>
      </c>
    </row>
    <row r="51" spans="1:18" s="2057" customFormat="1" ht="18" customHeight="1" thickBot="1">
      <c r="A51" s="785"/>
      <c r="B51" s="786"/>
      <c r="C51" s="787"/>
      <c r="D51" s="788"/>
      <c r="E51" s="783" t="s">
        <v>640</v>
      </c>
      <c r="F51" s="2347"/>
      <c r="H51" s="2091"/>
      <c r="I51" s="3121" t="s">
        <v>2348</v>
      </c>
      <c r="J51" s="3125">
        <f>IF(J49="",J50,J49+J50-YEAR('数据-取费表'!B2))</f>
        <v>62</v>
      </c>
      <c r="K51" s="3099" t="s">
        <v>2354</v>
      </c>
      <c r="L51" s="3132">
        <f ca="1">ROUND(-PV(INDIRECT("'数据-取费表'!h"&amp;$G$1),L48,(C39-C13*J36),0),0)</f>
        <v>48061</v>
      </c>
      <c r="O51" s="2377" t="s">
        <v>2384</v>
      </c>
      <c r="P51" s="2375" t="s">
        <v>2385</v>
      </c>
      <c r="Q51" s="2378">
        <f ca="1">J58</f>
        <v>0.60799999999999998</v>
      </c>
      <c r="R51" s="2379"/>
    </row>
    <row r="52" spans="1:18" s="2057" customFormat="1" ht="18" customHeight="1" thickBot="1">
      <c r="A52" s="780" t="s">
        <v>2536</v>
      </c>
      <c r="B52" s="2470" t="s">
        <v>2459</v>
      </c>
      <c r="C52" s="798">
        <f ca="1">ROUND(IF(F52="押一",C48/12*F11,IF(F52="押二",C48/12*2*F11,IF(F52="押三",C48/12*3*F11,C53*F11))),0)</f>
        <v>0</v>
      </c>
      <c r="D52" s="2477" t="s">
        <v>2976</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24.05</v>
      </c>
      <c r="K53" s="3504" t="s">
        <v>2967</v>
      </c>
      <c r="L53" s="3505"/>
      <c r="O53" s="2377" t="s">
        <v>2388</v>
      </c>
      <c r="P53" s="2375" t="s">
        <v>2389</v>
      </c>
      <c r="Q53" s="2376">
        <f ca="1">J53</f>
        <v>24.05</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99869</v>
      </c>
      <c r="R54" s="2379" t="s">
        <v>2392</v>
      </c>
    </row>
    <row r="55" spans="1:18" s="2057" customFormat="1" ht="18" customHeight="1" thickTop="1" thickBot="1">
      <c r="A55" s="796">
        <v>2</v>
      </c>
      <c r="B55" s="797" t="s">
        <v>644</v>
      </c>
      <c r="C55" s="798">
        <f ca="1">C13</f>
        <v>26004</v>
      </c>
      <c r="D55" s="794"/>
      <c r="E55" s="794"/>
      <c r="F55" s="799"/>
      <c r="I55" s="3135" t="s">
        <v>2355</v>
      </c>
      <c r="J55" s="3074">
        <f ca="1">ROUND(IF(J47="钢混",J57/J50,1-(1-2%)*(J50-J57)/J50),3)</f>
        <v>0.60799999999999998</v>
      </c>
      <c r="K55" s="3136" t="s">
        <v>2356</v>
      </c>
      <c r="L55" s="2362"/>
      <c r="O55" s="2380" t="s">
        <v>2411</v>
      </c>
      <c r="P55" s="1590"/>
      <c r="Q55" s="1602"/>
      <c r="R55" s="1590"/>
    </row>
    <row r="56" spans="1:18" s="2057" customFormat="1" ht="42.75" customHeight="1" thickBot="1">
      <c r="A56" s="1648"/>
      <c r="B56" s="2229" t="s">
        <v>2302</v>
      </c>
      <c r="C56" s="53">
        <f ca="1">C29</f>
        <v>26004</v>
      </c>
      <c r="D56" s="2615"/>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431</v>
      </c>
      <c r="D57" s="26" t="s">
        <v>1750</v>
      </c>
      <c r="E57" s="2616"/>
      <c r="F57" s="56"/>
      <c r="I57" s="3138" t="s">
        <v>2358</v>
      </c>
      <c r="J57" s="3139">
        <f ca="1">IF(OR(M47="住宅",J51&lt;L48,J56="是"),"——",J51-L48)</f>
        <v>36.450000000000003</v>
      </c>
      <c r="K57" s="3099" t="s">
        <v>2363</v>
      </c>
      <c r="L57" s="1906" t="str">
        <f ca="1">IF(L48&lt;J51,"——",IF(L55="比较法",L49,IF(L55="基准地价",L50,L51)))</f>
        <v>——</v>
      </c>
      <c r="O57" s="2374" t="s">
        <v>2379</v>
      </c>
      <c r="P57" s="2375" t="s">
        <v>2409</v>
      </c>
      <c r="Q57" s="2376">
        <f ca="1">C40+J29</f>
        <v>97879</v>
      </c>
      <c r="R57" s="2375" t="s">
        <v>2380</v>
      </c>
    </row>
    <row r="58" spans="1:18" s="2057" customFormat="1" ht="28.5" customHeight="1" thickBot="1">
      <c r="A58" s="1647" t="s">
        <v>1824</v>
      </c>
      <c r="B58" s="783" t="s">
        <v>656</v>
      </c>
      <c r="C58" s="53">
        <f ca="1">ROUND(IF(项目基本情况!B11="自然人",C47*F58,C59+C60+C61),1)</f>
        <v>1.6</v>
      </c>
      <c r="D58" s="2614" t="s">
        <v>657</v>
      </c>
      <c r="E58" s="2615" t="s">
        <v>690</v>
      </c>
      <c r="F58" s="809" t="str">
        <f ca="1">IF(项目基本情况!B11="企业","",IF(INDIRECT("'数据-取费表'!c"&amp;$G$1)="住宅",5%,IF(F48*F49*F50/12/(1+'数据-取费表'!C42)&gt;20000,12%,7%)))</f>
        <v/>
      </c>
      <c r="I58" s="3138" t="s">
        <v>2359</v>
      </c>
      <c r="J58" s="3075">
        <f ca="1">IF(J55&lt;0.4,0.4,J55)</f>
        <v>0.60799999999999998</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2615" t="s">
        <v>1756</v>
      </c>
      <c r="E59" s="783" t="s">
        <v>1747</v>
      </c>
      <c r="F59" s="808">
        <f t="shared" ref="F59:F65" si="0">F32</f>
        <v>5.6000000000000001E-2</v>
      </c>
      <c r="I59" s="3138" t="s">
        <v>2360</v>
      </c>
      <c r="J59" s="3139">
        <f ca="1">IF(OR(M47="住宅",J51&lt;L48,J56="是"),"——",ROUND(C29*J58,0))</f>
        <v>15810</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1758</v>
      </c>
      <c r="C60" s="53">
        <f ca="1">IF(D60="按租金收入计税",ROUND(C47*F60,1),IF(D60="按房产原值计税",ROUND(C56*F60*0.7,1),INDIRECT("'数据-取费表'!Aj"&amp;$G$1)))</f>
        <v>0</v>
      </c>
      <c r="D60" s="2615" t="str">
        <f>D33</f>
        <v>按租金收入计税</v>
      </c>
      <c r="E60" s="783" t="s">
        <v>1747</v>
      </c>
      <c r="F60" s="808">
        <f t="shared" si="0"/>
        <v>0.12</v>
      </c>
      <c r="I60" s="3140" t="s">
        <v>2361</v>
      </c>
      <c r="J60" s="3141">
        <f ca="1">IF(OR(M47="住宅",J51&lt;L48,J56="是"),"0",ROUND(J59/(1+J52)^J53,0))</f>
        <v>1990</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1.6</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10355.700000000001</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390.1</v>
      </c>
      <c r="D63" s="2615" t="s">
        <v>1803</v>
      </c>
      <c r="E63" s="783" t="s">
        <v>1747</v>
      </c>
      <c r="F63" s="816">
        <f t="shared" ca="1" si="0"/>
        <v>1.4999999999999999E-2</v>
      </c>
      <c r="I63" s="3143" t="s">
        <v>2370</v>
      </c>
      <c r="J63" s="3144">
        <v>70</v>
      </c>
      <c r="K63" s="3144">
        <v>50</v>
      </c>
      <c r="L63" s="3144">
        <v>80</v>
      </c>
      <c r="M63" s="3146">
        <v>0.02</v>
      </c>
      <c r="O63" s="2374" t="s">
        <v>2391</v>
      </c>
      <c r="P63" s="2375" t="s">
        <v>2408</v>
      </c>
      <c r="Q63" s="2376">
        <f ca="1">Q57+Q58</f>
        <v>97879</v>
      </c>
      <c r="R63" s="2379" t="s">
        <v>2392</v>
      </c>
    </row>
    <row r="64" spans="1:18" s="2057" customFormat="1" ht="16.5" thickBot="1">
      <c r="A64" s="1647" t="s">
        <v>1890</v>
      </c>
      <c r="B64" s="783" t="s">
        <v>679</v>
      </c>
      <c r="C64" s="53">
        <f ca="1">ROUND(C55*F64,1)</f>
        <v>39</v>
      </c>
      <c r="D64" s="2615" t="s">
        <v>680</v>
      </c>
      <c r="E64" s="783" t="s">
        <v>1747</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2615" t="s">
        <v>683</v>
      </c>
      <c r="E65" s="783" t="s">
        <v>1747</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-431</v>
      </c>
      <c r="D66" s="2614" t="s">
        <v>700</v>
      </c>
      <c r="E66" s="2613"/>
      <c r="F66" s="819"/>
      <c r="K66" s="2084"/>
      <c r="O66" s="2374" t="s">
        <v>2379</v>
      </c>
      <c r="P66" s="2375" t="s">
        <v>2409</v>
      </c>
      <c r="Q66" s="2376">
        <f ca="1">C40+J29</f>
        <v>97879</v>
      </c>
      <c r="R66" s="2375" t="s">
        <v>2380</v>
      </c>
    </row>
    <row r="67" spans="1:18" s="2057" customFormat="1" ht="20.25" thickBot="1">
      <c r="A67" s="780" t="s">
        <v>1780</v>
      </c>
      <c r="B67" s="2230" t="s">
        <v>2301</v>
      </c>
      <c r="C67" s="782">
        <f ca="1">ROUND(C66*(1-((1+F69)/(1+F67))^F68)/(F67-F69),0)</f>
        <v>-5674</v>
      </c>
      <c r="D67" s="813" t="s">
        <v>704</v>
      </c>
      <c r="E67" s="783" t="s">
        <v>705</v>
      </c>
      <c r="F67" s="793">
        <f ca="1">F40</f>
        <v>5.5E-2</v>
      </c>
      <c r="K67" s="2084"/>
      <c r="O67" s="2374" t="s">
        <v>2381</v>
      </c>
      <c r="P67" s="2375" t="s">
        <v>2412</v>
      </c>
      <c r="Q67" s="2376">
        <f ca="1">L60</f>
        <v>0</v>
      </c>
      <c r="R67" s="2379" t="s">
        <v>2414</v>
      </c>
    </row>
    <row r="68" spans="1:18" ht="21.75" thickBot="1">
      <c r="A68" s="785"/>
      <c r="B68" s="786"/>
      <c r="C68" s="787"/>
      <c r="D68" s="820" t="s">
        <v>1808</v>
      </c>
      <c r="E68" s="783" t="s">
        <v>1784</v>
      </c>
      <c r="F68" s="821">
        <f ca="1">F41</f>
        <v>24.05</v>
      </c>
      <c r="O68" s="2377" t="s">
        <v>2383</v>
      </c>
      <c r="P68" s="2375" t="s">
        <v>2413</v>
      </c>
      <c r="Q68" s="2381">
        <f ca="1">L51</f>
        <v>48061</v>
      </c>
      <c r="R68" s="2382" t="s">
        <v>2416</v>
      </c>
    </row>
    <row r="69" spans="1:18" ht="20.25" thickBot="1">
      <c r="A69" s="789"/>
      <c r="B69" s="790"/>
      <c r="C69" s="791"/>
      <c r="D69" s="815"/>
      <c r="E69" s="783" t="s">
        <v>710</v>
      </c>
      <c r="F69" s="2347"/>
      <c r="O69" s="2377" t="s">
        <v>2384</v>
      </c>
      <c r="P69" s="2383" t="s">
        <v>2398</v>
      </c>
      <c r="Q69" s="2376">
        <f ca="1">ROUND(Q70-Q71*Q72,0)</f>
        <v>3373</v>
      </c>
      <c r="R69" s="2379"/>
    </row>
    <row r="70" spans="1:18" ht="15.75" thickBot="1">
      <c r="A70" s="822" t="s">
        <v>1787</v>
      </c>
      <c r="B70" s="823" t="s">
        <v>1810</v>
      </c>
      <c r="C70" s="824">
        <f ca="1">ROUND(C67*10000/F70,0)</f>
        <v>-1269</v>
      </c>
      <c r="D70" s="825" t="s">
        <v>1811</v>
      </c>
      <c r="E70" s="826" t="s">
        <v>1812</v>
      </c>
      <c r="F70" s="827">
        <f ca="1">F43</f>
        <v>44722.86</v>
      </c>
      <c r="O70" s="2377" t="s">
        <v>2399</v>
      </c>
      <c r="P70" s="2383" t="s">
        <v>2400</v>
      </c>
      <c r="Q70" s="2376">
        <f ca="1">C39</f>
        <v>5583</v>
      </c>
      <c r="R70" s="2375" t="s">
        <v>2380</v>
      </c>
    </row>
    <row r="71" spans="1:18" ht="15.75" thickBot="1">
      <c r="O71" s="2377" t="s">
        <v>2401</v>
      </c>
      <c r="P71" s="2383" t="s">
        <v>2402</v>
      </c>
      <c r="Q71" s="2376">
        <f ca="1">C13</f>
        <v>26004</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97879</v>
      </c>
      <c r="R76" s="237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6" sqref="I2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3067</v>
      </c>
      <c r="D1" s="3098" t="s">
        <v>3322</v>
      </c>
      <c r="E1" s="2363" t="s">
        <v>869</v>
      </c>
      <c r="F1" s="2364">
        <f ca="1">J53</f>
        <v>34.049999999999997</v>
      </c>
      <c r="G1" s="773">
        <f>MATCH(C1,'数据-取费表'!A6:A16,0)+5</f>
        <v>7</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60382</v>
      </c>
      <c r="C2" s="2055"/>
      <c r="D2" s="2053"/>
      <c r="E2" s="2054"/>
      <c r="F2" s="2054"/>
      <c r="G2" s="1588"/>
      <c r="H2" s="2055"/>
      <c r="I2" s="2055"/>
      <c r="J2" s="2055"/>
      <c r="K2" s="2056"/>
      <c r="L2" s="2055"/>
      <c r="M2" s="2055"/>
    </row>
    <row r="3" spans="1:33" ht="18" customHeight="1" thickBot="1">
      <c r="A3" s="832" t="s">
        <v>519</v>
      </c>
      <c r="B3" s="833">
        <f ca="1">IF(ISERROR(B2*10000/F43),0,ROUND(B2*10000/F43,0))</f>
        <v>20997</v>
      </c>
      <c r="C3" s="2055"/>
      <c r="D3" s="2053"/>
      <c r="E3" s="2054"/>
      <c r="F3" s="2054"/>
      <c r="G3" s="1588"/>
      <c r="H3" s="775" t="s">
        <v>695</v>
      </c>
      <c r="I3" s="1360"/>
      <c r="J3" s="1360"/>
      <c r="K3" s="1589"/>
      <c r="L3" s="1360"/>
      <c r="M3" s="1360"/>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3599</v>
      </c>
      <c r="D5" s="2472" t="s">
        <v>2461</v>
      </c>
      <c r="E5" s="2466"/>
      <c r="F5" s="2467"/>
      <c r="G5" s="1590"/>
      <c r="H5" s="780">
        <v>1</v>
      </c>
      <c r="I5" s="781" t="s">
        <v>2458</v>
      </c>
      <c r="J5" s="55">
        <f ca="1">J6+J10+J12</f>
        <v>0</v>
      </c>
      <c r="K5" s="2472" t="s">
        <v>2461</v>
      </c>
      <c r="L5" s="2466"/>
      <c r="M5" s="2467"/>
    </row>
    <row r="6" spans="1:33" ht="18" customHeight="1">
      <c r="A6" s="1828" t="s">
        <v>1824</v>
      </c>
      <c r="B6" s="3455" t="s">
        <v>2463</v>
      </c>
      <c r="C6" s="782">
        <f ca="1">ROUND(F6*F8*F7*(1-F9)/10000,0)</f>
        <v>3590</v>
      </c>
      <c r="D6" s="2473" t="s">
        <v>2462</v>
      </c>
      <c r="E6" s="783" t="s">
        <v>637</v>
      </c>
      <c r="F6" s="784">
        <f ca="1">INDIRECT("'数据-取费表'!u"&amp;$G$1)</f>
        <v>3.8</v>
      </c>
      <c r="G6" s="1590"/>
      <c r="H6" s="2480" t="s">
        <v>1824</v>
      </c>
      <c r="I6" s="3455" t="s">
        <v>2463</v>
      </c>
      <c r="J6" s="782">
        <f ca="1">ROUND(M6*M8*M7*(1-M9)/10000,0)</f>
        <v>0</v>
      </c>
      <c r="K6" s="340" t="s">
        <v>636</v>
      </c>
      <c r="L6" s="783" t="s">
        <v>637</v>
      </c>
      <c r="M6" s="784">
        <f ca="1">INDIRECT("'数据-取费表'!z"&amp;$G$1)</f>
        <v>0</v>
      </c>
    </row>
    <row r="7" spans="1:33" ht="18" customHeight="1">
      <c r="A7" s="2476"/>
      <c r="B7" s="3456"/>
      <c r="C7" s="787"/>
      <c r="D7" s="788"/>
      <c r="E7" s="783" t="s">
        <v>638</v>
      </c>
      <c r="F7" s="784">
        <f ca="1">IF(INDIRECT("'数据-取费表'!ah"&amp;$G$1)="",INDIRECT("'数据-取费表'!k"&amp;$G$1),INDIRECT("'数据-取费表'!ah"&amp;$G$1))</f>
        <v>28758.02</v>
      </c>
      <c r="G7" s="1590"/>
      <c r="H7" s="2465"/>
      <c r="I7" s="3456"/>
      <c r="J7" s="787"/>
      <c r="K7" s="788"/>
      <c r="L7" s="783" t="s">
        <v>638</v>
      </c>
      <c r="M7" s="784">
        <f ca="1">F7</f>
        <v>28758.02</v>
      </c>
    </row>
    <row r="8" spans="1:33" ht="18" customHeight="1">
      <c r="A8" s="2469"/>
      <c r="B8" s="3457"/>
      <c r="C8" s="787"/>
      <c r="D8" s="788"/>
      <c r="E8" s="783" t="s">
        <v>639</v>
      </c>
      <c r="F8" s="784">
        <f ca="1">INDIRECT("'数据-取费表'!ai"&amp;$G$1)</f>
        <v>365</v>
      </c>
      <c r="G8" s="1590"/>
      <c r="H8" s="2465"/>
      <c r="I8" s="3457"/>
      <c r="J8" s="787"/>
      <c r="K8" s="788"/>
      <c r="L8" s="783" t="s">
        <v>639</v>
      </c>
      <c r="M8" s="784">
        <f ca="1">INDIRECT("'数据-取费表'!ai"&amp;$G$1)</f>
        <v>365</v>
      </c>
    </row>
    <row r="9" spans="1:33" ht="18" customHeight="1">
      <c r="A9" s="785"/>
      <c r="B9" s="3458"/>
      <c r="C9" s="787"/>
      <c r="D9" s="788"/>
      <c r="E9" s="783" t="s">
        <v>640</v>
      </c>
      <c r="F9" s="793">
        <f ca="1">INDIRECT("'数据-取费表'!w"&amp;$G$1)</f>
        <v>0.1</v>
      </c>
      <c r="G9" s="1590"/>
      <c r="H9" s="2481"/>
      <c r="I9" s="3457"/>
      <c r="J9" s="787"/>
      <c r="K9" s="788"/>
      <c r="L9" s="794" t="s">
        <v>640</v>
      </c>
      <c r="M9" s="795">
        <f ca="1">INDIRECT("'数据-取费表'!ab"&amp;$G$1)</f>
        <v>0</v>
      </c>
    </row>
    <row r="10" spans="1:33" ht="18" customHeight="1">
      <c r="A10" s="1828" t="s">
        <v>1825</v>
      </c>
      <c r="B10" s="2470" t="s">
        <v>2459</v>
      </c>
      <c r="C10" s="798">
        <f ca="1">ROUND(IF(F10="押一",C6/12*F11,IF(F10="押二",C6/12*2*F11,IF(F10="押三",C6/12*3*F11,C11*F11))),0)</f>
        <v>9</v>
      </c>
      <c r="D10" s="2477" t="s">
        <v>2975</v>
      </c>
      <c r="E10" s="2474" t="s">
        <v>2464</v>
      </c>
      <c r="F10" s="2597" t="s">
        <v>3323</v>
      </c>
      <c r="G10" s="1590"/>
      <c r="H10" s="2537" t="s">
        <v>1825</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2456</v>
      </c>
      <c r="F11" s="795">
        <f ca="1">'数据-取费表'!B39</f>
        <v>1.4999999999999999E-2</v>
      </c>
      <c r="G11" s="1590"/>
      <c r="H11" s="2538"/>
      <c r="I11" s="2471" t="s">
        <v>2573</v>
      </c>
      <c r="J11" s="2475"/>
      <c r="K11" s="2539"/>
      <c r="L11" s="2474" t="s">
        <v>2456</v>
      </c>
      <c r="M11" s="2468">
        <f ca="1">'数据-取费表'!B39</f>
        <v>1.4999999999999999E-2</v>
      </c>
    </row>
    <row r="12" spans="1:33" ht="18" customHeight="1" thickBot="1">
      <c r="A12" s="2513" t="s">
        <v>2467</v>
      </c>
      <c r="B12" s="2514" t="s">
        <v>2460</v>
      </c>
      <c r="C12" s="2515"/>
      <c r="D12" s="2516"/>
      <c r="E12" s="2517"/>
      <c r="F12" s="2518"/>
      <c r="G12" s="1590"/>
      <c r="H12" s="2527" t="s">
        <v>2467</v>
      </c>
      <c r="I12" s="2540" t="s">
        <v>2460</v>
      </c>
      <c r="J12" s="2541"/>
      <c r="K12" s="2516"/>
      <c r="L12" s="2517"/>
      <c r="M12" s="2530"/>
    </row>
    <row r="13" spans="1:33" ht="18" customHeight="1" thickTop="1">
      <c r="A13" s="1827">
        <v>2</v>
      </c>
      <c r="B13" s="1825" t="s">
        <v>644</v>
      </c>
      <c r="C13" s="791">
        <f ca="1">ROUND(C29*F13,0)</f>
        <v>14116</v>
      </c>
      <c r="D13" s="1832" t="s">
        <v>2297</v>
      </c>
      <c r="E13" s="1832" t="s">
        <v>643</v>
      </c>
      <c r="F13" s="2512">
        <f ca="1">INDIRECT("'数据-取费表'!y"&amp;$G$1)</f>
        <v>1</v>
      </c>
      <c r="G13" s="1590"/>
      <c r="H13" s="1827">
        <v>2</v>
      </c>
      <c r="I13" s="1825" t="s">
        <v>644</v>
      </c>
      <c r="J13" s="1817">
        <f ca="1">ROUND(J14*J15,0)</f>
        <v>0</v>
      </c>
      <c r="K13" s="1819" t="s">
        <v>642</v>
      </c>
      <c r="L13" s="2528"/>
      <c r="M13" s="2529"/>
    </row>
    <row r="14" spans="1:33" ht="18" customHeight="1">
      <c r="A14" s="1646" t="s">
        <v>1831</v>
      </c>
      <c r="B14" s="783" t="s">
        <v>645</v>
      </c>
      <c r="C14" s="803">
        <f ca="1">INDIRECT("'数据-取费表'!m"&amp;$G$1)+INDIRECT("'数据-取费表'!t"&amp;$G$1)</f>
        <v>10217</v>
      </c>
      <c r="D14" s="3198" t="s">
        <v>646</v>
      </c>
      <c r="E14" s="3199"/>
      <c r="F14" s="804"/>
      <c r="G14" s="1590"/>
      <c r="H14" s="1647" t="s">
        <v>1824</v>
      </c>
      <c r="I14" s="2229" t="s">
        <v>2824</v>
      </c>
      <c r="J14" s="53">
        <f ca="1">C29</f>
        <v>14116</v>
      </c>
      <c r="K14" s="26"/>
      <c r="L14" s="800"/>
      <c r="M14" s="801"/>
    </row>
    <row r="15" spans="1:33" s="2062" customFormat="1" ht="18" customHeight="1" thickBot="1">
      <c r="A15" s="1646" t="s">
        <v>1832</v>
      </c>
      <c r="B15" s="783" t="s">
        <v>647</v>
      </c>
      <c r="C15" s="53">
        <f ca="1">ROUND(C14*F15,0)</f>
        <v>307</v>
      </c>
      <c r="D15" s="805" t="s">
        <v>648</v>
      </c>
      <c r="E15" s="805" t="s">
        <v>649</v>
      </c>
      <c r="F15" s="806">
        <f>'数据-取费表'!B33</f>
        <v>0.03</v>
      </c>
      <c r="G15" s="1591"/>
      <c r="H15" s="2527" t="s">
        <v>1889</v>
      </c>
      <c r="I15" s="2522" t="s">
        <v>643</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3" t="s">
        <v>650</v>
      </c>
      <c r="C16" s="53">
        <f ca="1">ROUND(INDIRECT("'数据-取费表'!m"&amp;$G$1)*F16,0)</f>
        <v>0</v>
      </c>
      <c r="D16" s="783" t="s">
        <v>648</v>
      </c>
      <c r="E16" s="783" t="s">
        <v>649</v>
      </c>
      <c r="F16" s="808">
        <f ca="1">IF(INDIRECT("'数据-取费表'!c"&amp;$G$1)="住宅",'数据-取费表'!B34,0)</f>
        <v>0</v>
      </c>
      <c r="G16" s="1590"/>
      <c r="H16" s="1827" t="s">
        <v>1748</v>
      </c>
      <c r="I16" s="1825" t="s">
        <v>651</v>
      </c>
      <c r="J16" s="791">
        <f ca="1">ROUND(J17+J22+J23+J24,0)</f>
        <v>1399</v>
      </c>
      <c r="K16" s="1819" t="s">
        <v>652</v>
      </c>
      <c r="L16" s="3200"/>
      <c r="M16" s="2467"/>
    </row>
    <row r="17" spans="1:33" s="2062" customFormat="1" ht="18" customHeight="1">
      <c r="A17" s="1646" t="s">
        <v>1887</v>
      </c>
      <c r="B17" s="783" t="s">
        <v>653</v>
      </c>
      <c r="C17" s="53">
        <f ca="1">ROUND(F17*(F43+INDIRECT("'数据-取费表'!S"&amp;$G$1))/10000,0)</f>
        <v>585</v>
      </c>
      <c r="D17" s="783" t="s">
        <v>654</v>
      </c>
      <c r="E17" s="783" t="s">
        <v>655</v>
      </c>
      <c r="F17" s="56">
        <f>'数据-取费表'!B35</f>
        <v>200</v>
      </c>
      <c r="G17" s="1591"/>
      <c r="H17" s="1647" t="s">
        <v>1824</v>
      </c>
      <c r="I17" s="783" t="s">
        <v>656</v>
      </c>
      <c r="J17" s="53">
        <f ca="1">ROUND(IF(项目基本情况!B11="自然人",J5*M17,J18+J19+J20),0)</f>
        <v>1187</v>
      </c>
      <c r="K17" s="3198" t="s">
        <v>657</v>
      </c>
      <c r="L17" s="3197" t="s">
        <v>658</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153</v>
      </c>
      <c r="D18" s="783" t="s">
        <v>648</v>
      </c>
      <c r="E18" s="783" t="s">
        <v>649</v>
      </c>
      <c r="F18" s="808">
        <f>'数据-取费表'!B36</f>
        <v>1.4999999999999999E-2</v>
      </c>
      <c r="G18" s="1591"/>
      <c r="H18" s="1646" t="s">
        <v>1831</v>
      </c>
      <c r="I18" s="783" t="s">
        <v>660</v>
      </c>
      <c r="J18" s="53">
        <f ca="1">ROUND(J5*M18/1.05,1)</f>
        <v>0</v>
      </c>
      <c r="K18" s="3197" t="s">
        <v>661</v>
      </c>
      <c r="L18" s="783" t="s">
        <v>649</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3" t="s">
        <v>662</v>
      </c>
      <c r="C19" s="53">
        <f ca="1">SUM(C14:C18)</f>
        <v>11262</v>
      </c>
      <c r="D19" s="260" t="s">
        <v>663</v>
      </c>
      <c r="E19" s="3202"/>
      <c r="F19" s="56"/>
      <c r="G19" s="1590"/>
      <c r="H19" s="1646" t="s">
        <v>1832</v>
      </c>
      <c r="I19" s="783" t="s">
        <v>664</v>
      </c>
      <c r="J19" s="53">
        <f ca="1">IF(K19="按租金收入计税",ROUND(J5*M19,1),ROUND(C29*F33*0.7,1))</f>
        <v>1185.7</v>
      </c>
      <c r="K19" s="810" t="s">
        <v>665</v>
      </c>
      <c r="L19" s="783" t="s">
        <v>649</v>
      </c>
      <c r="M19" s="808">
        <f>IF(K19="按租金收入计税",'数据-取费表'!B51,'数据-取费表'!B50)</f>
        <v>1.2E-2</v>
      </c>
    </row>
    <row r="20" spans="1:33" s="2062" customFormat="1" ht="18" customHeight="1">
      <c r="A20" s="1647" t="s">
        <v>1889</v>
      </c>
      <c r="B20" s="783" t="s">
        <v>666</v>
      </c>
      <c r="C20" s="53">
        <f ca="1">ROUND(C19*F20,0)</f>
        <v>225</v>
      </c>
      <c r="D20" s="811" t="s">
        <v>667</v>
      </c>
      <c r="E20" s="783" t="s">
        <v>649</v>
      </c>
      <c r="F20" s="808">
        <f>'数据-取费表'!B37</f>
        <v>0.02</v>
      </c>
      <c r="G20" s="1591"/>
      <c r="H20" s="1649" t="s">
        <v>1833</v>
      </c>
      <c r="I20" s="340" t="s">
        <v>668</v>
      </c>
      <c r="J20" s="54">
        <f ca="1">ROUND(M20*M21/10000,0)</f>
        <v>1</v>
      </c>
      <c r="K20" s="813" t="s">
        <v>669</v>
      </c>
      <c r="L20" s="783" t="s">
        <v>670</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671</v>
      </c>
      <c r="C21" s="53" t="s">
        <v>1764</v>
      </c>
      <c r="D21" s="811" t="s">
        <v>2298</v>
      </c>
      <c r="E21" s="783" t="s">
        <v>673</v>
      </c>
      <c r="F21" s="808">
        <f>'数据-取费表'!B38</f>
        <v>0.02</v>
      </c>
      <c r="G21" s="1591"/>
      <c r="H21" s="2482"/>
      <c r="I21" s="792"/>
      <c r="J21" s="69"/>
      <c r="K21" s="815"/>
      <c r="L21" s="783" t="s">
        <v>674</v>
      </c>
      <c r="M21" s="784">
        <f ca="1">INDIRECT("'数据-取费表'!r"&amp;$G$1)</f>
        <v>6659</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675</v>
      </c>
      <c r="C22" s="53"/>
      <c r="D22" s="2548" t="str">
        <f>IF(F23&lt;=1,"单利计息。","复利计息。")&amp;"建造成本、管理费用、销售费用产生的利息。"</f>
        <v>复利计息。建造成本、管理费用、销售费用产生的利息。</v>
      </c>
      <c r="E22" s="3202"/>
      <c r="F22" s="56"/>
      <c r="G22" s="1590"/>
      <c r="H22" s="1647" t="s">
        <v>1889</v>
      </c>
      <c r="I22" s="783" t="s">
        <v>676</v>
      </c>
      <c r="J22" s="53">
        <f ca="1">ROUND(J14*M22,0)</f>
        <v>212</v>
      </c>
      <c r="K22" s="3197" t="s">
        <v>677</v>
      </c>
      <c r="L22" s="783" t="s">
        <v>649</v>
      </c>
      <c r="M22" s="816">
        <f ca="1">INDIRECT("'数据-取费表'!Ak"&amp;$G$1)</f>
        <v>1.4999999999999999E-2</v>
      </c>
    </row>
    <row r="23" spans="1:33" s="2062" customFormat="1" ht="18" customHeight="1">
      <c r="A23" s="1646" t="s">
        <v>1831</v>
      </c>
      <c r="B23" s="783" t="s">
        <v>2437</v>
      </c>
      <c r="C23" s="53">
        <f ca="1">ROUND(IF('数据-取费表'!B22&lt;=1,(C19+C20)*F24*F23/2,(C19+C20)*(POWER((1+F24),F23/2)-1)),0)</f>
        <v>407</v>
      </c>
      <c r="D23" s="2547" t="str">
        <f>IF(F23&lt;=1,"(建造成本+管理费用)×利率×(建设周期÷2)","(建造成本+管理费用)×((1+利率)^(建设周期÷2)-1)")</f>
        <v>(建造成本+管理费用)×((1+利率)^(建设周期÷2)-1)</v>
      </c>
      <c r="E23" s="783" t="s">
        <v>678</v>
      </c>
      <c r="F23" s="639">
        <f>'数据-取费表'!B20</f>
        <v>1.5</v>
      </c>
      <c r="G23" s="1591"/>
      <c r="H23" s="1647" t="s">
        <v>1890</v>
      </c>
      <c r="I23" s="783" t="s">
        <v>679</v>
      </c>
      <c r="J23" s="53">
        <f ca="1">ROUND(J13*M23,0)</f>
        <v>0</v>
      </c>
      <c r="K23" s="3197" t="s">
        <v>680</v>
      </c>
      <c r="L23" s="783" t="s">
        <v>649</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681</v>
      </c>
      <c r="C24" s="53">
        <f ca="1">ROUND(IF('数据-取费表'!B22&lt;=1,F21*F24*F23/2,F21*(POWER((1+F24),F23/2)-1)),4)</f>
        <v>6.9999999999999999E-4</v>
      </c>
      <c r="D24" s="2547" t="str">
        <f>IF(F23&lt;=1,"销售费用×利率×(建设周期÷2)","销售费用×((1+利率)^(建设周期÷2)-1)")</f>
        <v>销售费用×((1+利率)^(建设周期÷2)-1)</v>
      </c>
      <c r="E24" s="783" t="s">
        <v>682</v>
      </c>
      <c r="F24" s="818">
        <f ca="1">'数据-取费表'!B40</f>
        <v>4.7500000000000001E-2</v>
      </c>
      <c r="G24" s="1591"/>
      <c r="H24" s="2527" t="s">
        <v>1891</v>
      </c>
      <c r="I24" s="2522" t="s">
        <v>666</v>
      </c>
      <c r="J24" s="2520">
        <f ca="1">ROUND(J5*M24,0)</f>
        <v>0</v>
      </c>
      <c r="K24" s="2521" t="s">
        <v>683</v>
      </c>
      <c r="L24" s="2522" t="s">
        <v>649</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685</v>
      </c>
      <c r="E25" s="3202"/>
      <c r="F25" s="56"/>
      <c r="G25" s="1590"/>
      <c r="H25" s="1827" t="s">
        <v>1776</v>
      </c>
      <c r="I25" s="2982" t="s">
        <v>2821</v>
      </c>
      <c r="J25" s="791">
        <f ca="1">J5-J16</f>
        <v>-1399</v>
      </c>
      <c r="K25" s="2524" t="s">
        <v>700</v>
      </c>
      <c r="L25" s="2525"/>
      <c r="M25" s="2526"/>
    </row>
    <row r="26" spans="1:33" ht="18" customHeight="1">
      <c r="A26" s="1646" t="s">
        <v>1831</v>
      </c>
      <c r="B26" s="783" t="s">
        <v>2438</v>
      </c>
      <c r="C26" s="53">
        <f ca="1">ROUND((C19+C20)*F26,0)</f>
        <v>1149</v>
      </c>
      <c r="D26" s="811" t="s">
        <v>701</v>
      </c>
      <c r="E26" s="794" t="s">
        <v>702</v>
      </c>
      <c r="F26" s="793">
        <f ca="1">INDIRECT("'数据-取费表'!q"&amp;$G$1)</f>
        <v>0.1</v>
      </c>
      <c r="G26" s="1590"/>
      <c r="H26" s="2478" t="s">
        <v>1780</v>
      </c>
      <c r="I26" s="2230" t="s">
        <v>2826</v>
      </c>
      <c r="J26" s="782">
        <f ca="1">IF(J5&lt;&gt;0,ROUND(J25*(1-((1+M28)/(1+M26))^M27)/(M26-M28),0),0)</f>
        <v>0</v>
      </c>
      <c r="K26" s="813" t="s">
        <v>704</v>
      </c>
      <c r="L26" s="783" t="s">
        <v>2419</v>
      </c>
      <c r="M26" s="793">
        <f ca="1">INDIRECT("'数据-取费表'!I"&amp;$G$1)</f>
        <v>5.5E-2</v>
      </c>
    </row>
    <row r="27" spans="1:33" ht="18" customHeight="1">
      <c r="A27" s="1646" t="s">
        <v>1832</v>
      </c>
      <c r="B27" s="783" t="s">
        <v>686</v>
      </c>
      <c r="C27" s="53">
        <f ca="1">ROUND(F21*F26,4)</f>
        <v>2E-3</v>
      </c>
      <c r="D27" s="811" t="s">
        <v>706</v>
      </c>
      <c r="E27" s="805"/>
      <c r="F27" s="806"/>
      <c r="G27" s="1590"/>
      <c r="H27" s="2479"/>
      <c r="I27" s="786"/>
      <c r="J27" s="787"/>
      <c r="K27" s="820" t="s">
        <v>707</v>
      </c>
      <c r="L27" s="783" t="s">
        <v>708</v>
      </c>
      <c r="M27" s="821">
        <f ca="1">INDIRECT("'数据-取费表'!ag"&amp;$G$1)</f>
        <v>0</v>
      </c>
    </row>
    <row r="28" spans="1:33" s="2062" customFormat="1" ht="18" customHeight="1">
      <c r="A28" s="1648" t="s">
        <v>1841</v>
      </c>
      <c r="B28" s="783" t="s">
        <v>687</v>
      </c>
      <c r="C28" s="53">
        <f>ROUND(F28/(1+'数据-取费表'!C42),4)</f>
        <v>5.33E-2</v>
      </c>
      <c r="D28" s="811" t="s">
        <v>2299</v>
      </c>
      <c r="E28" s="783" t="s">
        <v>649</v>
      </c>
      <c r="F28" s="808">
        <f>'数据-取费表'!B41</f>
        <v>5.6000000000000001E-2</v>
      </c>
      <c r="G28" s="1591"/>
      <c r="H28" s="1827"/>
      <c r="I28" s="790"/>
      <c r="J28" s="791"/>
      <c r="K28" s="815"/>
      <c r="L28" s="783" t="s">
        <v>710</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14116</v>
      </c>
      <c r="D29" s="2521"/>
      <c r="E29" s="2522"/>
      <c r="F29" s="2523"/>
      <c r="G29" s="1591"/>
      <c r="H29" s="822" t="s">
        <v>1787</v>
      </c>
      <c r="I29" s="823" t="s">
        <v>1788</v>
      </c>
      <c r="J29" s="824">
        <f ca="1">ROUND(J26/(1+F40)^F41,0)</f>
        <v>0</v>
      </c>
      <c r="K29" s="825" t="s">
        <v>688</v>
      </c>
      <c r="L29" s="826"/>
      <c r="M29" s="827">
        <f ca="1">INDIRECT("'数据-取费表'!k"&amp;$G$1)</f>
        <v>28758.02</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1">
        <f ca="1">ROUND(C31+C36+C37+C38,0)</f>
        <v>894</v>
      </c>
      <c r="D30" s="1819" t="s">
        <v>652</v>
      </c>
      <c r="E30" s="3200"/>
      <c r="F30" s="2467"/>
      <c r="G30" s="2060"/>
      <c r="H30" s="2063"/>
      <c r="I30" s="2064"/>
      <c r="J30" s="2065"/>
      <c r="K30" s="2066"/>
      <c r="L30" s="2067"/>
      <c r="M30" s="2068"/>
    </row>
    <row r="31" spans="1:33" ht="18" customHeight="1">
      <c r="A31" s="1647" t="s">
        <v>1824</v>
      </c>
      <c r="B31" s="783" t="s">
        <v>656</v>
      </c>
      <c r="C31" s="53">
        <f ca="1">ROUND(IF(项目基本情况!B11="自然人",C5*F31,C32+C33+C34),1)</f>
        <v>624.79999999999995</v>
      </c>
      <c r="D31" s="3198" t="s">
        <v>657</v>
      </c>
      <c r="E31" s="3197"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660</v>
      </c>
      <c r="C32" s="53">
        <f ca="1">ROUND(C5*F32/1.05,1)</f>
        <v>191.9</v>
      </c>
      <c r="D32" s="3197" t="s">
        <v>661</v>
      </c>
      <c r="E32" s="783" t="s">
        <v>649</v>
      </c>
      <c r="F32" s="808">
        <f>'数据-取费表'!B41</f>
        <v>5.6000000000000001E-2</v>
      </c>
      <c r="G32" s="2060"/>
      <c r="H32" s="2069"/>
      <c r="I32" s="2070"/>
      <c r="J32" s="2071"/>
      <c r="K32" s="2072"/>
      <c r="L32" s="2073"/>
      <c r="M32" s="2074"/>
    </row>
    <row r="33" spans="1:18" ht="18" customHeight="1">
      <c r="A33" s="1646" t="s">
        <v>1832</v>
      </c>
      <c r="B33" s="783" t="s">
        <v>664</v>
      </c>
      <c r="C33" s="53">
        <f ca="1">IF(D33="按租金收入计税",ROUND(C5*F33,1),IF(D33="按房产原值计税",ROUND(C29*F33*0.7,1),INDIRECT("'数据-取费表'!Aj"&amp;$G$1)))</f>
        <v>431.9</v>
      </c>
      <c r="D33" s="810" t="s">
        <v>3324</v>
      </c>
      <c r="E33" s="783" t="s">
        <v>649</v>
      </c>
      <c r="F33" s="808">
        <f>IF(D33="按租金收入计税",'数据-取费表'!B51,'数据-取费表'!B50)</f>
        <v>0.12</v>
      </c>
      <c r="G33" s="2060"/>
      <c r="H33" s="2075"/>
      <c r="I33" s="2075"/>
      <c r="J33" s="2075"/>
      <c r="K33" s="2076"/>
      <c r="L33" s="2075"/>
      <c r="M33" s="2075"/>
    </row>
    <row r="34" spans="1:18" ht="18" customHeight="1">
      <c r="A34" s="1649" t="s">
        <v>1833</v>
      </c>
      <c r="B34" s="340" t="s">
        <v>668</v>
      </c>
      <c r="C34" s="54">
        <f ca="1">ROUND(F34*F35/10000,1)</f>
        <v>1</v>
      </c>
      <c r="D34" s="813" t="s">
        <v>669</v>
      </c>
      <c r="E34" s="783" t="s">
        <v>670</v>
      </c>
      <c r="F34" s="639">
        <f>'数据-取费表'!B52</f>
        <v>1.5</v>
      </c>
      <c r="G34" s="2060"/>
      <c r="H34" s="2063"/>
      <c r="I34" s="834" t="s">
        <v>1813</v>
      </c>
      <c r="J34" s="835"/>
      <c r="K34" s="2078"/>
      <c r="L34" s="2077"/>
      <c r="M34" s="2077"/>
    </row>
    <row r="35" spans="1:18" ht="18" customHeight="1">
      <c r="A35" s="814"/>
      <c r="B35" s="792"/>
      <c r="C35" s="69"/>
      <c r="D35" s="815"/>
      <c r="E35" s="783" t="s">
        <v>674</v>
      </c>
      <c r="F35" s="784">
        <f ca="1">INDIRECT("'数据-取费表'!r"&amp;$G$1)</f>
        <v>6659</v>
      </c>
      <c r="G35" s="2060"/>
      <c r="H35" s="2063"/>
      <c r="I35" s="836" t="s">
        <v>1814</v>
      </c>
      <c r="J35" s="837">
        <f ca="1">ROUND(C13*J36,0)</f>
        <v>1200</v>
      </c>
      <c r="K35" s="2076"/>
      <c r="L35" s="2075"/>
      <c r="M35" s="2075"/>
    </row>
    <row r="36" spans="1:18" ht="18" customHeight="1">
      <c r="A36" s="1647" t="s">
        <v>1889</v>
      </c>
      <c r="B36" s="783" t="s">
        <v>676</v>
      </c>
      <c r="C36" s="53">
        <f ca="1">ROUND(C29*F36,1)</f>
        <v>211.7</v>
      </c>
      <c r="D36" s="3197" t="s">
        <v>691</v>
      </c>
      <c r="E36" s="783" t="s">
        <v>649</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21.2</v>
      </c>
      <c r="D37" s="3197" t="s">
        <v>680</v>
      </c>
      <c r="E37" s="783" t="s">
        <v>649</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36</v>
      </c>
      <c r="D38" s="2521" t="s">
        <v>683</v>
      </c>
      <c r="E38" s="2522" t="s">
        <v>649</v>
      </c>
      <c r="F38" s="2518">
        <f ca="1">INDIRECT("'数据-取费表'!Am"&amp;$G$1)</f>
        <v>0.01</v>
      </c>
      <c r="G38" s="2060"/>
      <c r="H38" s="2075"/>
      <c r="I38" s="842" t="s">
        <v>1817</v>
      </c>
      <c r="J38" s="843"/>
      <c r="K38" s="2081"/>
      <c r="L38" s="2075"/>
      <c r="M38" s="2075"/>
    </row>
    <row r="39" spans="1:18" ht="24.6" customHeight="1" thickTop="1">
      <c r="A39" s="1827" t="s">
        <v>1776</v>
      </c>
      <c r="B39" s="2982" t="s">
        <v>2821</v>
      </c>
      <c r="C39" s="791">
        <f ca="1">C5-C30</f>
        <v>2705</v>
      </c>
      <c r="D39" s="2524" t="s">
        <v>700</v>
      </c>
      <c r="E39" s="2525"/>
      <c r="F39" s="2526"/>
      <c r="G39" s="2060"/>
      <c r="H39" s="2075"/>
      <c r="I39" s="836" t="s">
        <v>1818</v>
      </c>
      <c r="J39" s="844">
        <f ca="1">ROUND(J35/C39,3)</f>
        <v>0.44400000000000001</v>
      </c>
      <c r="K39" s="2081"/>
      <c r="L39" s="2075"/>
      <c r="M39" s="2075"/>
    </row>
    <row r="40" spans="1:18" ht="18" customHeight="1">
      <c r="A40" s="780" t="s">
        <v>1780</v>
      </c>
      <c r="B40" s="2230" t="s">
        <v>2301</v>
      </c>
      <c r="C40" s="782">
        <f ca="1">ROUND(C39*(1-((1+F42)/(1+F40))^F41)/(F40-F42),0)</f>
        <v>60382</v>
      </c>
      <c r="D40" s="813" t="s">
        <v>704</v>
      </c>
      <c r="E40" s="783" t="s">
        <v>2419</v>
      </c>
      <c r="F40" s="793">
        <f ca="1">INDIRECT("'数据-取费表'!I"&amp;$G$1)</f>
        <v>5.5E-2</v>
      </c>
      <c r="G40" s="2060"/>
      <c r="H40" s="2060"/>
      <c r="I40" s="836" t="s">
        <v>1819</v>
      </c>
      <c r="J40" s="844">
        <f ca="1">1-J39</f>
        <v>0.55600000000000005</v>
      </c>
      <c r="K40" s="2081"/>
      <c r="L40" s="2060"/>
      <c r="M40" s="2060"/>
    </row>
    <row r="41" spans="1:18" ht="18" customHeight="1">
      <c r="A41" s="785"/>
      <c r="B41" s="786"/>
      <c r="C41" s="787"/>
      <c r="D41" s="820" t="s">
        <v>1808</v>
      </c>
      <c r="E41" s="783" t="s">
        <v>708</v>
      </c>
      <c r="F41" s="821">
        <f ca="1">IF(INDIRECT("'数据-取费表'!af"&amp;$G$1)=0,INDIRECT("'数据-取费表'!ae"&amp;$G$1),INDIRECT("'数据-取费表'!af"&amp;$G$1))</f>
        <v>34.049999999999997</v>
      </c>
      <c r="G41" s="2060"/>
      <c r="H41" s="1986"/>
      <c r="I41" s="842" t="s">
        <v>1820</v>
      </c>
      <c r="J41" s="845"/>
      <c r="K41" s="2080"/>
      <c r="L41" s="1986"/>
      <c r="M41" s="1986"/>
    </row>
    <row r="42" spans="1:18" ht="18" customHeight="1">
      <c r="A42" s="789"/>
      <c r="B42" s="790"/>
      <c r="C42" s="791"/>
      <c r="D42" s="815"/>
      <c r="E42" s="783" t="s">
        <v>710</v>
      </c>
      <c r="F42" s="793">
        <f ca="1">INDIRECT("'数据-取费表'!v"&amp;$G$1)</f>
        <v>0.03</v>
      </c>
      <c r="G42" s="2060"/>
      <c r="H42" s="1986"/>
      <c r="I42" s="846" t="s">
        <v>1821</v>
      </c>
      <c r="J42" s="844">
        <f ca="1">ROUND(C13/C40,3)</f>
        <v>0.23400000000000001</v>
      </c>
      <c r="K42" s="2080"/>
      <c r="L42" s="1986"/>
      <c r="M42" s="1986"/>
    </row>
    <row r="43" spans="1:18" ht="18" customHeight="1" thickBot="1">
      <c r="A43" s="822" t="s">
        <v>1787</v>
      </c>
      <c r="B43" s="823" t="s">
        <v>1810</v>
      </c>
      <c r="C43" s="824">
        <f ca="1">ROUND(C40*10000/F43,0)</f>
        <v>20997</v>
      </c>
      <c r="D43" s="825" t="s">
        <v>1811</v>
      </c>
      <c r="E43" s="826" t="s">
        <v>1812</v>
      </c>
      <c r="F43" s="827">
        <f ca="1">INDIRECT("'数据-取费表'!k"&amp;$G$1)</f>
        <v>28758.02</v>
      </c>
      <c r="G43" s="2060"/>
      <c r="H43" s="1986"/>
      <c r="I43" s="846" t="s">
        <v>1822</v>
      </c>
      <c r="J43" s="847">
        <f ca="1">1-J42</f>
        <v>0.76600000000000001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-63949</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50</v>
      </c>
      <c r="M47" s="1602" t="str">
        <f>IF(ISNUMBER(FIND("住宅",C1)),"住宅","非住宅")</f>
        <v>非住宅</v>
      </c>
      <c r="O47" s="2371" t="s">
        <v>2375</v>
      </c>
      <c r="P47" s="2372" t="s">
        <v>2376</v>
      </c>
      <c r="Q47" s="2373" t="s">
        <v>2377</v>
      </c>
      <c r="R47" s="2372" t="s">
        <v>2378</v>
      </c>
    </row>
    <row r="48" spans="1:18" s="2057" customFormat="1" ht="18" customHeight="1" thickBot="1">
      <c r="A48" s="2618" t="s">
        <v>1870</v>
      </c>
      <c r="B48" s="2619" t="s">
        <v>2538</v>
      </c>
      <c r="C48" s="2350">
        <f ca="1">ROUND(F48*F50*F49*(1-F51)/10000,0)</f>
        <v>0</v>
      </c>
      <c r="D48" s="2351" t="s">
        <v>636</v>
      </c>
      <c r="E48" s="2352" t="s">
        <v>2296</v>
      </c>
      <c r="F48" s="2353"/>
      <c r="G48" s="2088"/>
      <c r="I48" s="3099" t="s">
        <v>2345</v>
      </c>
      <c r="J48" s="2358" t="s">
        <v>2350</v>
      </c>
      <c r="K48" s="3128" t="s">
        <v>2351</v>
      </c>
      <c r="L48" s="1906">
        <f ca="1">INDIRECT("'数据-取费表'!f"&amp;$G$1)</f>
        <v>35.549999999999997</v>
      </c>
      <c r="O48" s="2374" t="s">
        <v>2379</v>
      </c>
      <c r="P48" s="2375" t="s">
        <v>2405</v>
      </c>
      <c r="Q48" s="2376">
        <f ca="1">C40+J29</f>
        <v>60382</v>
      </c>
      <c r="R48" s="2375" t="s">
        <v>2380</v>
      </c>
    </row>
    <row r="49" spans="1:18" s="2057" customFormat="1" ht="18" customHeight="1" thickBot="1">
      <c r="A49" s="785"/>
      <c r="B49" s="786"/>
      <c r="C49" s="787"/>
      <c r="D49" s="788"/>
      <c r="E49" s="783" t="s">
        <v>638</v>
      </c>
      <c r="F49" s="784">
        <f ca="1">F7</f>
        <v>28758.02</v>
      </c>
      <c r="G49" s="2088"/>
      <c r="H49" s="2091"/>
      <c r="I49" s="3099" t="s">
        <v>2346</v>
      </c>
      <c r="J49" s="2359">
        <v>2020</v>
      </c>
      <c r="K49" s="3129" t="s">
        <v>2352</v>
      </c>
      <c r="L49" s="2360"/>
      <c r="O49" s="2374" t="s">
        <v>2381</v>
      </c>
      <c r="P49" s="2375" t="s">
        <v>2406</v>
      </c>
      <c r="Q49" s="2376">
        <f ca="1">J60</f>
        <v>318</v>
      </c>
      <c r="R49" s="2375" t="s">
        <v>2382</v>
      </c>
    </row>
    <row r="50" spans="1:18" s="2057" customFormat="1" ht="18" customHeight="1" thickBot="1">
      <c r="A50" s="785"/>
      <c r="B50" s="786"/>
      <c r="C50" s="787"/>
      <c r="D50" s="788"/>
      <c r="E50" s="783" t="s">
        <v>639</v>
      </c>
      <c r="F50" s="784">
        <f ca="1">F8</f>
        <v>365</v>
      </c>
      <c r="G50" s="2093"/>
      <c r="H50" s="2091"/>
      <c r="I50" s="3099" t="s">
        <v>2347</v>
      </c>
      <c r="J50" s="3124">
        <f>SUMPRODUCT((I63:I65=J47)*(J62:L62=J48)*(J63:L65))</f>
        <v>60</v>
      </c>
      <c r="K50" s="3129" t="s">
        <v>2353</v>
      </c>
      <c r="L50" s="2360"/>
      <c r="O50" s="2377" t="s">
        <v>2383</v>
      </c>
      <c r="P50" s="2375" t="s">
        <v>2407</v>
      </c>
      <c r="Q50" s="2376">
        <f ca="1">C29</f>
        <v>14116</v>
      </c>
      <c r="R50" s="2375" t="s">
        <v>2380</v>
      </c>
    </row>
    <row r="51" spans="1:18" s="2057" customFormat="1" ht="18" customHeight="1" thickBot="1">
      <c r="A51" s="785"/>
      <c r="B51" s="786"/>
      <c r="C51" s="787"/>
      <c r="D51" s="788"/>
      <c r="E51" s="783" t="s">
        <v>640</v>
      </c>
      <c r="F51" s="2347"/>
      <c r="H51" s="2091"/>
      <c r="I51" s="3121" t="s">
        <v>2348</v>
      </c>
      <c r="J51" s="3125">
        <f>IF(J49="",J50,J49+J50-YEAR('数据-取费表'!B2))</f>
        <v>61</v>
      </c>
      <c r="K51" s="3099" t="s">
        <v>2354</v>
      </c>
      <c r="L51" s="3132">
        <f ca="1">ROUND(-PV(INDIRECT("'数据-取费表'!h"&amp;$G$1),L48,(C39-C13*J36),0),0)</f>
        <v>24790</v>
      </c>
      <c r="O51" s="2377" t="s">
        <v>2384</v>
      </c>
      <c r="P51" s="2375" t="s">
        <v>2385</v>
      </c>
      <c r="Q51" s="2378">
        <f ca="1">J58</f>
        <v>0.42399999999999999</v>
      </c>
      <c r="R51" s="2379"/>
    </row>
    <row r="52" spans="1:18" s="2057" customFormat="1" ht="18" customHeight="1" thickBot="1">
      <c r="A52" s="780" t="s">
        <v>2536</v>
      </c>
      <c r="B52" s="2470" t="s">
        <v>2459</v>
      </c>
      <c r="C52" s="798">
        <f ca="1">ROUND(IF(F52="押一",C48/12*F11,IF(F52="押二",C48/12*2*F11,IF(F52="押三",C48/12*3*F11,C53*F11))),0)</f>
        <v>0</v>
      </c>
      <c r="D52" s="2477" t="s">
        <v>2975</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34.049999999999997</v>
      </c>
      <c r="K53" s="3504" t="s">
        <v>2967</v>
      </c>
      <c r="L53" s="3505"/>
      <c r="O53" s="2377" t="s">
        <v>2388</v>
      </c>
      <c r="P53" s="2375" t="s">
        <v>2389</v>
      </c>
      <c r="Q53" s="2376">
        <f ca="1">J53</f>
        <v>34.049999999999997</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60700</v>
      </c>
      <c r="R54" s="2379" t="s">
        <v>2392</v>
      </c>
    </row>
    <row r="55" spans="1:18" s="2057" customFormat="1" ht="18" customHeight="1" thickTop="1" thickBot="1">
      <c r="A55" s="796">
        <v>2</v>
      </c>
      <c r="B55" s="797" t="s">
        <v>644</v>
      </c>
      <c r="C55" s="798">
        <f ca="1">C13</f>
        <v>14116</v>
      </c>
      <c r="D55" s="794"/>
      <c r="E55" s="794"/>
      <c r="F55" s="799"/>
      <c r="I55" s="3135" t="s">
        <v>2355</v>
      </c>
      <c r="J55" s="3074">
        <f ca="1">ROUND(IF(J47="钢混",J57/J50,1-(1-2%)*(J50-J57)/J50),3)</f>
        <v>0.42399999999999999</v>
      </c>
      <c r="K55" s="3136" t="s">
        <v>2356</v>
      </c>
      <c r="L55" s="2362"/>
      <c r="O55" s="2380" t="s">
        <v>2411</v>
      </c>
      <c r="P55" s="1590"/>
      <c r="Q55" s="1602"/>
      <c r="R55" s="1590"/>
    </row>
    <row r="56" spans="1:18" s="2057" customFormat="1" ht="42.75" customHeight="1" thickBot="1">
      <c r="A56" s="1648"/>
      <c r="B56" s="2229" t="s">
        <v>2300</v>
      </c>
      <c r="C56" s="53">
        <f ca="1">C29</f>
        <v>14116</v>
      </c>
      <c r="D56" s="3197"/>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234</v>
      </c>
      <c r="D57" s="26" t="s">
        <v>652</v>
      </c>
      <c r="E57" s="3202"/>
      <c r="F57" s="56"/>
      <c r="I57" s="3138" t="s">
        <v>2358</v>
      </c>
      <c r="J57" s="3139">
        <f ca="1">IF(OR(M47="住宅",J51&lt;L48,J56="是"),"——",J51-L48)</f>
        <v>25.450000000000003</v>
      </c>
      <c r="K57" s="3099" t="s">
        <v>2363</v>
      </c>
      <c r="L57" s="1906" t="str">
        <f ca="1">IF(L48&lt;J51,"——",IF(L55="比较法",L49,IF(L55="基准地价",L50,L51)))</f>
        <v>——</v>
      </c>
      <c r="O57" s="2374" t="s">
        <v>2379</v>
      </c>
      <c r="P57" s="2375" t="s">
        <v>2405</v>
      </c>
      <c r="Q57" s="2376">
        <f ca="1">C40+J29</f>
        <v>60382</v>
      </c>
      <c r="R57" s="2375" t="s">
        <v>2380</v>
      </c>
    </row>
    <row r="58" spans="1:18" s="2057" customFormat="1" ht="28.5" customHeight="1" thickBot="1">
      <c r="A58" s="1647" t="s">
        <v>1824</v>
      </c>
      <c r="B58" s="783" t="s">
        <v>656</v>
      </c>
      <c r="C58" s="53">
        <f ca="1">ROUND(IF(项目基本情况!B11="自然人",C47*F58,C59+C60+C61),1)</f>
        <v>1</v>
      </c>
      <c r="D58" s="3198" t="s">
        <v>657</v>
      </c>
      <c r="E58" s="3197" t="s">
        <v>690</v>
      </c>
      <c r="F58" s="809" t="str">
        <f ca="1">IF(项目基本情况!B11="企业","",IF(INDIRECT("'数据-取费表'!c"&amp;$G$1)="住宅",5%,IF(F48*F49*F50/12/(1+'数据-取费表'!C42)&gt;20000,12%,7%)))</f>
        <v/>
      </c>
      <c r="I58" s="3138" t="s">
        <v>2359</v>
      </c>
      <c r="J58" s="3075">
        <f ca="1">IF(J55&lt;0.4,0.4,J55)</f>
        <v>0.42399999999999999</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3197" t="s">
        <v>661</v>
      </c>
      <c r="E59" s="783" t="s">
        <v>649</v>
      </c>
      <c r="F59" s="808">
        <f t="shared" ref="F59:F65" si="0">F32</f>
        <v>5.6000000000000001E-2</v>
      </c>
      <c r="I59" s="3138" t="s">
        <v>2360</v>
      </c>
      <c r="J59" s="3139">
        <f ca="1">IF(OR(M47="住宅",J51&lt;L48,J56="是"),"——",ROUND(C29*J58,0))</f>
        <v>5985</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664</v>
      </c>
      <c r="C60" s="53">
        <f ca="1">IF(D60="按租金收入计税",ROUND(C47*F60,1),IF(D60="按房产原值计税",ROUND(C56*F60*0.7,1),INDIRECT("'数据-取费表'!Aj"&amp;$G$1)))</f>
        <v>0</v>
      </c>
      <c r="D60" s="3197" t="str">
        <f>D33</f>
        <v>按租金收入计税</v>
      </c>
      <c r="E60" s="783" t="s">
        <v>649</v>
      </c>
      <c r="F60" s="808">
        <f t="shared" si="0"/>
        <v>0.12</v>
      </c>
      <c r="I60" s="3140" t="s">
        <v>2361</v>
      </c>
      <c r="J60" s="3141">
        <f ca="1">IF(OR(M47="住宅",J51&lt;L48,J56="是"),"0",ROUND(J59/(1+J52)^J53,0))</f>
        <v>318</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1</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6659</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211.7</v>
      </c>
      <c r="D63" s="3197" t="s">
        <v>691</v>
      </c>
      <c r="E63" s="783" t="s">
        <v>649</v>
      </c>
      <c r="F63" s="816">
        <f t="shared" ca="1" si="0"/>
        <v>1.4999999999999999E-2</v>
      </c>
      <c r="I63" s="3143" t="s">
        <v>2370</v>
      </c>
      <c r="J63" s="3144">
        <v>70</v>
      </c>
      <c r="K63" s="3144">
        <v>50</v>
      </c>
      <c r="L63" s="3144">
        <v>80</v>
      </c>
      <c r="M63" s="3146">
        <v>0.02</v>
      </c>
      <c r="O63" s="2374" t="s">
        <v>2391</v>
      </c>
      <c r="P63" s="2375" t="s">
        <v>2408</v>
      </c>
      <c r="Q63" s="2376">
        <f ca="1">Q57+Q58</f>
        <v>60382</v>
      </c>
      <c r="R63" s="2379" t="s">
        <v>2392</v>
      </c>
    </row>
    <row r="64" spans="1:18" s="2057" customFormat="1" ht="16.5" thickBot="1">
      <c r="A64" s="1647" t="s">
        <v>1890</v>
      </c>
      <c r="B64" s="783" t="s">
        <v>679</v>
      </c>
      <c r="C64" s="53">
        <f ca="1">ROUND(C55*F64,1)</f>
        <v>21.2</v>
      </c>
      <c r="D64" s="3197" t="s">
        <v>680</v>
      </c>
      <c r="E64" s="783" t="s">
        <v>649</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3197" t="s">
        <v>683</v>
      </c>
      <c r="E65" s="783" t="s">
        <v>649</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-234</v>
      </c>
      <c r="D66" s="3198" t="s">
        <v>700</v>
      </c>
      <c r="E66" s="3201"/>
      <c r="F66" s="819"/>
      <c r="K66" s="2084"/>
      <c r="O66" s="2374" t="s">
        <v>2379</v>
      </c>
      <c r="P66" s="2375" t="s">
        <v>2405</v>
      </c>
      <c r="Q66" s="2376">
        <f ca="1">C40+J29</f>
        <v>60382</v>
      </c>
      <c r="R66" s="2375" t="s">
        <v>2380</v>
      </c>
    </row>
    <row r="67" spans="1:18" s="2057" customFormat="1" ht="20.25" thickBot="1">
      <c r="A67" s="780" t="s">
        <v>1780</v>
      </c>
      <c r="B67" s="2230" t="s">
        <v>2301</v>
      </c>
      <c r="C67" s="782">
        <f ca="1">ROUND(C66*(1-((1+F69)/(1+F67))^F68)/(F67-F69),0)</f>
        <v>-3567</v>
      </c>
      <c r="D67" s="813" t="s">
        <v>704</v>
      </c>
      <c r="E67" s="783" t="s">
        <v>705</v>
      </c>
      <c r="F67" s="793">
        <f ca="1">F40</f>
        <v>5.5E-2</v>
      </c>
      <c r="K67" s="2084"/>
      <c r="O67" s="2374" t="s">
        <v>2381</v>
      </c>
      <c r="P67" s="2375" t="s">
        <v>2412</v>
      </c>
      <c r="Q67" s="2376">
        <f ca="1">L60</f>
        <v>0</v>
      </c>
      <c r="R67" s="2379" t="s">
        <v>2414</v>
      </c>
    </row>
    <row r="68" spans="1:18" ht="21.75" thickBot="1">
      <c r="A68" s="785"/>
      <c r="B68" s="786"/>
      <c r="C68" s="787"/>
      <c r="D68" s="820" t="s">
        <v>1808</v>
      </c>
      <c r="E68" s="783" t="s">
        <v>708</v>
      </c>
      <c r="F68" s="821">
        <f ca="1">F41</f>
        <v>34.049999999999997</v>
      </c>
      <c r="O68" s="2377" t="s">
        <v>2383</v>
      </c>
      <c r="P68" s="2375" t="s">
        <v>2413</v>
      </c>
      <c r="Q68" s="2381">
        <f ca="1">L51</f>
        <v>24790</v>
      </c>
      <c r="R68" s="2382" t="s">
        <v>2416</v>
      </c>
    </row>
    <row r="69" spans="1:18" ht="20.25" thickBot="1">
      <c r="A69" s="789"/>
      <c r="B69" s="790"/>
      <c r="C69" s="791"/>
      <c r="D69" s="815"/>
      <c r="E69" s="783" t="s">
        <v>710</v>
      </c>
      <c r="F69" s="2347"/>
      <c r="O69" s="2377" t="s">
        <v>2384</v>
      </c>
      <c r="P69" s="2383" t="s">
        <v>2398</v>
      </c>
      <c r="Q69" s="2376">
        <f ca="1">ROUND(Q70-Q71*Q72,0)</f>
        <v>1505</v>
      </c>
      <c r="R69" s="2379"/>
    </row>
    <row r="70" spans="1:18" ht="15.75" thickBot="1">
      <c r="A70" s="822" t="s">
        <v>1787</v>
      </c>
      <c r="B70" s="823" t="s">
        <v>1810</v>
      </c>
      <c r="C70" s="824">
        <f ca="1">ROUND(C67*10000/F70,0)</f>
        <v>-1240</v>
      </c>
      <c r="D70" s="825" t="s">
        <v>1811</v>
      </c>
      <c r="E70" s="826" t="s">
        <v>1812</v>
      </c>
      <c r="F70" s="827">
        <f ca="1">F43</f>
        <v>28758.02</v>
      </c>
      <c r="O70" s="2377" t="s">
        <v>2399</v>
      </c>
      <c r="P70" s="2383" t="s">
        <v>2400</v>
      </c>
      <c r="Q70" s="2376">
        <f ca="1">C39</f>
        <v>2705</v>
      </c>
      <c r="R70" s="2375" t="s">
        <v>2380</v>
      </c>
    </row>
    <row r="71" spans="1:18" ht="15.75" thickBot="1">
      <c r="O71" s="2377" t="s">
        <v>2401</v>
      </c>
      <c r="P71" s="2383" t="s">
        <v>2402</v>
      </c>
      <c r="Q71" s="2376">
        <f ca="1">C13</f>
        <v>14116</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60382</v>
      </c>
      <c r="R76" s="2379"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受贵公司委托，我公司对北京市一区西出让国有建设用地使用权市场价格进行了预评估。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7" spans="1:4" ht="93.75">
      <c r="A7" s="2848" t="s">
        <v>2747</v>
      </c>
    </row>
    <row r="8" spans="1:4" ht="18.75">
      <c r="A8" s="1792" t="s">
        <v>1906</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2026</v>
      </c>
    </row>
    <row r="11" spans="1:4" ht="18.75">
      <c r="A11" s="1778" t="str">
        <f>TEXT(项目基本情况!D3,"yyyy年m月d日;;")&amp;IF(项目基本情况!B3=项目基本情况!D3,"（评估专业人员勘察现场之日）","")</f>
        <v>2019年2月14日（评估专业人员勘察现场之日）</v>
      </c>
    </row>
    <row r="12" spans="1:4" ht="18.75">
      <c r="A12" s="1795" t="s">
        <v>2025</v>
      </c>
    </row>
    <row r="13" spans="1:4" ht="18.75">
      <c r="A13" s="1789" t="s">
        <v>2071</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2073</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根据《国有土地使用证》[]，估价对象（分摊）出让国有建设用地使用权面积为19600平方米。根据《建设工程规划许可证》[]、《出让合同》[]，估价对象规划建筑面积为86130.88平方米。</v>
      </c>
    </row>
    <row r="21" spans="1:1" ht="93.75">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50" t="s">
        <v>2748</v>
      </c>
    </row>
    <row r="24" spans="1:1" ht="18.75">
      <c r="A24" s="1789" t="s">
        <v>2075</v>
      </c>
    </row>
    <row r="25" spans="1:1" ht="75">
      <c r="A25" s="1789"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4" sqref="H1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3070</v>
      </c>
      <c r="D1" s="3098" t="s">
        <v>3322</v>
      </c>
      <c r="E1" s="2363" t="s">
        <v>869</v>
      </c>
      <c r="F1" s="2364">
        <f ca="1">J53</f>
        <v>34.049999999999997</v>
      </c>
      <c r="G1" s="773">
        <f>MATCH(C1,'数据-取费表'!A6:A16,0)+5</f>
        <v>9</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6946</v>
      </c>
      <c r="C2" s="2055"/>
      <c r="D2" s="2053"/>
      <c r="E2" s="2054"/>
      <c r="F2" s="2054"/>
      <c r="G2" s="1588"/>
      <c r="H2" s="2055"/>
      <c r="I2" s="2055"/>
      <c r="J2" s="2055"/>
      <c r="K2" s="2056"/>
      <c r="L2" s="2055"/>
      <c r="M2" s="2055"/>
    </row>
    <row r="3" spans="1:33" ht="18" customHeight="1" thickBot="1">
      <c r="A3" s="832" t="s">
        <v>519</v>
      </c>
      <c r="B3" s="833">
        <f ca="1">IF(ISERROR(B2*10000/F43),0,ROUND(B2*10000/F43,0))</f>
        <v>6221</v>
      </c>
      <c r="C3" s="2055"/>
      <c r="D3" s="2053"/>
      <c r="E3" s="2054"/>
      <c r="F3" s="2054"/>
      <c r="G3" s="1588"/>
      <c r="H3" s="775" t="s">
        <v>695</v>
      </c>
      <c r="I3" s="1360"/>
      <c r="J3" s="1360"/>
      <c r="K3" s="1589"/>
      <c r="L3" s="1360"/>
      <c r="M3" s="1360"/>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419</v>
      </c>
      <c r="D5" s="2472" t="s">
        <v>2461</v>
      </c>
      <c r="E5" s="2466"/>
      <c r="F5" s="2467"/>
      <c r="G5" s="1590"/>
      <c r="H5" s="780">
        <v>1</v>
      </c>
      <c r="I5" s="781" t="s">
        <v>2458</v>
      </c>
      <c r="J5" s="55">
        <f ca="1">J6+J10+J12</f>
        <v>0</v>
      </c>
      <c r="K5" s="2472" t="s">
        <v>2461</v>
      </c>
      <c r="L5" s="2466"/>
      <c r="M5" s="2467"/>
    </row>
    <row r="6" spans="1:33" ht="18" customHeight="1">
      <c r="A6" s="1828" t="s">
        <v>1824</v>
      </c>
      <c r="B6" s="3455" t="s">
        <v>2463</v>
      </c>
      <c r="C6" s="782">
        <f ca="1">ROUND(F6*F8*F7*(1-F9)/10000,0)</f>
        <v>419</v>
      </c>
      <c r="D6" s="2473" t="s">
        <v>2462</v>
      </c>
      <c r="E6" s="783" t="s">
        <v>637</v>
      </c>
      <c r="F6" s="784">
        <f ca="1">INDIRECT("'数据-取费表'!u"&amp;$G$1)</f>
        <v>40</v>
      </c>
      <c r="G6" s="1590"/>
      <c r="H6" s="2480" t="s">
        <v>1824</v>
      </c>
      <c r="I6" s="3455" t="s">
        <v>2463</v>
      </c>
      <c r="J6" s="782">
        <f ca="1">ROUND(M6*M8*M7*(1-M9)/10000,0)</f>
        <v>0</v>
      </c>
      <c r="K6" s="340" t="s">
        <v>636</v>
      </c>
      <c r="L6" s="783" t="s">
        <v>637</v>
      </c>
      <c r="M6" s="784">
        <f ca="1">INDIRECT("'数据-取费表'!z"&amp;$G$1)</f>
        <v>0</v>
      </c>
    </row>
    <row r="7" spans="1:33" ht="18" customHeight="1">
      <c r="A7" s="2476"/>
      <c r="B7" s="3456"/>
      <c r="C7" s="787"/>
      <c r="D7" s="788"/>
      <c r="E7" s="783" t="s">
        <v>638</v>
      </c>
      <c r="F7" s="784">
        <f ca="1">IF(INDIRECT("'数据-取费表'!ah"&amp;$G$1)="",INDIRECT("'数据-取费表'!k"&amp;$G$1),INDIRECT("'数据-取费表'!ah"&amp;$G$1))</f>
        <v>319</v>
      </c>
      <c r="G7" s="1590"/>
      <c r="H7" s="2465"/>
      <c r="I7" s="3456"/>
      <c r="J7" s="787"/>
      <c r="K7" s="788"/>
      <c r="L7" s="783" t="s">
        <v>638</v>
      </c>
      <c r="M7" s="784">
        <f ca="1">F7</f>
        <v>319</v>
      </c>
    </row>
    <row r="8" spans="1:33" ht="18" customHeight="1">
      <c r="A8" s="2469"/>
      <c r="B8" s="3457"/>
      <c r="C8" s="787"/>
      <c r="D8" s="788"/>
      <c r="E8" s="783" t="s">
        <v>639</v>
      </c>
      <c r="F8" s="784">
        <f ca="1">INDIRECT("'数据-取费表'!ai"&amp;$G$1)</f>
        <v>365</v>
      </c>
      <c r="G8" s="1590"/>
      <c r="H8" s="2465"/>
      <c r="I8" s="3457"/>
      <c r="J8" s="787"/>
      <c r="K8" s="788"/>
      <c r="L8" s="783" t="s">
        <v>639</v>
      </c>
      <c r="M8" s="784">
        <f ca="1">INDIRECT("'数据-取费表'!ai"&amp;$G$1)</f>
        <v>365</v>
      </c>
    </row>
    <row r="9" spans="1:33" ht="18" customHeight="1">
      <c r="A9" s="785"/>
      <c r="B9" s="3458"/>
      <c r="C9" s="787"/>
      <c r="D9" s="788"/>
      <c r="E9" s="783" t="s">
        <v>640</v>
      </c>
      <c r="F9" s="793">
        <f ca="1">INDIRECT("'数据-取费表'!w"&amp;$G$1)</f>
        <v>0.1</v>
      </c>
      <c r="G9" s="1590"/>
      <c r="H9" s="2481"/>
      <c r="I9" s="3457"/>
      <c r="J9" s="787"/>
      <c r="K9" s="788"/>
      <c r="L9" s="794" t="s">
        <v>640</v>
      </c>
      <c r="M9" s="795">
        <f ca="1">INDIRECT("'数据-取费表'!ab"&amp;$G$1)</f>
        <v>0</v>
      </c>
    </row>
    <row r="10" spans="1:33" ht="18" customHeight="1">
      <c r="A10" s="1828" t="s">
        <v>1825</v>
      </c>
      <c r="B10" s="2470" t="s">
        <v>2459</v>
      </c>
      <c r="C10" s="798">
        <f ca="1">ROUND(IF(F10="押一",C6/12*F11,IF(F10="押二",C6/12*2*F11,IF(F10="押三",C6/12*3*F11,C11*F11))),0)</f>
        <v>0</v>
      </c>
      <c r="D10" s="2477" t="s">
        <v>2975</v>
      </c>
      <c r="E10" s="2474" t="s">
        <v>2464</v>
      </c>
      <c r="F10" s="2597" t="s">
        <v>3332</v>
      </c>
      <c r="G10" s="1590"/>
      <c r="H10" s="2537" t="s">
        <v>1825</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2456</v>
      </c>
      <c r="F11" s="795">
        <f ca="1">'数据-取费表'!B39</f>
        <v>1.4999999999999999E-2</v>
      </c>
      <c r="G11" s="1590"/>
      <c r="H11" s="2538"/>
      <c r="I11" s="2471" t="s">
        <v>2573</v>
      </c>
      <c r="J11" s="2475"/>
      <c r="K11" s="2539"/>
      <c r="L11" s="2474" t="s">
        <v>2456</v>
      </c>
      <c r="M11" s="2468">
        <f ca="1">'数据-取费表'!B39</f>
        <v>1.4999999999999999E-2</v>
      </c>
    </row>
    <row r="12" spans="1:33" ht="18" customHeight="1" thickBot="1">
      <c r="A12" s="2513" t="s">
        <v>2467</v>
      </c>
      <c r="B12" s="2514" t="s">
        <v>2460</v>
      </c>
      <c r="C12" s="2515"/>
      <c r="D12" s="2516"/>
      <c r="E12" s="2517"/>
      <c r="F12" s="2518"/>
      <c r="G12" s="1590"/>
      <c r="H12" s="2527" t="s">
        <v>2467</v>
      </c>
      <c r="I12" s="2540" t="s">
        <v>2460</v>
      </c>
      <c r="J12" s="2541"/>
      <c r="K12" s="2516"/>
      <c r="L12" s="2517"/>
      <c r="M12" s="2530"/>
    </row>
    <row r="13" spans="1:33" ht="18" customHeight="1" thickTop="1">
      <c r="A13" s="1827">
        <v>2</v>
      </c>
      <c r="B13" s="1825" t="s">
        <v>644</v>
      </c>
      <c r="C13" s="791">
        <f ca="1">ROUND(C29*F13,0)</f>
        <v>4450</v>
      </c>
      <c r="D13" s="1832" t="s">
        <v>2297</v>
      </c>
      <c r="E13" s="1832" t="s">
        <v>643</v>
      </c>
      <c r="F13" s="2512">
        <f ca="1">INDIRECT("'数据-取费表'!y"&amp;$G$1)</f>
        <v>1</v>
      </c>
      <c r="G13" s="1590"/>
      <c r="H13" s="1827">
        <v>2</v>
      </c>
      <c r="I13" s="1825" t="s">
        <v>644</v>
      </c>
      <c r="J13" s="1817">
        <f ca="1">ROUND(J14*J15,0)</f>
        <v>0</v>
      </c>
      <c r="K13" s="1819" t="s">
        <v>642</v>
      </c>
      <c r="L13" s="2528"/>
      <c r="M13" s="2529"/>
    </row>
    <row r="14" spans="1:33" ht="18" customHeight="1">
      <c r="A14" s="1646" t="s">
        <v>1831</v>
      </c>
      <c r="B14" s="783" t="s">
        <v>645</v>
      </c>
      <c r="C14" s="803">
        <f ca="1">INDIRECT("'数据-取费表'!m"&amp;$G$1)+INDIRECT("'数据-取费表'!t"&amp;$G$1)</f>
        <v>3409</v>
      </c>
      <c r="D14" s="3187" t="s">
        <v>646</v>
      </c>
      <c r="E14" s="3186"/>
      <c r="F14" s="804"/>
      <c r="G14" s="1590"/>
      <c r="H14" s="1647" t="s">
        <v>1824</v>
      </c>
      <c r="I14" s="2229" t="s">
        <v>2824</v>
      </c>
      <c r="J14" s="53">
        <f ca="1">C29</f>
        <v>4450</v>
      </c>
      <c r="K14" s="26"/>
      <c r="L14" s="800"/>
      <c r="M14" s="801"/>
    </row>
    <row r="15" spans="1:33" s="2062" customFormat="1" ht="18" customHeight="1" thickBot="1">
      <c r="A15" s="1646" t="s">
        <v>1832</v>
      </c>
      <c r="B15" s="783" t="s">
        <v>647</v>
      </c>
      <c r="C15" s="53">
        <f ca="1">ROUND(C14*F15,0)</f>
        <v>102</v>
      </c>
      <c r="D15" s="805" t="s">
        <v>648</v>
      </c>
      <c r="E15" s="805" t="s">
        <v>649</v>
      </c>
      <c r="F15" s="806">
        <f>'数据-取费表'!B33</f>
        <v>0.03</v>
      </c>
      <c r="G15" s="1591"/>
      <c r="H15" s="2527" t="s">
        <v>1889</v>
      </c>
      <c r="I15" s="2522" t="s">
        <v>643</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3" t="s">
        <v>650</v>
      </c>
      <c r="C16" s="53">
        <f ca="1">ROUND(INDIRECT("'数据-取费表'!m"&amp;$G$1)*F16,0)</f>
        <v>0</v>
      </c>
      <c r="D16" s="783" t="s">
        <v>648</v>
      </c>
      <c r="E16" s="783" t="s">
        <v>649</v>
      </c>
      <c r="F16" s="808">
        <f ca="1">IF(INDIRECT("'数据-取费表'!c"&amp;$G$1)="住宅",'数据-取费表'!B34,0)</f>
        <v>0</v>
      </c>
      <c r="G16" s="1590"/>
      <c r="H16" s="1827" t="s">
        <v>1748</v>
      </c>
      <c r="I16" s="1825" t="s">
        <v>651</v>
      </c>
      <c r="J16" s="791">
        <f ca="1">ROUND(J17+J22+J23+J24,0)</f>
        <v>441</v>
      </c>
      <c r="K16" s="1819" t="s">
        <v>652</v>
      </c>
      <c r="L16" s="3189"/>
      <c r="M16" s="2467"/>
    </row>
    <row r="17" spans="1:33" s="2062" customFormat="1" ht="18" customHeight="1">
      <c r="A17" s="1646" t="s">
        <v>1887</v>
      </c>
      <c r="B17" s="783" t="s">
        <v>653</v>
      </c>
      <c r="C17" s="53">
        <f ca="1">ROUND(F17*(F43+INDIRECT("'数据-取费表'!S"&amp;$G$1))/10000,0)</f>
        <v>227</v>
      </c>
      <c r="D17" s="783" t="s">
        <v>654</v>
      </c>
      <c r="E17" s="783" t="s">
        <v>655</v>
      </c>
      <c r="F17" s="56">
        <f>'数据-取费表'!B35</f>
        <v>200</v>
      </c>
      <c r="G17" s="1591"/>
      <c r="H17" s="1647" t="s">
        <v>1824</v>
      </c>
      <c r="I17" s="783" t="s">
        <v>656</v>
      </c>
      <c r="J17" s="53">
        <f ca="1">ROUND(IF(项目基本情况!B11="自然人",J5*M17,J18+J19+J20),0)</f>
        <v>374</v>
      </c>
      <c r="K17" s="3187" t="s">
        <v>657</v>
      </c>
      <c r="L17" s="3188" t="s">
        <v>658</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51</v>
      </c>
      <c r="D18" s="783" t="s">
        <v>648</v>
      </c>
      <c r="E18" s="783" t="s">
        <v>649</v>
      </c>
      <c r="F18" s="808">
        <f>'数据-取费表'!B36</f>
        <v>1.4999999999999999E-2</v>
      </c>
      <c r="G18" s="1591"/>
      <c r="H18" s="1646" t="s">
        <v>1831</v>
      </c>
      <c r="I18" s="783" t="s">
        <v>660</v>
      </c>
      <c r="J18" s="53">
        <f ca="1">ROUND(J5*M18/1.05,1)</f>
        <v>0</v>
      </c>
      <c r="K18" s="3188" t="s">
        <v>661</v>
      </c>
      <c r="L18" s="783" t="s">
        <v>649</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3" t="s">
        <v>662</v>
      </c>
      <c r="C19" s="53">
        <f ca="1">SUM(C14:C18)</f>
        <v>3789</v>
      </c>
      <c r="D19" s="260" t="s">
        <v>663</v>
      </c>
      <c r="E19" s="3190"/>
      <c r="F19" s="56"/>
      <c r="G19" s="1590"/>
      <c r="H19" s="1646" t="s">
        <v>1832</v>
      </c>
      <c r="I19" s="783" t="s">
        <v>664</v>
      </c>
      <c r="J19" s="53">
        <f ca="1">IF(K19="按租金收入计税",ROUND(J5*M19,1),ROUND(C29*F33*0.7,1))</f>
        <v>373.8</v>
      </c>
      <c r="K19" s="810" t="s">
        <v>665</v>
      </c>
      <c r="L19" s="783" t="s">
        <v>649</v>
      </c>
      <c r="M19" s="808">
        <f>IF(K19="按租金收入计税",'数据-取费表'!B51,'数据-取费表'!B50)</f>
        <v>1.2E-2</v>
      </c>
    </row>
    <row r="20" spans="1:33" s="2062" customFormat="1" ht="18" customHeight="1">
      <c r="A20" s="1647" t="s">
        <v>1889</v>
      </c>
      <c r="B20" s="783" t="s">
        <v>666</v>
      </c>
      <c r="C20" s="53">
        <f ca="1">ROUND(C19*F20,0)</f>
        <v>76</v>
      </c>
      <c r="D20" s="811" t="s">
        <v>667</v>
      </c>
      <c r="E20" s="783" t="s">
        <v>649</v>
      </c>
      <c r="F20" s="808">
        <f>'数据-取费表'!B37</f>
        <v>0.02</v>
      </c>
      <c r="G20" s="1591"/>
      <c r="H20" s="1649" t="s">
        <v>1833</v>
      </c>
      <c r="I20" s="340" t="s">
        <v>668</v>
      </c>
      <c r="J20" s="54">
        <f ca="1">ROUND(M20*M21/10000,0)</f>
        <v>0</v>
      </c>
      <c r="K20" s="813" t="s">
        <v>669</v>
      </c>
      <c r="L20" s="783" t="s">
        <v>670</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671</v>
      </c>
      <c r="C21" s="53" t="s">
        <v>1764</v>
      </c>
      <c r="D21" s="811" t="s">
        <v>2298</v>
      </c>
      <c r="E21" s="783" t="s">
        <v>673</v>
      </c>
      <c r="F21" s="808">
        <f>'数据-取费表'!B38</f>
        <v>0.02</v>
      </c>
      <c r="G21" s="1591"/>
      <c r="H21" s="2482"/>
      <c r="I21" s="792"/>
      <c r="J21" s="69"/>
      <c r="K21" s="815"/>
      <c r="L21" s="783" t="s">
        <v>674</v>
      </c>
      <c r="M21" s="784">
        <f ca="1">INDIRECT("'数据-取费表'!r"&amp;$G$1)</f>
        <v>2585.2800000000002</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675</v>
      </c>
      <c r="C22" s="53"/>
      <c r="D22" s="2548" t="str">
        <f>IF(F23&lt;=1,"单利计息。","复利计息。")&amp;"建造成本、管理费用、销售费用产生的利息。"</f>
        <v>复利计息。建造成本、管理费用、销售费用产生的利息。</v>
      </c>
      <c r="E22" s="3190"/>
      <c r="F22" s="56"/>
      <c r="G22" s="1590"/>
      <c r="H22" s="1647" t="s">
        <v>1889</v>
      </c>
      <c r="I22" s="783" t="s">
        <v>676</v>
      </c>
      <c r="J22" s="53">
        <f ca="1">ROUND(J14*M22,0)</f>
        <v>67</v>
      </c>
      <c r="K22" s="3188" t="s">
        <v>677</v>
      </c>
      <c r="L22" s="783" t="s">
        <v>649</v>
      </c>
      <c r="M22" s="816">
        <f ca="1">INDIRECT("'数据-取费表'!Ak"&amp;$G$1)</f>
        <v>1.4999999999999999E-2</v>
      </c>
    </row>
    <row r="23" spans="1:33" s="2062" customFormat="1" ht="18" customHeight="1">
      <c r="A23" s="1646" t="s">
        <v>1831</v>
      </c>
      <c r="B23" s="783" t="s">
        <v>2437</v>
      </c>
      <c r="C23" s="53">
        <f ca="1">ROUND(IF('数据-取费表'!B22&lt;=1,(C19+C20)*F24*F23/2,(C19+C20)*(POWER((1+F24),F23/2)-1)),0)</f>
        <v>137</v>
      </c>
      <c r="D23" s="2547" t="str">
        <f>IF(F23&lt;=1,"(建造成本+管理费用)×利率×(建设周期÷2)","(建造成本+管理费用)×((1+利率)^(建设周期÷2)-1)")</f>
        <v>(建造成本+管理费用)×((1+利率)^(建设周期÷2)-1)</v>
      </c>
      <c r="E23" s="783" t="s">
        <v>678</v>
      </c>
      <c r="F23" s="639">
        <f>'数据-取费表'!B20</f>
        <v>1.5</v>
      </c>
      <c r="G23" s="1591"/>
      <c r="H23" s="1647" t="s">
        <v>1890</v>
      </c>
      <c r="I23" s="783" t="s">
        <v>679</v>
      </c>
      <c r="J23" s="53">
        <f ca="1">ROUND(J13*M23,0)</f>
        <v>0</v>
      </c>
      <c r="K23" s="3188" t="s">
        <v>680</v>
      </c>
      <c r="L23" s="783" t="s">
        <v>649</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681</v>
      </c>
      <c r="C24" s="53">
        <f ca="1">ROUND(IF('数据-取费表'!B22&lt;=1,F21*F24*F23/2,F21*(POWER((1+F24),F23/2)-1)),4)</f>
        <v>6.9999999999999999E-4</v>
      </c>
      <c r="D24" s="2547" t="str">
        <f>IF(F23&lt;=1,"销售费用×利率×(建设周期÷2)","销售费用×((1+利率)^(建设周期÷2)-1)")</f>
        <v>销售费用×((1+利率)^(建设周期÷2)-1)</v>
      </c>
      <c r="E24" s="783" t="s">
        <v>682</v>
      </c>
      <c r="F24" s="818">
        <f ca="1">'数据-取费表'!B40</f>
        <v>4.7500000000000001E-2</v>
      </c>
      <c r="G24" s="1591"/>
      <c r="H24" s="2527" t="s">
        <v>1891</v>
      </c>
      <c r="I24" s="2522" t="s">
        <v>666</v>
      </c>
      <c r="J24" s="2520">
        <f ca="1">ROUND(J5*M24,0)</f>
        <v>0</v>
      </c>
      <c r="K24" s="2521" t="s">
        <v>683</v>
      </c>
      <c r="L24" s="2522" t="s">
        <v>649</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685</v>
      </c>
      <c r="E25" s="3190"/>
      <c r="F25" s="56"/>
      <c r="G25" s="1590"/>
      <c r="H25" s="1827" t="s">
        <v>1776</v>
      </c>
      <c r="I25" s="2982" t="s">
        <v>2821</v>
      </c>
      <c r="J25" s="791">
        <f ca="1">J5-J16</f>
        <v>-441</v>
      </c>
      <c r="K25" s="2524" t="s">
        <v>700</v>
      </c>
      <c r="L25" s="2525"/>
      <c r="M25" s="2526"/>
    </row>
    <row r="26" spans="1:33" ht="18" customHeight="1">
      <c r="A26" s="1646" t="s">
        <v>1831</v>
      </c>
      <c r="B26" s="783" t="s">
        <v>2438</v>
      </c>
      <c r="C26" s="53">
        <f ca="1">ROUND((C19+C20)*F26,0)</f>
        <v>116</v>
      </c>
      <c r="D26" s="811" t="s">
        <v>701</v>
      </c>
      <c r="E26" s="794" t="s">
        <v>702</v>
      </c>
      <c r="F26" s="793">
        <f ca="1">INDIRECT("'数据-取费表'!q"&amp;$G$1)</f>
        <v>0.03</v>
      </c>
      <c r="G26" s="1590"/>
      <c r="H26" s="2478" t="s">
        <v>1780</v>
      </c>
      <c r="I26" s="2230" t="s">
        <v>2826</v>
      </c>
      <c r="J26" s="782">
        <f ca="1">IF(J5&lt;&gt;0,ROUND(J25*(1-((1+M28)/(1+M26))^M27)/(M26-M28),0),0)</f>
        <v>0</v>
      </c>
      <c r="K26" s="813" t="s">
        <v>704</v>
      </c>
      <c r="L26" s="783" t="s">
        <v>2419</v>
      </c>
      <c r="M26" s="793">
        <f ca="1">INDIRECT("'数据-取费表'!I"&amp;$G$1)</f>
        <v>4.4999999999999998E-2</v>
      </c>
    </row>
    <row r="27" spans="1:33" ht="18" customHeight="1">
      <c r="A27" s="1646" t="s">
        <v>1832</v>
      </c>
      <c r="B27" s="783" t="s">
        <v>686</v>
      </c>
      <c r="C27" s="53">
        <f ca="1">ROUND(F21*F26,4)</f>
        <v>5.9999999999999995E-4</v>
      </c>
      <c r="D27" s="811" t="s">
        <v>706</v>
      </c>
      <c r="E27" s="805"/>
      <c r="F27" s="806"/>
      <c r="G27" s="1590"/>
      <c r="H27" s="2479"/>
      <c r="I27" s="786"/>
      <c r="J27" s="787"/>
      <c r="K27" s="820" t="s">
        <v>707</v>
      </c>
      <c r="L27" s="783" t="s">
        <v>708</v>
      </c>
      <c r="M27" s="821">
        <f ca="1">INDIRECT("'数据-取费表'!ag"&amp;$G$1)</f>
        <v>0</v>
      </c>
    </row>
    <row r="28" spans="1:33" s="2062" customFormat="1" ht="18" customHeight="1">
      <c r="A28" s="1648" t="s">
        <v>1841</v>
      </c>
      <c r="B28" s="783" t="s">
        <v>687</v>
      </c>
      <c r="C28" s="53">
        <f>ROUND(F28/(1+'数据-取费表'!C42),4)</f>
        <v>5.33E-2</v>
      </c>
      <c r="D28" s="811" t="s">
        <v>2299</v>
      </c>
      <c r="E28" s="783" t="s">
        <v>649</v>
      </c>
      <c r="F28" s="808">
        <f>'数据-取费表'!B41</f>
        <v>5.6000000000000001E-2</v>
      </c>
      <c r="G28" s="1591"/>
      <c r="H28" s="1827"/>
      <c r="I28" s="790"/>
      <c r="J28" s="791"/>
      <c r="K28" s="815"/>
      <c r="L28" s="783" t="s">
        <v>710</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4450</v>
      </c>
      <c r="D29" s="2521"/>
      <c r="E29" s="2522"/>
      <c r="F29" s="2523"/>
      <c r="G29" s="1591"/>
      <c r="H29" s="822" t="s">
        <v>1787</v>
      </c>
      <c r="I29" s="823" t="s">
        <v>1788</v>
      </c>
      <c r="J29" s="824">
        <f ca="1">ROUND(J26/(1+F40)^F41,0)</f>
        <v>0</v>
      </c>
      <c r="K29" s="825" t="s">
        <v>688</v>
      </c>
      <c r="L29" s="826"/>
      <c r="M29" s="827">
        <f ca="1">INDIRECT("'数据-取费表'!k"&amp;$G$1)</f>
        <v>11165</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1">
        <f ca="1">ROUND(C31+C36+C37+C38,0)</f>
        <v>151</v>
      </c>
      <c r="D30" s="1819" t="s">
        <v>652</v>
      </c>
      <c r="E30" s="3189"/>
      <c r="F30" s="2467"/>
      <c r="G30" s="2060"/>
      <c r="H30" s="2063"/>
      <c r="I30" s="2064"/>
      <c r="J30" s="2065"/>
      <c r="K30" s="2066"/>
      <c r="L30" s="2067"/>
      <c r="M30" s="2068"/>
    </row>
    <row r="31" spans="1:33" ht="18" customHeight="1">
      <c r="A31" s="1647" t="s">
        <v>1824</v>
      </c>
      <c r="B31" s="783" t="s">
        <v>656</v>
      </c>
      <c r="C31" s="53">
        <f ca="1">ROUND(IF(项目基本情况!B11="自然人",C5*F31,C32+C33+C34),1)</f>
        <v>73</v>
      </c>
      <c r="D31" s="3187" t="s">
        <v>657</v>
      </c>
      <c r="E31" s="3188"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660</v>
      </c>
      <c r="C32" s="53">
        <f ca="1">ROUND(C5*F32/1.05,1)</f>
        <v>22.3</v>
      </c>
      <c r="D32" s="3188" t="s">
        <v>661</v>
      </c>
      <c r="E32" s="783" t="s">
        <v>649</v>
      </c>
      <c r="F32" s="808">
        <f>'数据-取费表'!B41</f>
        <v>5.6000000000000001E-2</v>
      </c>
      <c r="G32" s="2060"/>
      <c r="H32" s="2069"/>
      <c r="I32" s="2070"/>
      <c r="J32" s="2071"/>
      <c r="K32" s="2072"/>
      <c r="L32" s="2073"/>
      <c r="M32" s="2074"/>
    </row>
    <row r="33" spans="1:18" ht="18" customHeight="1">
      <c r="A33" s="1646" t="s">
        <v>1832</v>
      </c>
      <c r="B33" s="783" t="s">
        <v>664</v>
      </c>
      <c r="C33" s="53">
        <f ca="1">IF(D33="按租金收入计税",ROUND(C5*F33,1),IF(D33="按房产原值计税",ROUND(C29*F33*0.7,1),INDIRECT("'数据-取费表'!Aj"&amp;$G$1)))</f>
        <v>50.3</v>
      </c>
      <c r="D33" s="810" t="s">
        <v>3324</v>
      </c>
      <c r="E33" s="783" t="s">
        <v>649</v>
      </c>
      <c r="F33" s="808">
        <f>IF(D33="按租金收入计税",'数据-取费表'!B51,'数据-取费表'!B50)</f>
        <v>0.12</v>
      </c>
      <c r="G33" s="2060"/>
      <c r="H33" s="2075"/>
      <c r="I33" s="2075"/>
      <c r="J33" s="2075"/>
      <c r="K33" s="2076"/>
      <c r="L33" s="2075"/>
      <c r="M33" s="2075"/>
    </row>
    <row r="34" spans="1:18" ht="18" customHeight="1">
      <c r="A34" s="1649" t="s">
        <v>1833</v>
      </c>
      <c r="B34" s="340" t="s">
        <v>668</v>
      </c>
      <c r="C34" s="54">
        <f ca="1">ROUND(F34*F35/10000,1)</f>
        <v>0.4</v>
      </c>
      <c r="D34" s="813" t="s">
        <v>669</v>
      </c>
      <c r="E34" s="783" t="s">
        <v>670</v>
      </c>
      <c r="F34" s="639">
        <f>'数据-取费表'!B52</f>
        <v>1.5</v>
      </c>
      <c r="G34" s="2060"/>
      <c r="H34" s="2063"/>
      <c r="I34" s="834" t="s">
        <v>1813</v>
      </c>
      <c r="J34" s="835"/>
      <c r="K34" s="2078"/>
      <c r="L34" s="2077"/>
      <c r="M34" s="2077"/>
    </row>
    <row r="35" spans="1:18" ht="18" customHeight="1">
      <c r="A35" s="814"/>
      <c r="B35" s="792"/>
      <c r="C35" s="69"/>
      <c r="D35" s="815"/>
      <c r="E35" s="783" t="s">
        <v>674</v>
      </c>
      <c r="F35" s="784">
        <f ca="1">INDIRECT("'数据-取费表'!r"&amp;$G$1)</f>
        <v>2585.2800000000002</v>
      </c>
      <c r="G35" s="2060"/>
      <c r="H35" s="2063"/>
      <c r="I35" s="836" t="s">
        <v>1814</v>
      </c>
      <c r="J35" s="837">
        <f ca="1">ROUND(C13*J36,0)</f>
        <v>378</v>
      </c>
      <c r="K35" s="2076"/>
      <c r="L35" s="2075"/>
      <c r="M35" s="2075"/>
    </row>
    <row r="36" spans="1:18" ht="18" customHeight="1">
      <c r="A36" s="1647" t="s">
        <v>1889</v>
      </c>
      <c r="B36" s="783" t="s">
        <v>676</v>
      </c>
      <c r="C36" s="53">
        <f ca="1">ROUND(C29*F36,1)</f>
        <v>66.8</v>
      </c>
      <c r="D36" s="3188" t="s">
        <v>691</v>
      </c>
      <c r="E36" s="783" t="s">
        <v>649</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6.7</v>
      </c>
      <c r="D37" s="3188" t="s">
        <v>680</v>
      </c>
      <c r="E37" s="783" t="s">
        <v>649</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4.2</v>
      </c>
      <c r="D38" s="2521" t="s">
        <v>683</v>
      </c>
      <c r="E38" s="2522" t="s">
        <v>649</v>
      </c>
      <c r="F38" s="2518">
        <f ca="1">INDIRECT("'数据-取费表'!Am"&amp;$G$1)</f>
        <v>0.01</v>
      </c>
      <c r="G38" s="2060"/>
      <c r="H38" s="2075"/>
      <c r="I38" s="842" t="s">
        <v>1817</v>
      </c>
      <c r="J38" s="843"/>
      <c r="K38" s="2081"/>
      <c r="L38" s="2075"/>
      <c r="M38" s="2075"/>
    </row>
    <row r="39" spans="1:18" ht="24.6" customHeight="1" thickTop="1">
      <c r="A39" s="1827" t="s">
        <v>1776</v>
      </c>
      <c r="B39" s="2982" t="s">
        <v>2821</v>
      </c>
      <c r="C39" s="791">
        <f ca="1">C5-C30</f>
        <v>268</v>
      </c>
      <c r="D39" s="2524" t="s">
        <v>700</v>
      </c>
      <c r="E39" s="2525"/>
      <c r="F39" s="2526"/>
      <c r="G39" s="2060"/>
      <c r="H39" s="2075"/>
      <c r="I39" s="836" t="s">
        <v>1818</v>
      </c>
      <c r="J39" s="844">
        <f ca="1">ROUND(J35/C39,3)</f>
        <v>1.41</v>
      </c>
      <c r="K39" s="2081"/>
      <c r="L39" s="2075"/>
      <c r="M39" s="2075"/>
    </row>
    <row r="40" spans="1:18" ht="18" customHeight="1">
      <c r="A40" s="780" t="s">
        <v>1780</v>
      </c>
      <c r="B40" s="2230" t="s">
        <v>2301</v>
      </c>
      <c r="C40" s="782">
        <f ca="1">ROUND(C39*(1-((1+F42)/(1+F40))^F41)/(F40-F42),0)</f>
        <v>6946</v>
      </c>
      <c r="D40" s="813" t="s">
        <v>704</v>
      </c>
      <c r="E40" s="783" t="s">
        <v>2419</v>
      </c>
      <c r="F40" s="793">
        <f ca="1">INDIRECT("'数据-取费表'!I"&amp;$G$1)</f>
        <v>4.4999999999999998E-2</v>
      </c>
      <c r="G40" s="2060"/>
      <c r="H40" s="2060"/>
      <c r="I40" s="836" t="s">
        <v>1819</v>
      </c>
      <c r="J40" s="844">
        <f ca="1">1-J39</f>
        <v>-0.40999999999999992</v>
      </c>
      <c r="K40" s="2081"/>
      <c r="L40" s="2060"/>
      <c r="M40" s="2060"/>
    </row>
    <row r="41" spans="1:18" ht="18" customHeight="1">
      <c r="A41" s="785"/>
      <c r="B41" s="786"/>
      <c r="C41" s="787"/>
      <c r="D41" s="820" t="s">
        <v>1808</v>
      </c>
      <c r="E41" s="783" t="s">
        <v>708</v>
      </c>
      <c r="F41" s="821">
        <f ca="1">IF(INDIRECT("'数据-取费表'!af"&amp;$G$1)=0,INDIRECT("'数据-取费表'!ae"&amp;$G$1),INDIRECT("'数据-取费表'!af"&amp;$G$1))</f>
        <v>34.049999999999997</v>
      </c>
      <c r="G41" s="2060"/>
      <c r="H41" s="1986"/>
      <c r="I41" s="842" t="s">
        <v>1820</v>
      </c>
      <c r="J41" s="845"/>
      <c r="K41" s="2080"/>
      <c r="L41" s="1986"/>
      <c r="M41" s="1986"/>
    </row>
    <row r="42" spans="1:18" ht="18" customHeight="1">
      <c r="A42" s="789"/>
      <c r="B42" s="790"/>
      <c r="C42" s="791"/>
      <c r="D42" s="815"/>
      <c r="E42" s="783" t="s">
        <v>710</v>
      </c>
      <c r="F42" s="793">
        <f ca="1">INDIRECT("'数据-取费表'!v"&amp;$G$1)</f>
        <v>0.03</v>
      </c>
      <c r="G42" s="2060"/>
      <c r="H42" s="1986"/>
      <c r="I42" s="846" t="s">
        <v>1821</v>
      </c>
      <c r="J42" s="844">
        <f ca="1">ROUND(C13/C40,3)</f>
        <v>0.64100000000000001</v>
      </c>
      <c r="K42" s="2080"/>
      <c r="L42" s="1986"/>
      <c r="M42" s="1986"/>
    </row>
    <row r="43" spans="1:18" ht="18" customHeight="1" thickBot="1">
      <c r="A43" s="822" t="s">
        <v>1787</v>
      </c>
      <c r="B43" s="823" t="s">
        <v>1810</v>
      </c>
      <c r="C43" s="824">
        <f ca="1">ROUND(C40*10000/F43,0)</f>
        <v>6221</v>
      </c>
      <c r="D43" s="825" t="s">
        <v>1811</v>
      </c>
      <c r="E43" s="826" t="s">
        <v>1812</v>
      </c>
      <c r="F43" s="827">
        <f ca="1">INDIRECT("'数据-取费表'!k"&amp;$G$1)</f>
        <v>11165</v>
      </c>
      <c r="G43" s="2060"/>
      <c r="H43" s="1986"/>
      <c r="I43" s="846" t="s">
        <v>1822</v>
      </c>
      <c r="J43" s="847">
        <f ca="1">1-J42</f>
        <v>0.35899999999999999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-8223</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40</v>
      </c>
      <c r="M47" s="1602" t="str">
        <f>IF(ISNUMBER(FIND("住宅",C1)),"住宅","非住宅")</f>
        <v>非住宅</v>
      </c>
      <c r="O47" s="2371" t="s">
        <v>2375</v>
      </c>
      <c r="P47" s="2372" t="s">
        <v>2376</v>
      </c>
      <c r="Q47" s="2373" t="s">
        <v>2377</v>
      </c>
      <c r="R47" s="2372" t="s">
        <v>2378</v>
      </c>
    </row>
    <row r="48" spans="1:18" s="2057" customFormat="1" ht="18" customHeight="1" thickBot="1">
      <c r="A48" s="2618" t="s">
        <v>1870</v>
      </c>
      <c r="B48" s="2619" t="s">
        <v>2538</v>
      </c>
      <c r="C48" s="2350">
        <f ca="1">ROUND(F48*F50*F49*(1-F51)/10000,0)</f>
        <v>0</v>
      </c>
      <c r="D48" s="2351" t="s">
        <v>636</v>
      </c>
      <c r="E48" s="2352" t="s">
        <v>2296</v>
      </c>
      <c r="F48" s="2353"/>
      <c r="G48" s="2088"/>
      <c r="I48" s="3099" t="s">
        <v>2345</v>
      </c>
      <c r="J48" s="2358" t="s">
        <v>2350</v>
      </c>
      <c r="K48" s="3128" t="s">
        <v>2351</v>
      </c>
      <c r="L48" s="1906">
        <f ca="1">INDIRECT("'数据-取费表'!f"&amp;$G$1)</f>
        <v>35.549999999999997</v>
      </c>
      <c r="O48" s="2374" t="s">
        <v>2379</v>
      </c>
      <c r="P48" s="2375" t="s">
        <v>2405</v>
      </c>
      <c r="Q48" s="2376">
        <f ca="1">C40+J29</f>
        <v>6946</v>
      </c>
      <c r="R48" s="2375" t="s">
        <v>2380</v>
      </c>
    </row>
    <row r="49" spans="1:18" s="2057" customFormat="1" ht="18" customHeight="1" thickBot="1">
      <c r="A49" s="785"/>
      <c r="B49" s="786"/>
      <c r="C49" s="787"/>
      <c r="D49" s="788"/>
      <c r="E49" s="783" t="s">
        <v>638</v>
      </c>
      <c r="F49" s="784">
        <f ca="1">F7</f>
        <v>319</v>
      </c>
      <c r="G49" s="2088"/>
      <c r="H49" s="2091"/>
      <c r="I49" s="3099" t="s">
        <v>2346</v>
      </c>
      <c r="J49" s="2359">
        <v>2021</v>
      </c>
      <c r="K49" s="3129" t="s">
        <v>2352</v>
      </c>
      <c r="L49" s="2360"/>
      <c r="O49" s="2374" t="s">
        <v>2381</v>
      </c>
      <c r="P49" s="2375" t="s">
        <v>2406</v>
      </c>
      <c r="Q49" s="2376">
        <f ca="1">J60</f>
        <v>104</v>
      </c>
      <c r="R49" s="2375" t="s">
        <v>2382</v>
      </c>
    </row>
    <row r="50" spans="1:18" s="2057" customFormat="1" ht="18" customHeight="1" thickBot="1">
      <c r="A50" s="785"/>
      <c r="B50" s="786"/>
      <c r="C50" s="787"/>
      <c r="D50" s="788"/>
      <c r="E50" s="783" t="s">
        <v>639</v>
      </c>
      <c r="F50" s="784">
        <f ca="1">F8</f>
        <v>365</v>
      </c>
      <c r="G50" s="2093"/>
      <c r="H50" s="2091"/>
      <c r="I50" s="3099" t="s">
        <v>2347</v>
      </c>
      <c r="J50" s="3124">
        <f>SUMPRODUCT((I63:I65=J47)*(J62:L62=J48)*(J63:L65))</f>
        <v>60</v>
      </c>
      <c r="K50" s="3129" t="s">
        <v>2353</v>
      </c>
      <c r="L50" s="2360"/>
      <c r="O50" s="2377" t="s">
        <v>2383</v>
      </c>
      <c r="P50" s="2375" t="s">
        <v>2407</v>
      </c>
      <c r="Q50" s="2376">
        <f ca="1">C29</f>
        <v>4450</v>
      </c>
      <c r="R50" s="2375" t="s">
        <v>2380</v>
      </c>
    </row>
    <row r="51" spans="1:18" s="2057" customFormat="1" ht="18" customHeight="1" thickBot="1">
      <c r="A51" s="785"/>
      <c r="B51" s="786"/>
      <c r="C51" s="787"/>
      <c r="D51" s="788"/>
      <c r="E51" s="783" t="s">
        <v>640</v>
      </c>
      <c r="F51" s="2347"/>
      <c r="H51" s="2091"/>
      <c r="I51" s="3121" t="s">
        <v>2348</v>
      </c>
      <c r="J51" s="3125">
        <f>IF(J49="",J50,J49+J50-YEAR('数据-取费表'!B2))</f>
        <v>62</v>
      </c>
      <c r="K51" s="3099" t="s">
        <v>2354</v>
      </c>
      <c r="L51" s="3132">
        <f ca="1">ROUND(-PV(INDIRECT("'数据-取费表'!h"&amp;$G$1),L48,(C39-C13*J36),0),0)</f>
        <v>-2073</v>
      </c>
      <c r="O51" s="2377" t="s">
        <v>2384</v>
      </c>
      <c r="P51" s="2375" t="s">
        <v>2385</v>
      </c>
      <c r="Q51" s="2378">
        <f ca="1">J58</f>
        <v>0.441</v>
      </c>
      <c r="R51" s="2379"/>
    </row>
    <row r="52" spans="1:18" s="2057" customFormat="1" ht="18" customHeight="1" thickBot="1">
      <c r="A52" s="780" t="s">
        <v>2536</v>
      </c>
      <c r="B52" s="2470" t="s">
        <v>2459</v>
      </c>
      <c r="C52" s="798">
        <f ca="1">ROUND(IF(F52="押一",C48/12*F11,IF(F52="押二",C48/12*2*F11,IF(F52="押三",C48/12*3*F11,C53*F11))),0)</f>
        <v>0</v>
      </c>
      <c r="D52" s="2477" t="s">
        <v>2975</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34.049999999999997</v>
      </c>
      <c r="K53" s="3504" t="s">
        <v>2967</v>
      </c>
      <c r="L53" s="3505"/>
      <c r="O53" s="2377" t="s">
        <v>2388</v>
      </c>
      <c r="P53" s="2375" t="s">
        <v>2389</v>
      </c>
      <c r="Q53" s="2376">
        <f ca="1">J53</f>
        <v>34.049999999999997</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7050</v>
      </c>
      <c r="R54" s="2379" t="s">
        <v>2392</v>
      </c>
    </row>
    <row r="55" spans="1:18" s="2057" customFormat="1" ht="18" customHeight="1" thickTop="1" thickBot="1">
      <c r="A55" s="796">
        <v>2</v>
      </c>
      <c r="B55" s="797" t="s">
        <v>644</v>
      </c>
      <c r="C55" s="798">
        <f ca="1">C13</f>
        <v>4450</v>
      </c>
      <c r="D55" s="794"/>
      <c r="E55" s="794"/>
      <c r="F55" s="799"/>
      <c r="I55" s="3135" t="s">
        <v>2355</v>
      </c>
      <c r="J55" s="3074">
        <f ca="1">ROUND(IF(J47="钢混",J57/J50,1-(1-2%)*(J50-J57)/J50),3)</f>
        <v>0.441</v>
      </c>
      <c r="K55" s="3136" t="s">
        <v>2356</v>
      </c>
      <c r="L55" s="2362"/>
      <c r="O55" s="2380" t="s">
        <v>2411</v>
      </c>
      <c r="P55" s="1590"/>
      <c r="Q55" s="1602"/>
      <c r="R55" s="1590"/>
    </row>
    <row r="56" spans="1:18" s="2057" customFormat="1" ht="42.75" customHeight="1" thickBot="1">
      <c r="A56" s="1648"/>
      <c r="B56" s="2229" t="s">
        <v>2300</v>
      </c>
      <c r="C56" s="53">
        <f ca="1">C29</f>
        <v>4450</v>
      </c>
      <c r="D56" s="3188"/>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74</v>
      </c>
      <c r="D57" s="26" t="s">
        <v>652</v>
      </c>
      <c r="E57" s="3190"/>
      <c r="F57" s="56"/>
      <c r="I57" s="3138" t="s">
        <v>2358</v>
      </c>
      <c r="J57" s="3139">
        <f ca="1">IF(OR(M47="住宅",J51&lt;L48,J56="是"),"——",J51-L48)</f>
        <v>26.450000000000003</v>
      </c>
      <c r="K57" s="3099" t="s">
        <v>2363</v>
      </c>
      <c r="L57" s="1906" t="str">
        <f ca="1">IF(L48&lt;J51,"——",IF(L55="比较法",L49,IF(L55="基准地价",L50,L51)))</f>
        <v>——</v>
      </c>
      <c r="O57" s="2374" t="s">
        <v>2379</v>
      </c>
      <c r="P57" s="2375" t="s">
        <v>2405</v>
      </c>
      <c r="Q57" s="2376">
        <f ca="1">C40+J29</f>
        <v>6946</v>
      </c>
      <c r="R57" s="2375" t="s">
        <v>2380</v>
      </c>
    </row>
    <row r="58" spans="1:18" s="2057" customFormat="1" ht="28.5" customHeight="1" thickBot="1">
      <c r="A58" s="1647" t="s">
        <v>1824</v>
      </c>
      <c r="B58" s="783" t="s">
        <v>656</v>
      </c>
      <c r="C58" s="53">
        <f ca="1">ROUND(IF(项目基本情况!B11="自然人",C47*F58,C59+C60+C61),1)</f>
        <v>0.4</v>
      </c>
      <c r="D58" s="3187" t="s">
        <v>657</v>
      </c>
      <c r="E58" s="3188" t="s">
        <v>690</v>
      </c>
      <c r="F58" s="809" t="str">
        <f ca="1">IF(项目基本情况!B11="企业","",IF(INDIRECT("'数据-取费表'!c"&amp;$G$1)="住宅",5%,IF(F48*F49*F50/12/(1+'数据-取费表'!C42)&gt;20000,12%,7%)))</f>
        <v/>
      </c>
      <c r="I58" s="3138" t="s">
        <v>2359</v>
      </c>
      <c r="J58" s="3075">
        <f ca="1">IF(J55&lt;0.4,0.4,J55)</f>
        <v>0.441</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3188" t="s">
        <v>661</v>
      </c>
      <c r="E59" s="783" t="s">
        <v>649</v>
      </c>
      <c r="F59" s="808">
        <f t="shared" ref="F59:F65" si="0">F32</f>
        <v>5.6000000000000001E-2</v>
      </c>
      <c r="I59" s="3138" t="s">
        <v>2360</v>
      </c>
      <c r="J59" s="3139">
        <f ca="1">IF(OR(M47="住宅",J51&lt;L48,J56="是"),"——",ROUND(C29*J58,0))</f>
        <v>1962</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664</v>
      </c>
      <c r="C60" s="53">
        <f ca="1">IF(D60="按租金收入计税",ROUND(C47*F60,1),IF(D60="按房产原值计税",ROUND(C56*F60*0.7,1),INDIRECT("'数据-取费表'!Aj"&amp;$G$1)))</f>
        <v>0</v>
      </c>
      <c r="D60" s="3188" t="str">
        <f>D33</f>
        <v>按租金收入计税</v>
      </c>
      <c r="E60" s="783" t="s">
        <v>649</v>
      </c>
      <c r="F60" s="808">
        <f t="shared" si="0"/>
        <v>0.12</v>
      </c>
      <c r="I60" s="3140" t="s">
        <v>2361</v>
      </c>
      <c r="J60" s="3141">
        <f ca="1">IF(OR(M47="住宅",J51&lt;L48,J56="是"),"0",ROUND(J59/(1+J52)^J53,0))</f>
        <v>104</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0.4</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2585.2800000000002</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66.8</v>
      </c>
      <c r="D63" s="3188" t="s">
        <v>691</v>
      </c>
      <c r="E63" s="783" t="s">
        <v>649</v>
      </c>
      <c r="F63" s="816">
        <f t="shared" ca="1" si="0"/>
        <v>1.4999999999999999E-2</v>
      </c>
      <c r="I63" s="3143" t="s">
        <v>2370</v>
      </c>
      <c r="J63" s="3144">
        <v>70</v>
      </c>
      <c r="K63" s="3144">
        <v>50</v>
      </c>
      <c r="L63" s="3144">
        <v>80</v>
      </c>
      <c r="M63" s="3146">
        <v>0.02</v>
      </c>
      <c r="O63" s="2374" t="s">
        <v>2391</v>
      </c>
      <c r="P63" s="2375" t="s">
        <v>2408</v>
      </c>
      <c r="Q63" s="2376">
        <f ca="1">Q57+Q58</f>
        <v>6946</v>
      </c>
      <c r="R63" s="2379" t="s">
        <v>2392</v>
      </c>
    </row>
    <row r="64" spans="1:18" s="2057" customFormat="1" ht="16.5" thickBot="1">
      <c r="A64" s="1647" t="s">
        <v>1890</v>
      </c>
      <c r="B64" s="783" t="s">
        <v>679</v>
      </c>
      <c r="C64" s="53">
        <f ca="1">ROUND(C55*F64,1)</f>
        <v>6.7</v>
      </c>
      <c r="D64" s="3188" t="s">
        <v>680</v>
      </c>
      <c r="E64" s="783" t="s">
        <v>649</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3188" t="s">
        <v>683</v>
      </c>
      <c r="E65" s="783" t="s">
        <v>649</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-74</v>
      </c>
      <c r="D66" s="3187" t="s">
        <v>700</v>
      </c>
      <c r="E66" s="3185"/>
      <c r="F66" s="819"/>
      <c r="K66" s="2084"/>
      <c r="O66" s="2374" t="s">
        <v>2379</v>
      </c>
      <c r="P66" s="2375" t="s">
        <v>2405</v>
      </c>
      <c r="Q66" s="2376">
        <f ca="1">C40+J29</f>
        <v>6946</v>
      </c>
      <c r="R66" s="2375" t="s">
        <v>2380</v>
      </c>
    </row>
    <row r="67" spans="1:18" s="2057" customFormat="1" ht="20.25" thickBot="1">
      <c r="A67" s="780" t="s">
        <v>1780</v>
      </c>
      <c r="B67" s="2230" t="s">
        <v>2301</v>
      </c>
      <c r="C67" s="782">
        <f ca="1">ROUND(C66*(1-((1+F69)/(1+F67))^F68)/(F67-F69),0)</f>
        <v>-1277</v>
      </c>
      <c r="D67" s="813" t="s">
        <v>704</v>
      </c>
      <c r="E67" s="783" t="s">
        <v>705</v>
      </c>
      <c r="F67" s="793">
        <f ca="1">F40</f>
        <v>4.4999999999999998E-2</v>
      </c>
      <c r="K67" s="2084"/>
      <c r="O67" s="2374" t="s">
        <v>2381</v>
      </c>
      <c r="P67" s="2375" t="s">
        <v>2412</v>
      </c>
      <c r="Q67" s="2376">
        <f ca="1">L60</f>
        <v>0</v>
      </c>
      <c r="R67" s="2379" t="s">
        <v>2414</v>
      </c>
    </row>
    <row r="68" spans="1:18" ht="21.75" thickBot="1">
      <c r="A68" s="785"/>
      <c r="B68" s="786"/>
      <c r="C68" s="787"/>
      <c r="D68" s="820" t="s">
        <v>1808</v>
      </c>
      <c r="E68" s="783" t="s">
        <v>708</v>
      </c>
      <c r="F68" s="821">
        <f ca="1">F41</f>
        <v>34.049999999999997</v>
      </c>
      <c r="O68" s="2377" t="s">
        <v>2383</v>
      </c>
      <c r="P68" s="2375" t="s">
        <v>2413</v>
      </c>
      <c r="Q68" s="2381">
        <f ca="1">L51</f>
        <v>-2073</v>
      </c>
      <c r="R68" s="2382" t="s">
        <v>2416</v>
      </c>
    </row>
    <row r="69" spans="1:18" ht="20.25" thickBot="1">
      <c r="A69" s="789"/>
      <c r="B69" s="790"/>
      <c r="C69" s="791"/>
      <c r="D69" s="815"/>
      <c r="E69" s="783" t="s">
        <v>710</v>
      </c>
      <c r="F69" s="2347"/>
      <c r="O69" s="2377" t="s">
        <v>2384</v>
      </c>
      <c r="P69" s="2383" t="s">
        <v>2398</v>
      </c>
      <c r="Q69" s="2376">
        <f ca="1">ROUND(Q70-Q71*Q72,0)</f>
        <v>-110</v>
      </c>
      <c r="R69" s="2379"/>
    </row>
    <row r="70" spans="1:18" ht="15.75" thickBot="1">
      <c r="A70" s="822" t="s">
        <v>1787</v>
      </c>
      <c r="B70" s="823" t="s">
        <v>1810</v>
      </c>
      <c r="C70" s="824">
        <f ca="1">ROUND(C67*10000/F70,0)</f>
        <v>-1144</v>
      </c>
      <c r="D70" s="825" t="s">
        <v>1811</v>
      </c>
      <c r="E70" s="826" t="s">
        <v>1812</v>
      </c>
      <c r="F70" s="827">
        <f ca="1">F43</f>
        <v>11165</v>
      </c>
      <c r="O70" s="2377" t="s">
        <v>2399</v>
      </c>
      <c r="P70" s="2383" t="s">
        <v>2400</v>
      </c>
      <c r="Q70" s="2376">
        <f ca="1">C39</f>
        <v>268</v>
      </c>
      <c r="R70" s="2375" t="s">
        <v>2380</v>
      </c>
    </row>
    <row r="71" spans="1:18" ht="15.75" thickBot="1">
      <c r="O71" s="2377" t="s">
        <v>2401</v>
      </c>
      <c r="P71" s="2383" t="s">
        <v>2402</v>
      </c>
      <c r="Q71" s="2376">
        <f ca="1">C13</f>
        <v>4450</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6946</v>
      </c>
      <c r="R76" s="2379"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788</v>
      </c>
      <c r="C1" s="503" t="s">
        <v>720</v>
      </c>
      <c r="D1" s="848"/>
      <c r="E1" s="505"/>
      <c r="F1" s="2782"/>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3"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3"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521</v>
      </c>
      <c r="B4" s="512"/>
      <c r="C4" s="3399" t="s">
        <v>522</v>
      </c>
      <c r="D4" s="3400"/>
      <c r="E4" s="3426" t="s">
        <v>523</v>
      </c>
      <c r="F4" s="3427"/>
      <c r="G4" s="3399" t="s">
        <v>524</v>
      </c>
      <c r="H4" s="3400"/>
      <c r="I4" s="3399" t="s">
        <v>525</v>
      </c>
      <c r="J4" s="3400"/>
      <c r="K4" s="513" t="s">
        <v>526</v>
      </c>
      <c r="L4" s="2131"/>
      <c r="M4" s="2132"/>
      <c r="N4" s="2132"/>
      <c r="O4" s="2132"/>
      <c r="P4" s="3401" t="s">
        <v>527</v>
      </c>
      <c r="Q4" s="3402"/>
      <c r="R4" s="3387" t="s">
        <v>523</v>
      </c>
      <c r="S4" s="3388"/>
      <c r="T4" s="3387" t="s">
        <v>524</v>
      </c>
      <c r="U4" s="3388"/>
      <c r="V4" s="3407" t="s">
        <v>525</v>
      </c>
      <c r="W4" s="3407"/>
      <c r="X4" s="1565"/>
      <c r="Y4" s="3387" t="s">
        <v>527</v>
      </c>
      <c r="Z4" s="3388"/>
      <c r="AA4" s="3382" t="s">
        <v>523</v>
      </c>
      <c r="AB4" s="3383" t="s">
        <v>524</v>
      </c>
      <c r="AC4" s="3382" t="s">
        <v>525</v>
      </c>
    </row>
    <row r="5" spans="1:29" ht="15">
      <c r="A5" s="514"/>
      <c r="B5" s="515"/>
      <c r="C5" s="3410" t="s">
        <v>2928</v>
      </c>
      <c r="D5" s="3411"/>
      <c r="E5" s="3428" t="s">
        <v>2929</v>
      </c>
      <c r="F5" s="3416"/>
      <c r="G5" s="3410" t="s">
        <v>2930</v>
      </c>
      <c r="H5" s="3411"/>
      <c r="I5" s="3410" t="s">
        <v>2931</v>
      </c>
      <c r="J5" s="3411"/>
      <c r="K5" s="513"/>
      <c r="L5" s="2131"/>
      <c r="M5" s="2132"/>
      <c r="N5" s="2132"/>
      <c r="O5" s="2132"/>
      <c r="P5" s="3403"/>
      <c r="Q5" s="3404"/>
      <c r="R5" s="3389"/>
      <c r="S5" s="3390"/>
      <c r="T5" s="3389"/>
      <c r="U5" s="3390"/>
      <c r="V5" s="3407"/>
      <c r="W5" s="3407"/>
      <c r="X5" s="1565"/>
      <c r="Y5" s="3389"/>
      <c r="Z5" s="3390"/>
      <c r="AA5" s="3383"/>
      <c r="AB5" s="3383"/>
      <c r="AC5" s="3383"/>
    </row>
    <row r="6" spans="1:29" ht="15.75" thickBot="1">
      <c r="A6" s="516"/>
      <c r="B6" s="517"/>
      <c r="C6" s="3408" t="s">
        <v>2932</v>
      </c>
      <c r="D6" s="3409"/>
      <c r="E6" s="3429" t="s">
        <v>2932</v>
      </c>
      <c r="F6" s="3430"/>
      <c r="G6" s="3408" t="s">
        <v>2932</v>
      </c>
      <c r="H6" s="3409"/>
      <c r="I6" s="3408" t="s">
        <v>2932</v>
      </c>
      <c r="J6" s="3409"/>
      <c r="K6" s="513" t="s">
        <v>528</v>
      </c>
      <c r="L6" s="2131"/>
      <c r="M6" s="2132"/>
      <c r="N6" s="2132"/>
      <c r="O6" s="2132"/>
      <c r="P6" s="3405"/>
      <c r="Q6" s="3406"/>
      <c r="R6" s="3389"/>
      <c r="S6" s="3390"/>
      <c r="T6" s="3391"/>
      <c r="U6" s="3392"/>
      <c r="V6" s="3407"/>
      <c r="W6" s="3407"/>
      <c r="X6" s="1565"/>
      <c r="Y6" s="3391"/>
      <c r="Z6" s="3392"/>
      <c r="AA6" s="3384"/>
      <c r="AB6" s="3384"/>
      <c r="AC6" s="3384"/>
    </row>
    <row r="7" spans="1:29" s="1217" customFormat="1" ht="15.75" thickBot="1">
      <c r="A7" s="2887"/>
      <c r="B7" s="2894" t="s">
        <v>529</v>
      </c>
      <c r="C7" s="518">
        <f>'数据-取费表'!B2</f>
        <v>43510</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85" t="s">
        <v>530</v>
      </c>
      <c r="Q7" s="3394"/>
      <c r="R7" s="1566" t="s">
        <v>8</v>
      </c>
      <c r="S7" s="1567">
        <f t="shared" ref="S7:S15" si="0">F7</f>
        <v>0</v>
      </c>
      <c r="T7" s="1566" t="s">
        <v>8</v>
      </c>
      <c r="U7" s="1567">
        <f t="shared" ref="U7:U15" si="1">H7</f>
        <v>0</v>
      </c>
      <c r="V7" s="1566" t="s">
        <v>8</v>
      </c>
      <c r="W7" s="1567">
        <f t="shared" ref="W7:W15" si="2">J7</f>
        <v>0</v>
      </c>
      <c r="X7" s="1568"/>
      <c r="Y7" s="3385" t="s">
        <v>530</v>
      </c>
      <c r="Z7" s="3386"/>
      <c r="AA7" s="1569" t="e">
        <f>D7/F7</f>
        <v>#DIV/0!</v>
      </c>
      <c r="AB7" s="1569" t="e">
        <f>D7/H7</f>
        <v>#DIV/0!</v>
      </c>
      <c r="AC7" s="1569" t="e">
        <f>D7/J7</f>
        <v>#DIV/0!</v>
      </c>
    </row>
    <row r="8" spans="1:29" s="1217" customFormat="1" ht="15.75" thickBot="1">
      <c r="A8" s="2888"/>
      <c r="B8" s="2895"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85" t="s">
        <v>533</v>
      </c>
      <c r="Q8" s="3386"/>
      <c r="R8" s="1566" t="s">
        <v>8</v>
      </c>
      <c r="S8" s="1567">
        <f t="shared" si="0"/>
        <v>0</v>
      </c>
      <c r="T8" s="1566" t="s">
        <v>8</v>
      </c>
      <c r="U8" s="1567">
        <f t="shared" si="1"/>
        <v>0</v>
      </c>
      <c r="V8" s="1566" t="s">
        <v>8</v>
      </c>
      <c r="W8" s="1567">
        <f t="shared" si="2"/>
        <v>0</v>
      </c>
      <c r="X8" s="1568"/>
      <c r="Y8" s="3385" t="s">
        <v>533</v>
      </c>
      <c r="Z8" s="3386"/>
      <c r="AA8" s="1569" t="e">
        <f t="shared" ref="AA8:AA40" si="3">D8/F8</f>
        <v>#DIV/0!</v>
      </c>
      <c r="AB8" s="1569" t="e">
        <f t="shared" ref="AB8:AB40" si="4">D8/H8</f>
        <v>#DIV/0!</v>
      </c>
      <c r="AC8" s="1569" t="e">
        <f t="shared" ref="AC8:AC40" si="5">D8/J8</f>
        <v>#DIV/0!</v>
      </c>
    </row>
    <row r="9" spans="1:29" s="1217" customFormat="1" ht="15">
      <c r="A9" s="2889"/>
      <c r="B9" s="2896" t="s">
        <v>2755</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93" t="s">
        <v>535</v>
      </c>
      <c r="Q9" s="1148" t="str">
        <f t="shared" ref="Q9:Q15" si="6">B9</f>
        <v>用途</v>
      </c>
      <c r="R9" s="1566" t="s">
        <v>8</v>
      </c>
      <c r="S9" s="1567">
        <f t="shared" si="0"/>
        <v>100</v>
      </c>
      <c r="T9" s="1566" t="s">
        <v>8</v>
      </c>
      <c r="U9" s="1567">
        <f t="shared" si="1"/>
        <v>100</v>
      </c>
      <c r="V9" s="1566" t="s">
        <v>8</v>
      </c>
      <c r="W9" s="1567">
        <f t="shared" si="2"/>
        <v>100</v>
      </c>
      <c r="X9" s="1568"/>
      <c r="Y9" s="3344" t="s">
        <v>536</v>
      </c>
      <c r="Z9" s="1147" t="str">
        <f t="shared" ref="Z9:Z15" si="7">Q9</f>
        <v>用途</v>
      </c>
      <c r="AA9" s="1569">
        <f t="shared" si="3"/>
        <v>1</v>
      </c>
      <c r="AB9" s="1569">
        <f t="shared" si="4"/>
        <v>1</v>
      </c>
      <c r="AC9" s="1569">
        <f t="shared" si="5"/>
        <v>1</v>
      </c>
    </row>
    <row r="10" spans="1:29" s="1335" customFormat="1" ht="27">
      <c r="A10" s="2890"/>
      <c r="B10" s="2895" t="s">
        <v>2756</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93"/>
      <c r="Q10" s="1148" t="str">
        <f t="shared" si="6"/>
        <v>土地使用年限（年）</v>
      </c>
      <c r="R10" s="1566" t="s">
        <v>8</v>
      </c>
      <c r="S10" s="1567">
        <f t="shared" si="0"/>
        <v>100</v>
      </c>
      <c r="T10" s="1566" t="s">
        <v>8</v>
      </c>
      <c r="U10" s="1567">
        <f t="shared" si="1"/>
        <v>100</v>
      </c>
      <c r="V10" s="1566" t="s">
        <v>8</v>
      </c>
      <c r="W10" s="1567">
        <f t="shared" si="2"/>
        <v>100</v>
      </c>
      <c r="X10" s="1568"/>
      <c r="Y10" s="3344"/>
      <c r="Z10" s="1147" t="str">
        <f t="shared" si="7"/>
        <v>土地使用年限（年）</v>
      </c>
      <c r="AA10" s="1569">
        <f t="shared" si="3"/>
        <v>1</v>
      </c>
      <c r="AB10" s="1569">
        <f t="shared" si="4"/>
        <v>1</v>
      </c>
      <c r="AC10" s="1569">
        <f t="shared" si="5"/>
        <v>1</v>
      </c>
    </row>
    <row r="11" spans="1:29" ht="15">
      <c r="A11" s="2891"/>
      <c r="B11" s="2895"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93"/>
      <c r="Q11" s="1148" t="str">
        <f t="shared" si="6"/>
        <v>容积率</v>
      </c>
      <c r="R11" s="1566" t="s">
        <v>8</v>
      </c>
      <c r="S11" s="1567" t="e">
        <f t="shared" si="0"/>
        <v>#N/A</v>
      </c>
      <c r="T11" s="1566" t="s">
        <v>8</v>
      </c>
      <c r="U11" s="1567" t="e">
        <f t="shared" si="1"/>
        <v>#N/A</v>
      </c>
      <c r="V11" s="1566" t="s">
        <v>8</v>
      </c>
      <c r="W11" s="1567" t="e">
        <f t="shared" si="2"/>
        <v>#N/A</v>
      </c>
      <c r="X11" s="1568"/>
      <c r="Y11" s="3344"/>
      <c r="Z11" s="1147" t="str">
        <f t="shared" si="7"/>
        <v>容积率</v>
      </c>
      <c r="AA11" s="1569" t="e">
        <f t="shared" si="3"/>
        <v>#N/A</v>
      </c>
      <c r="AB11" s="1569" t="e">
        <f t="shared" si="4"/>
        <v>#N/A</v>
      </c>
      <c r="AC11" s="1569" t="e">
        <f t="shared" si="5"/>
        <v>#N/A</v>
      </c>
    </row>
    <row r="12" spans="1:29" s="1217" customFormat="1" ht="15">
      <c r="A12" s="2892"/>
      <c r="B12" s="2898">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93"/>
      <c r="Q12" s="1148">
        <f t="shared" si="6"/>
        <v>111</v>
      </c>
      <c r="R12" s="1566" t="s">
        <v>8</v>
      </c>
      <c r="S12" s="1567">
        <f t="shared" si="0"/>
        <v>100</v>
      </c>
      <c r="T12" s="1566" t="s">
        <v>8</v>
      </c>
      <c r="U12" s="1567">
        <f t="shared" si="1"/>
        <v>100</v>
      </c>
      <c r="V12" s="1566" t="s">
        <v>8</v>
      </c>
      <c r="W12" s="1567">
        <f t="shared" si="2"/>
        <v>100</v>
      </c>
      <c r="X12" s="1568"/>
      <c r="Y12" s="3344"/>
      <c r="Z12" s="1147">
        <f t="shared" si="7"/>
        <v>111</v>
      </c>
      <c r="AA12" s="1569">
        <f>D12/F12</f>
        <v>1</v>
      </c>
      <c r="AB12" s="1569">
        <f>D12/H12</f>
        <v>1</v>
      </c>
      <c r="AC12" s="1569">
        <f>D12/J12</f>
        <v>1</v>
      </c>
    </row>
    <row r="13" spans="1:29" ht="15">
      <c r="A13" s="2892"/>
      <c r="B13" s="2898">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93"/>
      <c r="Q13" s="1148">
        <f t="shared" si="6"/>
        <v>111</v>
      </c>
      <c r="R13" s="1566" t="s">
        <v>8</v>
      </c>
      <c r="S13" s="1567">
        <f t="shared" si="0"/>
        <v>100</v>
      </c>
      <c r="T13" s="1566" t="s">
        <v>8</v>
      </c>
      <c r="U13" s="1567">
        <f t="shared" si="1"/>
        <v>100</v>
      </c>
      <c r="V13" s="1566" t="s">
        <v>8</v>
      </c>
      <c r="W13" s="1567">
        <f t="shared" si="2"/>
        <v>100</v>
      </c>
      <c r="X13" s="1568"/>
      <c r="Y13" s="3344"/>
      <c r="Z13" s="1147">
        <f t="shared" si="7"/>
        <v>111</v>
      </c>
      <c r="AA13" s="1569">
        <f t="shared" si="3"/>
        <v>1</v>
      </c>
      <c r="AB13" s="1569">
        <f t="shared" si="4"/>
        <v>1</v>
      </c>
      <c r="AC13" s="1569">
        <f t="shared" si="5"/>
        <v>1</v>
      </c>
    </row>
    <row r="14" spans="1:29" ht="15.75" thickBot="1">
      <c r="A14" s="2893"/>
      <c r="B14" s="2899">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93"/>
      <c r="Q14" s="1148">
        <f t="shared" si="6"/>
        <v>111</v>
      </c>
      <c r="R14" s="1566" t="s">
        <v>8</v>
      </c>
      <c r="S14" s="1567">
        <f t="shared" si="0"/>
        <v>100</v>
      </c>
      <c r="T14" s="1566" t="s">
        <v>8</v>
      </c>
      <c r="U14" s="1567">
        <f t="shared" si="1"/>
        <v>100</v>
      </c>
      <c r="V14" s="1566" t="s">
        <v>8</v>
      </c>
      <c r="W14" s="1567">
        <f t="shared" si="2"/>
        <v>100</v>
      </c>
      <c r="X14" s="1568"/>
      <c r="Y14" s="3344"/>
      <c r="Z14" s="1147">
        <f t="shared" si="7"/>
        <v>111</v>
      </c>
      <c r="AA14" s="1569">
        <f t="shared" si="3"/>
        <v>1</v>
      </c>
      <c r="AB14" s="1569">
        <f t="shared" si="4"/>
        <v>1</v>
      </c>
      <c r="AC14" s="1569">
        <f t="shared" si="5"/>
        <v>1</v>
      </c>
    </row>
    <row r="15" spans="1:29" ht="57">
      <c r="A15" s="2885"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95" t="s">
        <v>540</v>
      </c>
      <c r="Q15" s="1570" t="str">
        <f t="shared" si="6"/>
        <v>产业集聚程度</v>
      </c>
      <c r="R15" s="1571" t="s">
        <v>8</v>
      </c>
      <c r="S15" s="1572">
        <f t="shared" si="0"/>
        <v>100</v>
      </c>
      <c r="T15" s="1571" t="s">
        <v>8</v>
      </c>
      <c r="U15" s="1572">
        <f t="shared" si="1"/>
        <v>100</v>
      </c>
      <c r="V15" s="1571" t="s">
        <v>8</v>
      </c>
      <c r="W15" s="1572">
        <f t="shared" si="2"/>
        <v>100</v>
      </c>
      <c r="X15" s="1565"/>
      <c r="Y15" s="3395"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396"/>
      <c r="Q16" s="1570"/>
      <c r="R16" s="1571"/>
      <c r="S16" s="1572"/>
      <c r="T16" s="1571"/>
      <c r="U16" s="1572"/>
      <c r="V16" s="1571"/>
      <c r="W16" s="1572"/>
      <c r="X16" s="1565"/>
      <c r="Y16" s="3396"/>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96"/>
      <c r="Q17" s="1570" t="str">
        <f>B17</f>
        <v>交通便捷度</v>
      </c>
      <c r="R17" s="1571" t="s">
        <v>8</v>
      </c>
      <c r="S17" s="1572">
        <f>F17</f>
        <v>100</v>
      </c>
      <c r="T17" s="1571" t="s">
        <v>8</v>
      </c>
      <c r="U17" s="1572">
        <f>H17</f>
        <v>100</v>
      </c>
      <c r="V17" s="1571" t="s">
        <v>8</v>
      </c>
      <c r="W17" s="1572">
        <f>J17</f>
        <v>100</v>
      </c>
      <c r="X17" s="1565"/>
      <c r="Y17" s="3396"/>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396"/>
      <c r="Q18" s="1570"/>
      <c r="R18" s="1571"/>
      <c r="S18" s="1572"/>
      <c r="T18" s="1571"/>
      <c r="U18" s="1572"/>
      <c r="V18" s="1571"/>
      <c r="W18" s="1572"/>
      <c r="X18" s="1565"/>
      <c r="Y18" s="3396"/>
      <c r="Z18" s="1573"/>
      <c r="AA18" s="1574">
        <v>1</v>
      </c>
      <c r="AB18" s="1574">
        <v>1</v>
      </c>
      <c r="AC18" s="1574">
        <v>1</v>
      </c>
    </row>
    <row r="19" spans="1:29" ht="42.75">
      <c r="A19" s="531"/>
      <c r="B19" s="2579"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96"/>
      <c r="Q19" s="1570" t="str">
        <f>B19</f>
        <v>公共配套设施</v>
      </c>
      <c r="R19" s="1571" t="s">
        <v>8</v>
      </c>
      <c r="S19" s="1572">
        <f>F19</f>
        <v>100</v>
      </c>
      <c r="T19" s="1571" t="s">
        <v>8</v>
      </c>
      <c r="U19" s="1572">
        <f>H19</f>
        <v>100</v>
      </c>
      <c r="V19" s="1571" t="s">
        <v>8</v>
      </c>
      <c r="W19" s="1572">
        <f>J19</f>
        <v>100</v>
      </c>
      <c r="X19" s="1565"/>
      <c r="Y19" s="3396"/>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0"/>
      <c r="M20" s="2132"/>
      <c r="N20" s="2132"/>
      <c r="O20" s="2139"/>
      <c r="P20" s="3396"/>
      <c r="Q20" s="1570"/>
      <c r="R20" s="1571"/>
      <c r="S20" s="1572"/>
      <c r="T20" s="1571"/>
      <c r="U20" s="1572"/>
      <c r="V20" s="1571"/>
      <c r="W20" s="1572"/>
      <c r="X20" s="1565"/>
      <c r="Y20" s="3396"/>
      <c r="Z20" s="1573"/>
      <c r="AA20" s="1574">
        <v>1</v>
      </c>
      <c r="AB20" s="1574">
        <v>1</v>
      </c>
      <c r="AC20" s="1574">
        <v>1</v>
      </c>
    </row>
    <row r="21" spans="1:29" ht="28.5">
      <c r="A21" s="531"/>
      <c r="B21" s="2567"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96"/>
      <c r="Q21" s="2555" t="str">
        <f>B21</f>
        <v>基础设施水平</v>
      </c>
      <c r="R21" s="1571" t="s">
        <v>8</v>
      </c>
      <c r="S21" s="1572">
        <f>F21</f>
        <v>100</v>
      </c>
      <c r="T21" s="1571" t="s">
        <v>8</v>
      </c>
      <c r="U21" s="1572">
        <f>H21</f>
        <v>100</v>
      </c>
      <c r="V21" s="1571" t="s">
        <v>8</v>
      </c>
      <c r="W21" s="1572">
        <f>J21</f>
        <v>100</v>
      </c>
      <c r="X21" s="2557"/>
      <c r="Y21" s="3396"/>
      <c r="Z21" s="2556"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8"/>
      <c r="L22" s="2140"/>
      <c r="M22" s="2132"/>
      <c r="N22" s="2132"/>
      <c r="O22" s="2139"/>
      <c r="P22" s="3396"/>
      <c r="Q22" s="2555"/>
      <c r="R22" s="1571"/>
      <c r="S22" s="1572"/>
      <c r="T22" s="1571"/>
      <c r="U22" s="1572"/>
      <c r="V22" s="1571"/>
      <c r="W22" s="1572"/>
      <c r="X22" s="2557"/>
      <c r="Y22" s="3396"/>
      <c r="Z22" s="2556"/>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96"/>
      <c r="Q23" s="1570" t="str">
        <f>B23</f>
        <v>环境质量</v>
      </c>
      <c r="R23" s="1571" t="s">
        <v>8</v>
      </c>
      <c r="S23" s="1572">
        <f>F23</f>
        <v>100</v>
      </c>
      <c r="T23" s="1571" t="s">
        <v>8</v>
      </c>
      <c r="U23" s="1572">
        <f>H23</f>
        <v>100</v>
      </c>
      <c r="V23" s="1571" t="s">
        <v>8</v>
      </c>
      <c r="W23" s="1572">
        <f>J23</f>
        <v>100</v>
      </c>
      <c r="X23" s="1565"/>
      <c r="Y23" s="3396"/>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0"/>
      <c r="M24" s="2132"/>
      <c r="N24" s="2132"/>
      <c r="O24" s="2139"/>
      <c r="P24" s="3396"/>
      <c r="Q24" s="1570"/>
      <c r="R24" s="1571"/>
      <c r="S24" s="1572"/>
      <c r="T24" s="1571"/>
      <c r="U24" s="1572"/>
      <c r="V24" s="1571"/>
      <c r="W24" s="1572"/>
      <c r="X24" s="1565"/>
      <c r="Y24" s="3396"/>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96"/>
      <c r="Q25" s="1570">
        <f>B25</f>
        <v>111</v>
      </c>
      <c r="R25" s="1571" t="s">
        <v>8</v>
      </c>
      <c r="S25" s="1572">
        <f>F25</f>
        <v>100</v>
      </c>
      <c r="T25" s="1571" t="s">
        <v>8</v>
      </c>
      <c r="U25" s="1572">
        <f>H25</f>
        <v>100</v>
      </c>
      <c r="V25" s="1571" t="s">
        <v>8</v>
      </c>
      <c r="W25" s="1572">
        <f>J25</f>
        <v>100</v>
      </c>
      <c r="X25" s="1565"/>
      <c r="Y25" s="3396"/>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96"/>
      <c r="Q26" s="1570">
        <f t="shared" ref="Q26:Q40" si="11">B26</f>
        <v>111</v>
      </c>
      <c r="R26" s="1571" t="s">
        <v>8</v>
      </c>
      <c r="S26" s="1572">
        <f>F26</f>
        <v>100</v>
      </c>
      <c r="T26" s="1571" t="s">
        <v>8</v>
      </c>
      <c r="U26" s="1572">
        <f>H26</f>
        <v>100</v>
      </c>
      <c r="V26" s="1571" t="s">
        <v>8</v>
      </c>
      <c r="W26" s="1572">
        <f>J26</f>
        <v>100</v>
      </c>
      <c r="X26" s="1565"/>
      <c r="Y26" s="3396"/>
      <c r="Z26" s="1573">
        <f>Q26</f>
        <v>111</v>
      </c>
      <c r="AA26" s="1574">
        <f t="shared" si="3"/>
        <v>1</v>
      </c>
      <c r="AB26" s="1574">
        <f t="shared" si="4"/>
        <v>1</v>
      </c>
      <c r="AC26" s="1574">
        <f t="shared" si="5"/>
        <v>1</v>
      </c>
    </row>
    <row r="27" spans="1:29" s="1217"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96"/>
      <c r="Q27" s="1148">
        <f t="shared" si="11"/>
        <v>111</v>
      </c>
      <c r="R27" s="1566" t="s">
        <v>8</v>
      </c>
      <c r="S27" s="1567">
        <f>F27</f>
        <v>100</v>
      </c>
      <c r="T27" s="1566" t="s">
        <v>8</v>
      </c>
      <c r="U27" s="1567">
        <f>H27</f>
        <v>100</v>
      </c>
      <c r="V27" s="1566" t="s">
        <v>8</v>
      </c>
      <c r="W27" s="1567">
        <f>J27</f>
        <v>100</v>
      </c>
      <c r="X27" s="1568"/>
      <c r="Y27" s="3396"/>
      <c r="Z27" s="1147">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96"/>
      <c r="Q28" s="1570">
        <f t="shared" si="11"/>
        <v>111</v>
      </c>
      <c r="R28" s="1571" t="s">
        <v>8</v>
      </c>
      <c r="S28" s="1572">
        <f t="shared" ref="S28:S40" si="12">F28</f>
        <v>100</v>
      </c>
      <c r="T28" s="1571" t="s">
        <v>8</v>
      </c>
      <c r="U28" s="1572">
        <f t="shared" ref="U28:U40" si="13">H28</f>
        <v>100</v>
      </c>
      <c r="V28" s="1571" t="s">
        <v>8</v>
      </c>
      <c r="W28" s="1572">
        <f t="shared" ref="W28:W40" si="14">J28</f>
        <v>100</v>
      </c>
      <c r="X28" s="1565"/>
      <c r="Y28" s="3396"/>
      <c r="Z28" s="1573">
        <f t="shared" ref="Z28:Z40" si="15">Q28</f>
        <v>111</v>
      </c>
      <c r="AA28" s="1574">
        <f t="shared" si="3"/>
        <v>1</v>
      </c>
      <c r="AB28" s="1574">
        <f t="shared" si="4"/>
        <v>1</v>
      </c>
      <c r="AC28" s="1574">
        <f t="shared" si="5"/>
        <v>1</v>
      </c>
    </row>
    <row r="29" spans="1:29" ht="15">
      <c r="A29" s="2882"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97" t="s">
        <v>550</v>
      </c>
      <c r="Q29" s="1570" t="str">
        <f t="shared" si="11"/>
        <v>建筑类型</v>
      </c>
      <c r="R29" s="1571" t="s">
        <v>8</v>
      </c>
      <c r="S29" s="1572">
        <f t="shared" si="12"/>
        <v>100</v>
      </c>
      <c r="T29" s="1571" t="s">
        <v>8</v>
      </c>
      <c r="U29" s="1572">
        <f t="shared" si="13"/>
        <v>100</v>
      </c>
      <c r="V29" s="1571" t="s">
        <v>8</v>
      </c>
      <c r="W29" s="1572">
        <f t="shared" si="14"/>
        <v>100</v>
      </c>
      <c r="X29" s="1565"/>
      <c r="Y29" s="3398" t="s">
        <v>550</v>
      </c>
      <c r="Z29" s="1573" t="str">
        <f t="shared" si="15"/>
        <v>建筑类型</v>
      </c>
      <c r="AA29" s="1574">
        <f t="shared" si="3"/>
        <v>1</v>
      </c>
      <c r="AB29" s="1574">
        <f t="shared" si="4"/>
        <v>1</v>
      </c>
      <c r="AC29" s="1574">
        <f t="shared" si="5"/>
        <v>1</v>
      </c>
    </row>
    <row r="30" spans="1:29" s="1336"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98"/>
      <c r="Q30" s="1603" t="str">
        <f t="shared" si="11"/>
        <v>项目建筑规模</v>
      </c>
      <c r="R30" s="1575" t="s">
        <v>8</v>
      </c>
      <c r="S30" s="1576" t="e">
        <f t="shared" si="12"/>
        <v>#N/A</v>
      </c>
      <c r="T30" s="1575" t="s">
        <v>8</v>
      </c>
      <c r="U30" s="1576" t="e">
        <f t="shared" si="13"/>
        <v>#N/A</v>
      </c>
      <c r="V30" s="1575" t="s">
        <v>8</v>
      </c>
      <c r="W30" s="1576" t="e">
        <f t="shared" si="14"/>
        <v>#N/A</v>
      </c>
      <c r="X30" s="1577"/>
      <c r="Y30" s="3398"/>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98"/>
      <c r="Q31" s="1570" t="str">
        <f t="shared" si="11"/>
        <v>建筑结构</v>
      </c>
      <c r="R31" s="1571" t="s">
        <v>8</v>
      </c>
      <c r="S31" s="1572">
        <f t="shared" si="12"/>
        <v>100</v>
      </c>
      <c r="T31" s="1571" t="s">
        <v>8</v>
      </c>
      <c r="U31" s="1572">
        <f t="shared" si="13"/>
        <v>100</v>
      </c>
      <c r="V31" s="1571" t="s">
        <v>8</v>
      </c>
      <c r="W31" s="1572">
        <f t="shared" si="14"/>
        <v>100</v>
      </c>
      <c r="X31" s="1565"/>
      <c r="Y31" s="3398"/>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98"/>
      <c r="Q32" s="1570" t="str">
        <f t="shared" si="11"/>
        <v>公共部分装修</v>
      </c>
      <c r="R32" s="1571" t="s">
        <v>8</v>
      </c>
      <c r="S32" s="1572">
        <f t="shared" si="12"/>
        <v>100</v>
      </c>
      <c r="T32" s="1571" t="s">
        <v>8</v>
      </c>
      <c r="U32" s="1572">
        <f t="shared" si="13"/>
        <v>100</v>
      </c>
      <c r="V32" s="1571" t="s">
        <v>8</v>
      </c>
      <c r="W32" s="1572">
        <f t="shared" si="14"/>
        <v>100</v>
      </c>
      <c r="X32" s="1565"/>
      <c r="Y32" s="3398"/>
      <c r="Z32" s="1573" t="str">
        <f t="shared" si="15"/>
        <v>公共部分装修</v>
      </c>
      <c r="AA32" s="1574">
        <f t="shared" si="3"/>
        <v>1</v>
      </c>
      <c r="AB32" s="1574">
        <f t="shared" si="4"/>
        <v>1</v>
      </c>
      <c r="AC32" s="1574">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98"/>
      <c r="Q33" s="1570" t="str">
        <f t="shared" si="11"/>
        <v>成新度</v>
      </c>
      <c r="R33" s="1571" t="s">
        <v>8</v>
      </c>
      <c r="S33" s="1572" t="e">
        <f t="shared" si="12"/>
        <v>#N/A</v>
      </c>
      <c r="T33" s="1571" t="s">
        <v>8</v>
      </c>
      <c r="U33" s="1572" t="e">
        <f t="shared" si="13"/>
        <v>#N/A</v>
      </c>
      <c r="V33" s="1571" t="s">
        <v>8</v>
      </c>
      <c r="W33" s="1572" t="e">
        <f t="shared" si="14"/>
        <v>#N/A</v>
      </c>
      <c r="X33" s="1565"/>
      <c r="Y33" s="3398"/>
      <c r="Z33" s="1573" t="str">
        <f t="shared" si="15"/>
        <v>成新度</v>
      </c>
      <c r="AA33" s="1574" t="e">
        <f t="shared" si="3"/>
        <v>#N/A</v>
      </c>
      <c r="AB33" s="1574" t="e">
        <f t="shared" si="4"/>
        <v>#N/A</v>
      </c>
      <c r="AC33" s="1574" t="e">
        <f t="shared" si="5"/>
        <v>#N/A</v>
      </c>
    </row>
    <row r="34" spans="1:29" s="1217"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98"/>
      <c r="Q34" s="1148" t="str">
        <f t="shared" si="11"/>
        <v>物业管理</v>
      </c>
      <c r="R34" s="1566" t="s">
        <v>8</v>
      </c>
      <c r="S34" s="1567">
        <f t="shared" si="12"/>
        <v>100</v>
      </c>
      <c r="T34" s="1566" t="s">
        <v>8</v>
      </c>
      <c r="U34" s="1567">
        <f t="shared" si="13"/>
        <v>100</v>
      </c>
      <c r="V34" s="1566" t="s">
        <v>8</v>
      </c>
      <c r="W34" s="1567">
        <f t="shared" si="14"/>
        <v>100</v>
      </c>
      <c r="X34" s="1568"/>
      <c r="Y34" s="3398"/>
      <c r="Z34" s="1147" t="str">
        <f t="shared" si="15"/>
        <v>物业管理</v>
      </c>
      <c r="AA34" s="1569">
        <f t="shared" si="3"/>
        <v>1</v>
      </c>
      <c r="AB34" s="1569">
        <f t="shared" si="4"/>
        <v>1</v>
      </c>
      <c r="AC34" s="1569">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98" t="s">
        <v>550</v>
      </c>
      <c r="Q35" s="1570" t="str">
        <f t="shared" si="11"/>
        <v>市政基础设施</v>
      </c>
      <c r="R35" s="1571" t="s">
        <v>8</v>
      </c>
      <c r="S35" s="1572">
        <f t="shared" si="12"/>
        <v>100</v>
      </c>
      <c r="T35" s="1571" t="s">
        <v>8</v>
      </c>
      <c r="U35" s="1572">
        <f t="shared" si="13"/>
        <v>100</v>
      </c>
      <c r="V35" s="1571" t="s">
        <v>8</v>
      </c>
      <c r="W35" s="1572">
        <f t="shared" si="14"/>
        <v>100</v>
      </c>
      <c r="X35" s="1565"/>
      <c r="Y35" s="3398"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98"/>
      <c r="Q36" s="1570" t="str">
        <f t="shared" si="11"/>
        <v>内部装修</v>
      </c>
      <c r="R36" s="1571" t="s">
        <v>8</v>
      </c>
      <c r="S36" s="1572">
        <f t="shared" si="12"/>
        <v>100</v>
      </c>
      <c r="T36" s="1571" t="s">
        <v>8</v>
      </c>
      <c r="U36" s="1572">
        <f t="shared" si="13"/>
        <v>100</v>
      </c>
      <c r="V36" s="1571" t="s">
        <v>8</v>
      </c>
      <c r="W36" s="1572">
        <f t="shared" si="14"/>
        <v>100</v>
      </c>
      <c r="X36" s="1565"/>
      <c r="Y36" s="3398"/>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98"/>
      <c r="Q37" s="1570" t="str">
        <f t="shared" si="11"/>
        <v>内部装修状况</v>
      </c>
      <c r="R37" s="1571" t="s">
        <v>8</v>
      </c>
      <c r="S37" s="1572">
        <f t="shared" si="12"/>
        <v>100</v>
      </c>
      <c r="T37" s="1571" t="s">
        <v>8</v>
      </c>
      <c r="U37" s="1572">
        <f t="shared" si="13"/>
        <v>100</v>
      </c>
      <c r="V37" s="1571" t="s">
        <v>8</v>
      </c>
      <c r="W37" s="1572">
        <f t="shared" si="14"/>
        <v>100</v>
      </c>
      <c r="X37" s="1565"/>
      <c r="Y37" s="3398"/>
      <c r="Z37" s="1573" t="str">
        <f t="shared" si="15"/>
        <v>内部装修状况</v>
      </c>
      <c r="AA37" s="1574">
        <f t="shared" si="3"/>
        <v>1</v>
      </c>
      <c r="AB37" s="1574">
        <f t="shared" si="4"/>
        <v>1</v>
      </c>
      <c r="AC37" s="1574">
        <f t="shared" si="5"/>
        <v>1</v>
      </c>
    </row>
    <row r="38" spans="1:29" s="1336"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98"/>
      <c r="Q38" s="1603">
        <f t="shared" si="11"/>
        <v>111</v>
      </c>
      <c r="R38" s="1575" t="s">
        <v>8</v>
      </c>
      <c r="S38" s="1576">
        <f t="shared" si="12"/>
        <v>100</v>
      </c>
      <c r="T38" s="1575" t="s">
        <v>8</v>
      </c>
      <c r="U38" s="1576">
        <f t="shared" si="13"/>
        <v>100</v>
      </c>
      <c r="V38" s="1575" t="s">
        <v>8</v>
      </c>
      <c r="W38" s="1576">
        <f t="shared" si="14"/>
        <v>100</v>
      </c>
      <c r="X38" s="1577"/>
      <c r="Y38" s="3398"/>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98"/>
      <c r="Q39" s="1570">
        <f t="shared" si="11"/>
        <v>111</v>
      </c>
      <c r="R39" s="1571" t="s">
        <v>8</v>
      </c>
      <c r="S39" s="1572">
        <f t="shared" si="12"/>
        <v>100</v>
      </c>
      <c r="T39" s="1571" t="s">
        <v>8</v>
      </c>
      <c r="U39" s="1572">
        <f t="shared" si="13"/>
        <v>100</v>
      </c>
      <c r="V39" s="1571" t="s">
        <v>8</v>
      </c>
      <c r="W39" s="1572">
        <f t="shared" si="14"/>
        <v>100</v>
      </c>
      <c r="X39" s="1565"/>
      <c r="Y39" s="3398"/>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8"/>
      <c r="Q40" s="1570">
        <f t="shared" si="11"/>
        <v>111</v>
      </c>
      <c r="R40" s="1571" t="s">
        <v>8</v>
      </c>
      <c r="S40" s="1572">
        <f t="shared" si="12"/>
        <v>100</v>
      </c>
      <c r="T40" s="1571" t="s">
        <v>8</v>
      </c>
      <c r="U40" s="1572">
        <f t="shared" si="13"/>
        <v>100</v>
      </c>
      <c r="V40" s="1571" t="s">
        <v>8</v>
      </c>
      <c r="W40" s="1572">
        <f t="shared" si="14"/>
        <v>100</v>
      </c>
      <c r="X40" s="1565"/>
      <c r="Y40" s="3498"/>
      <c r="Z40" s="1573">
        <f t="shared" si="15"/>
        <v>111</v>
      </c>
      <c r="AA40" s="1574">
        <f t="shared" si="3"/>
        <v>1</v>
      </c>
      <c r="AB40" s="1574">
        <f t="shared" si="4"/>
        <v>1</v>
      </c>
      <c r="AC40" s="1574">
        <f t="shared" si="5"/>
        <v>1</v>
      </c>
    </row>
    <row r="41" spans="1:29" ht="15">
      <c r="A41" s="606" t="s">
        <v>736</v>
      </c>
      <c r="B41" s="886"/>
      <c r="C41" s="2603" t="s">
        <v>1</v>
      </c>
      <c r="D41" s="2604"/>
      <c r="E41" s="2605"/>
      <c r="F41" s="2606"/>
      <c r="G41" s="2607"/>
      <c r="H41" s="2608"/>
      <c r="I41" s="2605"/>
      <c r="J41" s="2608"/>
      <c r="K41" s="1609"/>
      <c r="L41" s="2142"/>
      <c r="M41" s="2143"/>
      <c r="N41" s="2132"/>
      <c r="O41" s="2143"/>
      <c r="P41" s="3393" t="str">
        <f>A41</f>
        <v>成交单价（元/平方米）</v>
      </c>
      <c r="Q41" s="3393"/>
      <c r="R41" s="3497">
        <f>E41</f>
        <v>0</v>
      </c>
      <c r="S41" s="3497"/>
      <c r="T41" s="3497">
        <f>G41</f>
        <v>0</v>
      </c>
      <c r="U41" s="3497"/>
      <c r="V41" s="3497">
        <f>I41</f>
        <v>0</v>
      </c>
      <c r="W41" s="3497"/>
      <c r="X41" s="1557"/>
      <c r="Y41" s="1579"/>
      <c r="Z41" s="1557"/>
      <c r="AA41" s="1557"/>
      <c r="AB41" s="1557"/>
      <c r="AC41" s="1557"/>
    </row>
    <row r="42" spans="1:29" ht="15.75" thickBot="1">
      <c r="A42" s="614" t="s">
        <v>2759</v>
      </c>
      <c r="B42" s="887"/>
      <c r="C42" s="2609" t="e">
        <f>R43</f>
        <v>#DIV/0!</v>
      </c>
      <c r="D42" s="2610"/>
      <c r="E42" s="2611" t="e">
        <f>R42</f>
        <v>#DIV/0!</v>
      </c>
      <c r="F42" s="2611"/>
      <c r="G42" s="2609" t="e">
        <f>T42</f>
        <v>#DIV/0!</v>
      </c>
      <c r="H42" s="2610"/>
      <c r="I42" s="2611" t="e">
        <f>V42</f>
        <v>#DIV/0!</v>
      </c>
      <c r="J42" s="2610"/>
      <c r="K42" s="1610"/>
      <c r="L42" s="2142"/>
      <c r="M42" s="2143"/>
      <c r="N42" s="2132"/>
      <c r="O42" s="2143"/>
      <c r="P42" s="3393" t="str">
        <f>A42</f>
        <v>比较价格（元/平方米）</v>
      </c>
      <c r="Q42" s="3393"/>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57"/>
      <c r="Y42" s="1557"/>
      <c r="Z42" s="1557"/>
      <c r="AA42" s="1557"/>
      <c r="AB42" s="1557"/>
      <c r="AC42" s="1557"/>
    </row>
    <row r="43" spans="1:29" ht="15.75" thickBot="1">
      <c r="A43" s="620" t="s">
        <v>2934</v>
      </c>
      <c r="B43" s="621"/>
      <c r="C43" s="2612" t="e">
        <f>R43</f>
        <v>#DIV/0!</v>
      </c>
      <c r="D43" s="2612"/>
      <c r="E43" s="2612"/>
      <c r="F43" s="2612"/>
      <c r="G43" s="2612"/>
      <c r="H43" s="2612"/>
      <c r="I43" s="2612"/>
      <c r="J43" s="2612"/>
      <c r="K43" s="1611"/>
      <c r="L43" s="2142"/>
      <c r="M43" s="2143"/>
      <c r="N43" s="2143"/>
      <c r="O43" s="2143"/>
      <c r="P43" s="3417" t="str">
        <f>A43</f>
        <v>估价对象XX用房的比较价格（楼面单价，元/平方米）</v>
      </c>
      <c r="Q43" s="3418"/>
      <c r="R43" s="3496" t="e">
        <f>IF(F1="售价",ROUND(AVERAGE(R42:V42),0),ROUND(AVERAGE(R42:V42),1))</f>
        <v>#DIV/0!</v>
      </c>
      <c r="S43" s="3496"/>
      <c r="T43" s="3496"/>
      <c r="U43" s="3496"/>
      <c r="V43" s="3496"/>
      <c r="W43" s="3496"/>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4" t="s">
        <v>529</v>
      </c>
      <c r="B52" s="645"/>
      <c r="C52" s="2777" t="str">
        <f>YEAR(C7)&amp;"-"&amp;MONTH(C7)</f>
        <v>2019-2</v>
      </c>
      <c r="D52" s="2779">
        <f>EDATE(C52,-1)</f>
        <v>43466</v>
      </c>
      <c r="E52" s="2779">
        <f t="shared" ref="E52:O52" si="16">EDATE(D52,-1)</f>
        <v>43435</v>
      </c>
      <c r="F52" s="2779">
        <f t="shared" si="16"/>
        <v>43405</v>
      </c>
      <c r="G52" s="2779">
        <f t="shared" si="16"/>
        <v>43374</v>
      </c>
      <c r="H52" s="2779">
        <f t="shared" si="16"/>
        <v>43344</v>
      </c>
      <c r="I52" s="2779">
        <f t="shared" si="16"/>
        <v>43313</v>
      </c>
      <c r="J52" s="2779">
        <f t="shared" si="16"/>
        <v>43282</v>
      </c>
      <c r="K52" s="2779">
        <f t="shared" si="16"/>
        <v>43252</v>
      </c>
      <c r="L52" s="2779">
        <f t="shared" si="16"/>
        <v>43221</v>
      </c>
      <c r="M52" s="2779">
        <f t="shared" si="16"/>
        <v>43191</v>
      </c>
      <c r="N52" s="2779">
        <f t="shared" si="16"/>
        <v>43160</v>
      </c>
      <c r="O52" s="2779">
        <f t="shared" si="16"/>
        <v>43132</v>
      </c>
      <c r="P52" s="2158"/>
      <c r="Q52" s="2159"/>
      <c r="R52" s="2159"/>
      <c r="S52" s="2159"/>
      <c r="T52" s="2159"/>
      <c r="U52" s="2159"/>
      <c r="V52" s="2159"/>
      <c r="W52" s="2159"/>
      <c r="X52" s="2159"/>
      <c r="Y52" s="2159"/>
      <c r="Z52" s="2159"/>
      <c r="AA52" s="2159"/>
      <c r="AB52" s="2159"/>
      <c r="AC52" s="2159"/>
    </row>
    <row r="53" spans="1:29" s="1217"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7"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7"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3" t="s">
        <v>2558</v>
      </c>
      <c r="C76" s="2574" t="s">
        <v>2559</v>
      </c>
      <c r="D76" s="2574" t="s">
        <v>2560</v>
      </c>
      <c r="E76" s="2574" t="s">
        <v>2561</v>
      </c>
      <c r="F76" s="2574" t="s">
        <v>2562</v>
      </c>
      <c r="G76" s="2574" t="s">
        <v>2563</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922"/>
      <c r="C1" s="503" t="s">
        <v>792</v>
      </c>
      <c r="D1" s="848"/>
      <c r="E1" s="505"/>
      <c r="F1" s="2782"/>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795</v>
      </c>
      <c r="B3" s="509" t="e">
        <f>IF(B37="元/平方米",C39,ROUND(B2*10000/D3,0))</f>
        <v>#DIV/0!</v>
      </c>
      <c r="C3" s="851" t="s">
        <v>796</v>
      </c>
      <c r="D3" s="850">
        <f>SUMIF('数据-汇总表'!$C19:$C33,D1,'数据-汇总表'!$E19:$E33)</f>
        <v>0</v>
      </c>
      <c r="E3" s="1846" t="s">
        <v>2076</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99" t="s">
        <v>798</v>
      </c>
      <c r="D4" s="3400"/>
      <c r="E4" s="3399" t="s">
        <v>799</v>
      </c>
      <c r="F4" s="3400"/>
      <c r="G4" s="3399" t="s">
        <v>800</v>
      </c>
      <c r="H4" s="3400"/>
      <c r="I4" s="3399" t="s">
        <v>801</v>
      </c>
      <c r="J4" s="3400"/>
      <c r="K4" s="513" t="s">
        <v>802</v>
      </c>
      <c r="L4" s="2131"/>
      <c r="M4" s="2132"/>
      <c r="N4" s="2132"/>
      <c r="O4" s="2132"/>
      <c r="P4" s="3401" t="s">
        <v>803</v>
      </c>
      <c r="Q4" s="3402"/>
      <c r="R4" s="3387" t="s">
        <v>799</v>
      </c>
      <c r="S4" s="3388"/>
      <c r="T4" s="3387" t="s">
        <v>800</v>
      </c>
      <c r="U4" s="3388"/>
      <c r="V4" s="3407" t="s">
        <v>801</v>
      </c>
      <c r="W4" s="3407"/>
      <c r="X4" s="1565"/>
      <c r="Y4" s="3387" t="s">
        <v>803</v>
      </c>
      <c r="Z4" s="3388"/>
      <c r="AA4" s="3382" t="s">
        <v>799</v>
      </c>
      <c r="AB4" s="3383" t="s">
        <v>800</v>
      </c>
      <c r="AC4" s="3382" t="s">
        <v>801</v>
      </c>
    </row>
    <row r="5" spans="1:29" ht="15">
      <c r="A5" s="514"/>
      <c r="B5" s="515"/>
      <c r="C5" s="3410" t="s">
        <v>2928</v>
      </c>
      <c r="D5" s="3411"/>
      <c r="E5" s="3410" t="s">
        <v>2929</v>
      </c>
      <c r="F5" s="3411"/>
      <c r="G5" s="3410" t="s">
        <v>2930</v>
      </c>
      <c r="H5" s="3411"/>
      <c r="I5" s="3410" t="s">
        <v>2931</v>
      </c>
      <c r="J5" s="3411"/>
      <c r="K5" s="513"/>
      <c r="L5" s="2131"/>
      <c r="M5" s="2132"/>
      <c r="N5" s="2132"/>
      <c r="O5" s="2132"/>
      <c r="P5" s="3403"/>
      <c r="Q5" s="3404"/>
      <c r="R5" s="3389"/>
      <c r="S5" s="3390"/>
      <c r="T5" s="3389"/>
      <c r="U5" s="3390"/>
      <c r="V5" s="3407"/>
      <c r="W5" s="3407"/>
      <c r="X5" s="1565"/>
      <c r="Y5" s="3389"/>
      <c r="Z5" s="3390"/>
      <c r="AA5" s="3383"/>
      <c r="AB5" s="3383"/>
      <c r="AC5" s="3383"/>
    </row>
    <row r="6" spans="1:29" ht="15.75" thickBot="1">
      <c r="A6" s="516"/>
      <c r="B6" s="517"/>
      <c r="C6" s="3408" t="s">
        <v>2932</v>
      </c>
      <c r="D6" s="3409"/>
      <c r="E6" s="3413" t="s">
        <v>2932</v>
      </c>
      <c r="F6" s="3414"/>
      <c r="G6" s="3408" t="s">
        <v>2932</v>
      </c>
      <c r="H6" s="3409"/>
      <c r="I6" s="3408" t="s">
        <v>2932</v>
      </c>
      <c r="J6" s="3409"/>
      <c r="K6" s="513" t="s">
        <v>528</v>
      </c>
      <c r="L6" s="2131"/>
      <c r="M6" s="2132"/>
      <c r="N6" s="2132"/>
      <c r="O6" s="2132"/>
      <c r="P6" s="3405"/>
      <c r="Q6" s="3406"/>
      <c r="R6" s="3389"/>
      <c r="S6" s="3390"/>
      <c r="T6" s="3391"/>
      <c r="U6" s="3392"/>
      <c r="V6" s="3407"/>
      <c r="W6" s="3407"/>
      <c r="X6" s="1565"/>
      <c r="Y6" s="3391"/>
      <c r="Z6" s="3392"/>
      <c r="AA6" s="3384"/>
      <c r="AB6" s="3384"/>
      <c r="AC6" s="3384"/>
    </row>
    <row r="7" spans="1:29" s="1217" customFormat="1" ht="15.75" thickBot="1">
      <c r="A7" s="2887"/>
      <c r="B7" s="2894" t="s">
        <v>529</v>
      </c>
      <c r="C7" s="518">
        <f>'数据-取费表'!B2</f>
        <v>43510</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85" t="s">
        <v>530</v>
      </c>
      <c r="Q7" s="3394"/>
      <c r="R7" s="1566" t="s">
        <v>8</v>
      </c>
      <c r="S7" s="1567">
        <f t="shared" ref="S7:S14" si="0">F7</f>
        <v>0</v>
      </c>
      <c r="T7" s="1566" t="s">
        <v>8</v>
      </c>
      <c r="U7" s="1567">
        <f t="shared" ref="U7:U14" si="1">H7</f>
        <v>0</v>
      </c>
      <c r="V7" s="1566" t="s">
        <v>8</v>
      </c>
      <c r="W7" s="1567">
        <f t="shared" ref="W7:W14" si="2">J7</f>
        <v>0</v>
      </c>
      <c r="X7" s="1568"/>
      <c r="Y7" s="3385" t="s">
        <v>530</v>
      </c>
      <c r="Z7" s="3386"/>
      <c r="AA7" s="1569" t="e">
        <f>D7/F7</f>
        <v>#DIV/0!</v>
      </c>
      <c r="AB7" s="1569" t="e">
        <f>D7/H7</f>
        <v>#DIV/0!</v>
      </c>
      <c r="AC7" s="1569" t="e">
        <f>D7/J7</f>
        <v>#DIV/0!</v>
      </c>
    </row>
    <row r="8" spans="1:29" s="1217" customFormat="1" ht="15.75" thickBot="1">
      <c r="A8" s="2888"/>
      <c r="B8" s="2895"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85" t="s">
        <v>533</v>
      </c>
      <c r="Q8" s="3386"/>
      <c r="R8" s="1566" t="s">
        <v>8</v>
      </c>
      <c r="S8" s="1567">
        <f t="shared" si="0"/>
        <v>0</v>
      </c>
      <c r="T8" s="1566" t="s">
        <v>8</v>
      </c>
      <c r="U8" s="1567">
        <f t="shared" si="1"/>
        <v>0</v>
      </c>
      <c r="V8" s="1566" t="s">
        <v>8</v>
      </c>
      <c r="W8" s="1567">
        <f t="shared" si="2"/>
        <v>0</v>
      </c>
      <c r="X8" s="1568"/>
      <c r="Y8" s="3385" t="s">
        <v>533</v>
      </c>
      <c r="Z8" s="3386"/>
      <c r="AA8" s="1569" t="e">
        <f t="shared" ref="AA8:AA36" si="3">D8/F8</f>
        <v>#DIV/0!</v>
      </c>
      <c r="AB8" s="1569" t="e">
        <f t="shared" ref="AB8:AB36" si="4">D8/H8</f>
        <v>#DIV/0!</v>
      </c>
      <c r="AC8" s="1569" t="e">
        <f t="shared" ref="AC8:AC36" si="5">D8/J8</f>
        <v>#DIV/0!</v>
      </c>
    </row>
    <row r="9" spans="1:29" s="1217" customFormat="1" ht="15">
      <c r="A9" s="2889"/>
      <c r="B9" s="2896" t="s">
        <v>2755</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93" t="s">
        <v>535</v>
      </c>
      <c r="Q9" s="1148" t="str">
        <f t="shared" ref="Q9:Q14" si="6">B9</f>
        <v>用途</v>
      </c>
      <c r="R9" s="1566" t="s">
        <v>8</v>
      </c>
      <c r="S9" s="1567">
        <f t="shared" si="0"/>
        <v>100</v>
      </c>
      <c r="T9" s="1566" t="s">
        <v>8</v>
      </c>
      <c r="U9" s="1567">
        <f t="shared" si="1"/>
        <v>100</v>
      </c>
      <c r="V9" s="1566" t="s">
        <v>8</v>
      </c>
      <c r="W9" s="1567">
        <f t="shared" si="2"/>
        <v>100</v>
      </c>
      <c r="X9" s="1568"/>
      <c r="Y9" s="3344" t="s">
        <v>536</v>
      </c>
      <c r="Z9" s="1147" t="str">
        <f t="shared" ref="Z9:Z14" si="7">Q9</f>
        <v>用途</v>
      </c>
      <c r="AA9" s="1569">
        <f t="shared" si="3"/>
        <v>1</v>
      </c>
      <c r="AB9" s="1569">
        <f t="shared" si="4"/>
        <v>1</v>
      </c>
      <c r="AC9" s="1569">
        <f t="shared" si="5"/>
        <v>1</v>
      </c>
    </row>
    <row r="10" spans="1:29" s="1335" customFormat="1" ht="27">
      <c r="A10" s="2890"/>
      <c r="B10" s="2895" t="s">
        <v>2756</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93"/>
      <c r="Q10" s="1148" t="str">
        <f t="shared" si="6"/>
        <v>土地使用年限（年）</v>
      </c>
      <c r="R10" s="1566" t="s">
        <v>8</v>
      </c>
      <c r="S10" s="1567">
        <f t="shared" si="0"/>
        <v>100</v>
      </c>
      <c r="T10" s="1566" t="s">
        <v>8</v>
      </c>
      <c r="U10" s="1567">
        <f t="shared" si="1"/>
        <v>100</v>
      </c>
      <c r="V10" s="1566" t="s">
        <v>8</v>
      </c>
      <c r="W10" s="1567">
        <f t="shared" si="2"/>
        <v>100</v>
      </c>
      <c r="X10" s="1568"/>
      <c r="Y10" s="3344"/>
      <c r="Z10" s="1147" t="str">
        <f t="shared" si="7"/>
        <v>土地使用年限（年）</v>
      </c>
      <c r="AA10" s="1569">
        <f t="shared" si="3"/>
        <v>1</v>
      </c>
      <c r="AB10" s="1569">
        <f t="shared" si="4"/>
        <v>1</v>
      </c>
      <c r="AC10" s="1569">
        <f t="shared" si="5"/>
        <v>1</v>
      </c>
    </row>
    <row r="11" spans="1:29" ht="15">
      <c r="A11" s="2892"/>
      <c r="B11" s="2898">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93"/>
      <c r="Q11" s="1148">
        <f t="shared" si="6"/>
        <v>111</v>
      </c>
      <c r="R11" s="1566" t="s">
        <v>8</v>
      </c>
      <c r="S11" s="1567">
        <f t="shared" si="0"/>
        <v>100</v>
      </c>
      <c r="T11" s="1566" t="s">
        <v>8</v>
      </c>
      <c r="U11" s="1567">
        <f t="shared" si="1"/>
        <v>100</v>
      </c>
      <c r="V11" s="1566" t="s">
        <v>8</v>
      </c>
      <c r="W11" s="1567">
        <f t="shared" si="2"/>
        <v>100</v>
      </c>
      <c r="X11" s="1568"/>
      <c r="Y11" s="3344"/>
      <c r="Z11" s="1147">
        <f t="shared" si="7"/>
        <v>111</v>
      </c>
      <c r="AA11" s="1569">
        <f t="shared" si="3"/>
        <v>1</v>
      </c>
      <c r="AB11" s="1569">
        <f t="shared" si="4"/>
        <v>1</v>
      </c>
      <c r="AC11" s="1569">
        <f t="shared" si="5"/>
        <v>1</v>
      </c>
    </row>
    <row r="12" spans="1:29" s="1217" customFormat="1" ht="15">
      <c r="A12" s="2892"/>
      <c r="B12" s="2898">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93"/>
      <c r="Q12" s="1148">
        <f t="shared" si="6"/>
        <v>111</v>
      </c>
      <c r="R12" s="1566" t="s">
        <v>8</v>
      </c>
      <c r="S12" s="1567">
        <f t="shared" si="0"/>
        <v>100</v>
      </c>
      <c r="T12" s="1566" t="s">
        <v>8</v>
      </c>
      <c r="U12" s="1567">
        <f t="shared" si="1"/>
        <v>100</v>
      </c>
      <c r="V12" s="1566" t="s">
        <v>8</v>
      </c>
      <c r="W12" s="1567">
        <f t="shared" si="2"/>
        <v>100</v>
      </c>
      <c r="X12" s="1568"/>
      <c r="Y12" s="3344"/>
      <c r="Z12" s="1147">
        <f t="shared" si="7"/>
        <v>111</v>
      </c>
      <c r="AA12" s="1569">
        <f>D12/F12</f>
        <v>1</v>
      </c>
      <c r="AB12" s="1569">
        <f>D12/H12</f>
        <v>1</v>
      </c>
      <c r="AC12" s="1569">
        <f>D12/J12</f>
        <v>1</v>
      </c>
    </row>
    <row r="13" spans="1:29" ht="15.75" thickBot="1">
      <c r="A13" s="2893"/>
      <c r="B13" s="2899">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93"/>
      <c r="Q13" s="1148">
        <f t="shared" si="6"/>
        <v>111</v>
      </c>
      <c r="R13" s="1566" t="s">
        <v>8</v>
      </c>
      <c r="S13" s="1567">
        <f t="shared" si="0"/>
        <v>100</v>
      </c>
      <c r="T13" s="1566" t="s">
        <v>8</v>
      </c>
      <c r="U13" s="1567">
        <f t="shared" si="1"/>
        <v>100</v>
      </c>
      <c r="V13" s="1566" t="s">
        <v>8</v>
      </c>
      <c r="W13" s="1567">
        <f t="shared" si="2"/>
        <v>100</v>
      </c>
      <c r="X13" s="1568"/>
      <c r="Y13" s="3344"/>
      <c r="Z13" s="1147">
        <f t="shared" si="7"/>
        <v>111</v>
      </c>
      <c r="AA13" s="1569">
        <f t="shared" si="3"/>
        <v>1</v>
      </c>
      <c r="AB13" s="1569">
        <f t="shared" si="4"/>
        <v>1</v>
      </c>
      <c r="AC13" s="1569">
        <f t="shared" si="5"/>
        <v>1</v>
      </c>
    </row>
    <row r="14" spans="1:29" ht="85.5">
      <c r="A14" s="2885" t="s">
        <v>2753</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395" t="s">
        <v>540</v>
      </c>
      <c r="Q14" s="1570" t="str">
        <f t="shared" si="6"/>
        <v>交通便捷度</v>
      </c>
      <c r="R14" s="1571" t="s">
        <v>8</v>
      </c>
      <c r="S14" s="1572">
        <f t="shared" si="0"/>
        <v>100</v>
      </c>
      <c r="T14" s="1571" t="s">
        <v>8</v>
      </c>
      <c r="U14" s="1572">
        <f t="shared" si="1"/>
        <v>100</v>
      </c>
      <c r="V14" s="1571" t="s">
        <v>8</v>
      </c>
      <c r="W14" s="1572">
        <f t="shared" si="2"/>
        <v>100</v>
      </c>
      <c r="X14" s="1565"/>
      <c r="Y14" s="3395" t="s">
        <v>540</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40"/>
      <c r="M15" s="2132"/>
      <c r="N15" s="2132"/>
      <c r="O15" s="2139"/>
      <c r="P15" s="3396"/>
      <c r="Q15" s="1570"/>
      <c r="R15" s="1571"/>
      <c r="S15" s="1572"/>
      <c r="T15" s="1571"/>
      <c r="U15" s="1572"/>
      <c r="V15" s="1571"/>
      <c r="W15" s="1572"/>
      <c r="X15" s="1565"/>
      <c r="Y15" s="3396"/>
      <c r="Z15" s="1573"/>
      <c r="AA15" s="1574">
        <v>1</v>
      </c>
      <c r="AB15" s="1574">
        <v>1</v>
      </c>
      <c r="AC15" s="1574">
        <v>1</v>
      </c>
    </row>
    <row r="16" spans="1:29" ht="42.75">
      <c r="A16" s="514"/>
      <c r="B16" s="2579"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396"/>
      <c r="Q16" s="1570" t="str">
        <f>B16</f>
        <v>公共配套设施</v>
      </c>
      <c r="R16" s="1571" t="s">
        <v>8</v>
      </c>
      <c r="S16" s="1572">
        <f>F16</f>
        <v>100</v>
      </c>
      <c r="T16" s="1571" t="s">
        <v>8</v>
      </c>
      <c r="U16" s="1572">
        <f>H16</f>
        <v>100</v>
      </c>
      <c r="V16" s="1571" t="s">
        <v>8</v>
      </c>
      <c r="W16" s="1572">
        <f>J16</f>
        <v>100</v>
      </c>
      <c r="X16" s="1565"/>
      <c r="Y16" s="3396"/>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40"/>
      <c r="M17" s="2132"/>
      <c r="N17" s="2132"/>
      <c r="O17" s="2139"/>
      <c r="P17" s="3396"/>
      <c r="Q17" s="1570"/>
      <c r="R17" s="1571"/>
      <c r="S17" s="1572"/>
      <c r="T17" s="1571"/>
      <c r="U17" s="1572"/>
      <c r="V17" s="1571"/>
      <c r="W17" s="1572"/>
      <c r="X17" s="1565"/>
      <c r="Y17" s="3396"/>
      <c r="Z17" s="1573"/>
      <c r="AA17" s="1574">
        <v>1</v>
      </c>
      <c r="AB17" s="1574">
        <v>1</v>
      </c>
      <c r="AC17" s="1574">
        <v>1</v>
      </c>
    </row>
    <row r="18" spans="1:29" ht="28.5">
      <c r="A18" s="514"/>
      <c r="B18" s="2567"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396"/>
      <c r="Q18" s="2555" t="str">
        <f>B18</f>
        <v>基础设施水平</v>
      </c>
      <c r="R18" s="1571" t="s">
        <v>8</v>
      </c>
      <c r="S18" s="1572">
        <f>F18</f>
        <v>100</v>
      </c>
      <c r="T18" s="1571" t="s">
        <v>8</v>
      </c>
      <c r="U18" s="1572">
        <f>H18</f>
        <v>100</v>
      </c>
      <c r="V18" s="1571" t="s">
        <v>8</v>
      </c>
      <c r="W18" s="1572">
        <f>J18</f>
        <v>100</v>
      </c>
      <c r="X18" s="2557"/>
      <c r="Y18" s="3396"/>
      <c r="Z18" s="2556"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578"/>
      <c r="L19" s="2140"/>
      <c r="M19" s="2132"/>
      <c r="N19" s="2132"/>
      <c r="O19" s="2139"/>
      <c r="P19" s="3396"/>
      <c r="Q19" s="2555"/>
      <c r="R19" s="1571"/>
      <c r="S19" s="1572"/>
      <c r="T19" s="1571"/>
      <c r="U19" s="1572"/>
      <c r="V19" s="1571"/>
      <c r="W19" s="1572"/>
      <c r="X19" s="2557"/>
      <c r="Y19" s="3396"/>
      <c r="Z19" s="2556"/>
      <c r="AA19" s="1574">
        <v>1</v>
      </c>
      <c r="AB19" s="1574">
        <v>1</v>
      </c>
      <c r="AC19" s="1574">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396"/>
      <c r="Q20" s="1570" t="str">
        <f>B20</f>
        <v>自然及人文环境</v>
      </c>
      <c r="R20" s="1571" t="s">
        <v>8</v>
      </c>
      <c r="S20" s="1572">
        <f>F20</f>
        <v>100</v>
      </c>
      <c r="T20" s="1571" t="s">
        <v>8</v>
      </c>
      <c r="U20" s="1572">
        <f>H20</f>
        <v>100</v>
      </c>
      <c r="V20" s="1571" t="s">
        <v>8</v>
      </c>
      <c r="W20" s="1572">
        <f>J20</f>
        <v>100</v>
      </c>
      <c r="X20" s="1565"/>
      <c r="Y20" s="3396"/>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40"/>
      <c r="M21" s="2132"/>
      <c r="N21" s="2132"/>
      <c r="O21" s="2139"/>
      <c r="P21" s="3396"/>
      <c r="Q21" s="1570"/>
      <c r="R21" s="1571"/>
      <c r="S21" s="1572"/>
      <c r="T21" s="1571"/>
      <c r="U21" s="1572"/>
      <c r="V21" s="1571"/>
      <c r="W21" s="1572"/>
      <c r="X21" s="1565"/>
      <c r="Y21" s="3396"/>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96"/>
      <c r="Q22" s="1570" t="str">
        <f>B22</f>
        <v>楼层</v>
      </c>
      <c r="R22" s="1571" t="s">
        <v>8</v>
      </c>
      <c r="S22" s="1572">
        <f>F22</f>
        <v>100</v>
      </c>
      <c r="T22" s="1571" t="s">
        <v>8</v>
      </c>
      <c r="U22" s="1572">
        <f>H22</f>
        <v>100</v>
      </c>
      <c r="V22" s="1571" t="s">
        <v>8</v>
      </c>
      <c r="W22" s="1572">
        <f>J22</f>
        <v>100</v>
      </c>
      <c r="X22" s="1565"/>
      <c r="Y22" s="3396"/>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96"/>
      <c r="Q23" s="1570">
        <f>B23</f>
        <v>111</v>
      </c>
      <c r="R23" s="1571" t="s">
        <v>8</v>
      </c>
      <c r="S23" s="1572">
        <f>F23</f>
        <v>100</v>
      </c>
      <c r="T23" s="1571" t="s">
        <v>8</v>
      </c>
      <c r="U23" s="1572">
        <f>H23</f>
        <v>100</v>
      </c>
      <c r="V23" s="1571" t="s">
        <v>8</v>
      </c>
      <c r="W23" s="1572">
        <f>J23</f>
        <v>100</v>
      </c>
      <c r="X23" s="1565"/>
      <c r="Y23" s="3396"/>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96"/>
      <c r="Q24" s="1570">
        <f t="shared" ref="Q24:Q36" si="11">B24</f>
        <v>111</v>
      </c>
      <c r="R24" s="1571" t="s">
        <v>8</v>
      </c>
      <c r="S24" s="1572">
        <f>F24</f>
        <v>100</v>
      </c>
      <c r="T24" s="1571" t="s">
        <v>8</v>
      </c>
      <c r="U24" s="1572">
        <f>H24</f>
        <v>100</v>
      </c>
      <c r="V24" s="1571" t="s">
        <v>8</v>
      </c>
      <c r="W24" s="1572">
        <f>J24</f>
        <v>100</v>
      </c>
      <c r="X24" s="1565"/>
      <c r="Y24" s="3396"/>
      <c r="Z24" s="1573">
        <f>Q24</f>
        <v>111</v>
      </c>
      <c r="AA24" s="1574">
        <f t="shared" si="3"/>
        <v>1</v>
      </c>
      <c r="AB24" s="1574">
        <f t="shared" si="4"/>
        <v>1</v>
      </c>
      <c r="AC24" s="1574">
        <f t="shared" si="5"/>
        <v>1</v>
      </c>
    </row>
    <row r="25" spans="1:29" s="1217"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96"/>
      <c r="Q25" s="1148">
        <f t="shared" si="11"/>
        <v>111</v>
      </c>
      <c r="R25" s="1566" t="s">
        <v>8</v>
      </c>
      <c r="S25" s="1567">
        <f>F25</f>
        <v>100</v>
      </c>
      <c r="T25" s="1566" t="s">
        <v>8</v>
      </c>
      <c r="U25" s="1567">
        <f>H25</f>
        <v>100</v>
      </c>
      <c r="V25" s="1566" t="s">
        <v>8</v>
      </c>
      <c r="W25" s="1567">
        <f>J25</f>
        <v>100</v>
      </c>
      <c r="X25" s="1568"/>
      <c r="Y25" s="3396"/>
      <c r="Z25" s="1147">
        <f>Q25</f>
        <v>111</v>
      </c>
      <c r="AA25" s="1574">
        <f>D25/F25</f>
        <v>1</v>
      </c>
      <c r="AB25" s="1574">
        <f>D25/H25</f>
        <v>1</v>
      </c>
      <c r="AC25" s="1574">
        <f>D25/J25</f>
        <v>1</v>
      </c>
    </row>
    <row r="26" spans="1:29" ht="15">
      <c r="A26" s="2882"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97"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98" t="s">
        <v>550</v>
      </c>
      <c r="Z26" s="1573" t="str">
        <f t="shared" ref="Z26:Z36" si="15">Q26</f>
        <v>配套类型</v>
      </c>
      <c r="AA26" s="1574">
        <f t="shared" si="3"/>
        <v>1</v>
      </c>
      <c r="AB26" s="1574">
        <f t="shared" si="4"/>
        <v>1</v>
      </c>
      <c r="AC26" s="1574">
        <f t="shared" si="5"/>
        <v>1</v>
      </c>
    </row>
    <row r="27" spans="1:29" s="1336"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98"/>
      <c r="Q27" s="1603" t="str">
        <f t="shared" si="11"/>
        <v>项目停车位配比</v>
      </c>
      <c r="R27" s="1575" t="s">
        <v>8</v>
      </c>
      <c r="S27" s="1576">
        <f t="shared" si="12"/>
        <v>100</v>
      </c>
      <c r="T27" s="1575" t="s">
        <v>8</v>
      </c>
      <c r="U27" s="1576">
        <f t="shared" si="13"/>
        <v>100</v>
      </c>
      <c r="V27" s="1575" t="s">
        <v>8</v>
      </c>
      <c r="W27" s="1576">
        <f t="shared" si="14"/>
        <v>100</v>
      </c>
      <c r="X27" s="1577"/>
      <c r="Y27" s="3398"/>
      <c r="Z27" s="1578" t="str">
        <f t="shared" si="15"/>
        <v>项目停车位配比</v>
      </c>
      <c r="AA27" s="1574">
        <f t="shared" si="3"/>
        <v>1</v>
      </c>
      <c r="AB27" s="1574">
        <f t="shared" si="4"/>
        <v>1</v>
      </c>
      <c r="AC27" s="1574">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98"/>
      <c r="Q28" s="1570" t="str">
        <f t="shared" si="11"/>
        <v>公共部分装修</v>
      </c>
      <c r="R28" s="1571" t="s">
        <v>8</v>
      </c>
      <c r="S28" s="1572">
        <f t="shared" si="12"/>
        <v>100</v>
      </c>
      <c r="T28" s="1571" t="s">
        <v>8</v>
      </c>
      <c r="U28" s="1572">
        <f t="shared" si="13"/>
        <v>100</v>
      </c>
      <c r="V28" s="1571" t="s">
        <v>8</v>
      </c>
      <c r="W28" s="1572">
        <f t="shared" si="14"/>
        <v>100</v>
      </c>
      <c r="X28" s="1565"/>
      <c r="Y28" s="3398"/>
      <c r="Z28" s="1573" t="str">
        <f t="shared" si="15"/>
        <v>公共部分装修</v>
      </c>
      <c r="AA28" s="1574">
        <f t="shared" si="3"/>
        <v>1</v>
      </c>
      <c r="AB28" s="1574">
        <f t="shared" si="4"/>
        <v>1</v>
      </c>
      <c r="AC28" s="1574">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398"/>
      <c r="Q29" s="1570" t="str">
        <f t="shared" si="11"/>
        <v>成新率</v>
      </c>
      <c r="R29" s="1571" t="s">
        <v>8</v>
      </c>
      <c r="S29" s="1572" t="e">
        <f t="shared" si="12"/>
        <v>#N/A</v>
      </c>
      <c r="T29" s="1571" t="s">
        <v>8</v>
      </c>
      <c r="U29" s="1572" t="e">
        <f t="shared" si="13"/>
        <v>#N/A</v>
      </c>
      <c r="V29" s="1571" t="s">
        <v>8</v>
      </c>
      <c r="W29" s="1572" t="e">
        <f t="shared" si="14"/>
        <v>#N/A</v>
      </c>
      <c r="X29" s="1565"/>
      <c r="Y29" s="3398"/>
      <c r="Z29" s="1573" t="str">
        <f t="shared" si="15"/>
        <v>成新率</v>
      </c>
      <c r="AA29" s="1574" t="e">
        <f t="shared" si="3"/>
        <v>#N/A</v>
      </c>
      <c r="AB29" s="1574" t="e">
        <f t="shared" si="4"/>
        <v>#N/A</v>
      </c>
      <c r="AC29" s="1574"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398"/>
      <c r="Q30" s="1570" t="str">
        <f t="shared" si="11"/>
        <v>物业等级</v>
      </c>
      <c r="R30" s="1571" t="s">
        <v>8</v>
      </c>
      <c r="S30" s="1572">
        <f t="shared" si="12"/>
        <v>100</v>
      </c>
      <c r="T30" s="1571" t="s">
        <v>8</v>
      </c>
      <c r="U30" s="1572">
        <f t="shared" si="13"/>
        <v>100</v>
      </c>
      <c r="V30" s="1571" t="s">
        <v>8</v>
      </c>
      <c r="W30" s="1572">
        <f t="shared" si="14"/>
        <v>100</v>
      </c>
      <c r="X30" s="1565"/>
      <c r="Y30" s="3398"/>
      <c r="Z30" s="1573" t="str">
        <f t="shared" si="15"/>
        <v>物业等级</v>
      </c>
      <c r="AA30" s="1574">
        <f t="shared" si="3"/>
        <v>1</v>
      </c>
      <c r="AB30" s="1574">
        <f t="shared" si="4"/>
        <v>1</v>
      </c>
      <c r="AC30" s="1574">
        <f t="shared" si="5"/>
        <v>1</v>
      </c>
    </row>
    <row r="31" spans="1:29" s="1217"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398"/>
      <c r="Q31" s="1148" t="str">
        <f t="shared" si="11"/>
        <v>停车位面积</v>
      </c>
      <c r="R31" s="1566" t="s">
        <v>8</v>
      </c>
      <c r="S31" s="1567" t="e">
        <f t="shared" si="12"/>
        <v>#N/A</v>
      </c>
      <c r="T31" s="1566" t="s">
        <v>8</v>
      </c>
      <c r="U31" s="1567" t="e">
        <f t="shared" si="13"/>
        <v>#N/A</v>
      </c>
      <c r="V31" s="1566" t="s">
        <v>8</v>
      </c>
      <c r="W31" s="1567" t="e">
        <f t="shared" si="14"/>
        <v>#N/A</v>
      </c>
      <c r="X31" s="1568"/>
      <c r="Y31" s="3398"/>
      <c r="Z31" s="1147" t="str">
        <f t="shared" si="15"/>
        <v>停车位面积</v>
      </c>
      <c r="AA31" s="1569" t="e">
        <f t="shared" si="3"/>
        <v>#N/A</v>
      </c>
      <c r="AB31" s="1569" t="e">
        <f t="shared" si="4"/>
        <v>#N/A</v>
      </c>
      <c r="AC31" s="1569"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98" t="s">
        <v>550</v>
      </c>
      <c r="Q32" s="1570" t="str">
        <f t="shared" si="11"/>
        <v>车位类型</v>
      </c>
      <c r="R32" s="1571" t="s">
        <v>8</v>
      </c>
      <c r="S32" s="1572">
        <f t="shared" si="12"/>
        <v>100</v>
      </c>
      <c r="T32" s="1571" t="s">
        <v>8</v>
      </c>
      <c r="U32" s="1572">
        <f t="shared" si="13"/>
        <v>100</v>
      </c>
      <c r="V32" s="1571" t="s">
        <v>8</v>
      </c>
      <c r="W32" s="1572">
        <f t="shared" si="14"/>
        <v>100</v>
      </c>
      <c r="X32" s="1565"/>
      <c r="Y32" s="3398" t="s">
        <v>550</v>
      </c>
      <c r="Z32" s="1573" t="str">
        <f t="shared" si="15"/>
        <v>车位类型</v>
      </c>
      <c r="AA32" s="1574">
        <f t="shared" si="3"/>
        <v>1</v>
      </c>
      <c r="AB32" s="1574">
        <f t="shared" si="4"/>
        <v>1</v>
      </c>
      <c r="AC32" s="1574">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98"/>
      <c r="Q33" s="1570" t="str">
        <f t="shared" si="11"/>
        <v>是否直接入户</v>
      </c>
      <c r="R33" s="1571" t="s">
        <v>8</v>
      </c>
      <c r="S33" s="1572">
        <f t="shared" si="12"/>
        <v>100</v>
      </c>
      <c r="T33" s="1571" t="s">
        <v>8</v>
      </c>
      <c r="U33" s="1572">
        <f t="shared" si="13"/>
        <v>100</v>
      </c>
      <c r="V33" s="1571" t="s">
        <v>8</v>
      </c>
      <c r="W33" s="1572">
        <f t="shared" si="14"/>
        <v>100</v>
      </c>
      <c r="X33" s="1565"/>
      <c r="Y33" s="3398"/>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98"/>
      <c r="Q34" s="1570">
        <f t="shared" si="11"/>
        <v>111</v>
      </c>
      <c r="R34" s="1571" t="s">
        <v>8</v>
      </c>
      <c r="S34" s="1572">
        <f t="shared" si="12"/>
        <v>100</v>
      </c>
      <c r="T34" s="1571" t="s">
        <v>8</v>
      </c>
      <c r="U34" s="1572">
        <f t="shared" si="13"/>
        <v>100</v>
      </c>
      <c r="V34" s="1571" t="s">
        <v>8</v>
      </c>
      <c r="W34" s="1572">
        <f t="shared" si="14"/>
        <v>100</v>
      </c>
      <c r="X34" s="1565"/>
      <c r="Y34" s="3398"/>
      <c r="Z34" s="1573">
        <f t="shared" si="15"/>
        <v>111</v>
      </c>
      <c r="AA34" s="1574">
        <f t="shared" si="3"/>
        <v>1</v>
      </c>
      <c r="AB34" s="1574">
        <f t="shared" si="4"/>
        <v>1</v>
      </c>
      <c r="AC34" s="1574">
        <f t="shared" si="5"/>
        <v>1</v>
      </c>
    </row>
    <row r="35" spans="1:29" s="1336"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98"/>
      <c r="Q35" s="1603">
        <f t="shared" si="11"/>
        <v>111</v>
      </c>
      <c r="R35" s="1575" t="s">
        <v>8</v>
      </c>
      <c r="S35" s="1576">
        <f t="shared" si="12"/>
        <v>100</v>
      </c>
      <c r="T35" s="1575" t="s">
        <v>8</v>
      </c>
      <c r="U35" s="1576">
        <f t="shared" si="13"/>
        <v>100</v>
      </c>
      <c r="V35" s="1575" t="s">
        <v>8</v>
      </c>
      <c r="W35" s="1576">
        <f t="shared" si="14"/>
        <v>100</v>
      </c>
      <c r="X35" s="1577"/>
      <c r="Y35" s="3398"/>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98"/>
      <c r="Q36" s="1570">
        <f t="shared" si="11"/>
        <v>111</v>
      </c>
      <c r="R36" s="1571" t="s">
        <v>8</v>
      </c>
      <c r="S36" s="1572">
        <f t="shared" si="12"/>
        <v>100</v>
      </c>
      <c r="T36" s="1571" t="s">
        <v>8</v>
      </c>
      <c r="U36" s="1572">
        <f t="shared" si="13"/>
        <v>100</v>
      </c>
      <c r="V36" s="1571" t="s">
        <v>8</v>
      </c>
      <c r="W36" s="1572">
        <f t="shared" si="14"/>
        <v>100</v>
      </c>
      <c r="X36" s="1565"/>
      <c r="Y36" s="3398"/>
      <c r="Z36" s="1573">
        <f t="shared" si="15"/>
        <v>111</v>
      </c>
      <c r="AA36" s="1574">
        <f t="shared" si="3"/>
        <v>1</v>
      </c>
      <c r="AB36" s="1574">
        <f t="shared" si="4"/>
        <v>1</v>
      </c>
      <c r="AC36" s="1574">
        <f t="shared" si="5"/>
        <v>1</v>
      </c>
    </row>
    <row r="37" spans="1:29" ht="15">
      <c r="A37" s="1844" t="s">
        <v>2077</v>
      </c>
      <c r="B37" s="1845" t="s">
        <v>2078</v>
      </c>
      <c r="C37" s="2603" t="s">
        <v>1</v>
      </c>
      <c r="D37" s="2604"/>
      <c r="E37" s="2605"/>
      <c r="F37" s="2606"/>
      <c r="G37" s="2607"/>
      <c r="H37" s="2608"/>
      <c r="I37" s="2605"/>
      <c r="J37" s="2608"/>
      <c r="K37" s="1609"/>
      <c r="L37" s="2142"/>
      <c r="M37" s="2143"/>
      <c r="N37" s="2132"/>
      <c r="O37" s="2143"/>
      <c r="P37" s="3393" t="str">
        <f>A37</f>
        <v>成交单价</v>
      </c>
      <c r="Q37" s="3393"/>
      <c r="R37" s="3497">
        <f>E37</f>
        <v>0</v>
      </c>
      <c r="S37" s="3497"/>
      <c r="T37" s="3497">
        <f>G37</f>
        <v>0</v>
      </c>
      <c r="U37" s="3497"/>
      <c r="V37" s="3497">
        <f>I37</f>
        <v>0</v>
      </c>
      <c r="W37" s="3497"/>
      <c r="X37" s="1557"/>
      <c r="Y37" s="1579"/>
      <c r="Z37" s="1557"/>
      <c r="AA37" s="1557"/>
      <c r="AB37" s="1557"/>
      <c r="AC37" s="1557"/>
    </row>
    <row r="38" spans="1:29" ht="15.75" thickBot="1">
      <c r="A38" s="614" t="s">
        <v>2759</v>
      </c>
      <c r="B38" s="887"/>
      <c r="C38" s="2609" t="e">
        <f>R39</f>
        <v>#DIV/0!</v>
      </c>
      <c r="D38" s="2610"/>
      <c r="E38" s="2611" t="e">
        <f>R38</f>
        <v>#DIV/0!</v>
      </c>
      <c r="F38" s="2611"/>
      <c r="G38" s="2609" t="e">
        <f>T38</f>
        <v>#DIV/0!</v>
      </c>
      <c r="H38" s="2610"/>
      <c r="I38" s="2611" t="e">
        <f>V38</f>
        <v>#DIV/0!</v>
      </c>
      <c r="J38" s="2610"/>
      <c r="K38" s="1610"/>
      <c r="L38" s="2142"/>
      <c r="M38" s="2143"/>
      <c r="N38" s="2143"/>
      <c r="O38" s="2143"/>
      <c r="P38" s="3393" t="str">
        <f>A38</f>
        <v>比较价格（元/平方米）</v>
      </c>
      <c r="Q38" s="3393"/>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57"/>
      <c r="Y38" s="1557"/>
      <c r="Z38" s="1557"/>
      <c r="AA38" s="1557"/>
      <c r="AB38" s="1557"/>
      <c r="AC38" s="1557"/>
    </row>
    <row r="39" spans="1:29" ht="15.75" thickBot="1">
      <c r="A39" s="620" t="s">
        <v>2934</v>
      </c>
      <c r="B39" s="621"/>
      <c r="C39" s="2612" t="e">
        <f>R39</f>
        <v>#DIV/0!</v>
      </c>
      <c r="D39" s="2612"/>
      <c r="E39" s="2612"/>
      <c r="F39" s="2612"/>
      <c r="G39" s="2612"/>
      <c r="H39" s="2612"/>
      <c r="I39" s="2612"/>
      <c r="J39" s="2612"/>
      <c r="K39" s="1611"/>
      <c r="L39" s="2142"/>
      <c r="M39" s="2143"/>
      <c r="N39" s="2143"/>
      <c r="O39" s="2143"/>
      <c r="P39" s="3417" t="str">
        <f>A39</f>
        <v>估价对象XX用房的比较价格（楼面单价，元/平方米）</v>
      </c>
      <c r="Q39" s="3418"/>
      <c r="R39" s="3496" t="e">
        <f>IF(F1="售价",ROUND(AVERAGE(R38:V38),0),ROUND(AVERAGE(R38:V38),1))</f>
        <v>#DIV/0!</v>
      </c>
      <c r="S39" s="3496"/>
      <c r="T39" s="3496"/>
      <c r="U39" s="3496"/>
      <c r="V39" s="3496"/>
      <c r="W39" s="3496"/>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4" t="s">
        <v>529</v>
      </c>
      <c r="B48" s="645"/>
      <c r="C48" s="2777" t="str">
        <f>YEAR(C7)&amp;"-"&amp;MONTH(C7)</f>
        <v>2019-2</v>
      </c>
      <c r="D48" s="2779">
        <f>EDATE(C48,-1)</f>
        <v>43466</v>
      </c>
      <c r="E48" s="2779">
        <f t="shared" ref="E48:O48" si="16">EDATE(D48,-1)</f>
        <v>43435</v>
      </c>
      <c r="F48" s="2779">
        <f t="shared" si="16"/>
        <v>43405</v>
      </c>
      <c r="G48" s="2779">
        <f t="shared" si="16"/>
        <v>43374</v>
      </c>
      <c r="H48" s="2779">
        <f t="shared" si="16"/>
        <v>43344</v>
      </c>
      <c r="I48" s="2779">
        <f t="shared" si="16"/>
        <v>43313</v>
      </c>
      <c r="J48" s="2779">
        <f t="shared" si="16"/>
        <v>43282</v>
      </c>
      <c r="K48" s="2779">
        <f t="shared" si="16"/>
        <v>43252</v>
      </c>
      <c r="L48" s="2779">
        <f t="shared" si="16"/>
        <v>43221</v>
      </c>
      <c r="M48" s="2779">
        <f t="shared" si="16"/>
        <v>43191</v>
      </c>
      <c r="N48" s="2779">
        <f t="shared" si="16"/>
        <v>43160</v>
      </c>
      <c r="O48" s="2779">
        <f t="shared" si="16"/>
        <v>43132</v>
      </c>
      <c r="P48" s="2158"/>
      <c r="Q48" s="2159"/>
      <c r="R48" s="2159"/>
      <c r="S48" s="2159"/>
      <c r="T48" s="2159"/>
      <c r="U48" s="2159"/>
      <c r="V48" s="2159"/>
      <c r="W48" s="2159"/>
      <c r="X48" s="2159"/>
      <c r="Y48" s="2159"/>
      <c r="Z48" s="2159"/>
      <c r="AA48" s="2159"/>
      <c r="AB48" s="2159"/>
      <c r="AC48" s="2159"/>
    </row>
    <row r="49" spans="1:29" s="1217" customFormat="1" ht="15">
      <c r="A49" s="646"/>
      <c r="B49" s="647"/>
      <c r="C49" s="2778">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7"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7"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3" t="s">
        <v>2558</v>
      </c>
      <c r="C67" s="2574" t="s">
        <v>2559</v>
      </c>
      <c r="D67" s="2574" t="s">
        <v>2560</v>
      </c>
      <c r="E67" s="2574" t="s">
        <v>2561</v>
      </c>
      <c r="F67" s="2574" t="s">
        <v>2562</v>
      </c>
      <c r="G67" s="2574" t="s">
        <v>2563</v>
      </c>
      <c r="H67" s="673"/>
      <c r="I67" s="673"/>
      <c r="J67" s="673"/>
      <c r="K67" s="673"/>
      <c r="L67" s="673"/>
      <c r="M67" s="2577"/>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6"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922"/>
      <c r="C1" s="503" t="s">
        <v>792</v>
      </c>
      <c r="D1" s="848"/>
      <c r="E1" s="505"/>
      <c r="F1" s="2782"/>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99" t="s">
        <v>798</v>
      </c>
      <c r="D4" s="3400"/>
      <c r="E4" s="3426" t="s">
        <v>799</v>
      </c>
      <c r="F4" s="3427"/>
      <c r="G4" s="3399" t="s">
        <v>800</v>
      </c>
      <c r="H4" s="3400"/>
      <c r="I4" s="3399" t="s">
        <v>801</v>
      </c>
      <c r="J4" s="3400"/>
      <c r="K4" s="513" t="s">
        <v>802</v>
      </c>
      <c r="L4" s="2131"/>
      <c r="M4" s="2132"/>
      <c r="N4" s="2132"/>
      <c r="O4" s="2132"/>
      <c r="P4" s="3401" t="s">
        <v>803</v>
      </c>
      <c r="Q4" s="3402"/>
      <c r="R4" s="3387" t="s">
        <v>799</v>
      </c>
      <c r="S4" s="3388"/>
      <c r="T4" s="3387" t="s">
        <v>800</v>
      </c>
      <c r="U4" s="3388"/>
      <c r="V4" s="3407" t="s">
        <v>801</v>
      </c>
      <c r="W4" s="3407"/>
      <c r="X4" s="1565"/>
      <c r="Y4" s="3387" t="s">
        <v>803</v>
      </c>
      <c r="Z4" s="3388"/>
      <c r="AA4" s="3382" t="s">
        <v>799</v>
      </c>
      <c r="AB4" s="3383" t="s">
        <v>800</v>
      </c>
      <c r="AC4" s="3382" t="s">
        <v>801</v>
      </c>
    </row>
    <row r="5" spans="1:29" ht="15">
      <c r="A5" s="514"/>
      <c r="B5" s="515"/>
      <c r="C5" s="3410" t="s">
        <v>2928</v>
      </c>
      <c r="D5" s="3411"/>
      <c r="E5" s="3428" t="s">
        <v>2929</v>
      </c>
      <c r="F5" s="3416"/>
      <c r="G5" s="3410" t="s">
        <v>2930</v>
      </c>
      <c r="H5" s="3411"/>
      <c r="I5" s="3410" t="s">
        <v>2931</v>
      </c>
      <c r="J5" s="3411"/>
      <c r="K5" s="513"/>
      <c r="L5" s="2131"/>
      <c r="M5" s="2132"/>
      <c r="N5" s="2132"/>
      <c r="O5" s="2132"/>
      <c r="P5" s="3403"/>
      <c r="Q5" s="3404"/>
      <c r="R5" s="3389"/>
      <c r="S5" s="3390"/>
      <c r="T5" s="3389"/>
      <c r="U5" s="3390"/>
      <c r="V5" s="3407"/>
      <c r="W5" s="3407"/>
      <c r="X5" s="1565"/>
      <c r="Y5" s="3389"/>
      <c r="Z5" s="3390"/>
      <c r="AA5" s="3383"/>
      <c r="AB5" s="3383"/>
      <c r="AC5" s="3383"/>
    </row>
    <row r="6" spans="1:29" ht="15.75" thickBot="1">
      <c r="A6" s="516"/>
      <c r="B6" s="517"/>
      <c r="C6" s="3408" t="s">
        <v>2932</v>
      </c>
      <c r="D6" s="3409"/>
      <c r="E6" s="3429" t="s">
        <v>2932</v>
      </c>
      <c r="F6" s="3430"/>
      <c r="G6" s="3408" t="s">
        <v>2932</v>
      </c>
      <c r="H6" s="3409"/>
      <c r="I6" s="3408" t="s">
        <v>2932</v>
      </c>
      <c r="J6" s="3409"/>
      <c r="K6" s="513" t="s">
        <v>528</v>
      </c>
      <c r="L6" s="2131"/>
      <c r="M6" s="2132"/>
      <c r="N6" s="2132"/>
      <c r="O6" s="2132"/>
      <c r="P6" s="3405"/>
      <c r="Q6" s="3406"/>
      <c r="R6" s="3389"/>
      <c r="S6" s="3390"/>
      <c r="T6" s="3391"/>
      <c r="U6" s="3392"/>
      <c r="V6" s="3407"/>
      <c r="W6" s="3407"/>
      <c r="X6" s="1565"/>
      <c r="Y6" s="3391"/>
      <c r="Z6" s="3392"/>
      <c r="AA6" s="3384"/>
      <c r="AB6" s="3384"/>
      <c r="AC6" s="3384"/>
    </row>
    <row r="7" spans="1:29" s="1217" customFormat="1" ht="15.75" thickBot="1">
      <c r="A7" s="2887"/>
      <c r="B7" s="2894" t="s">
        <v>529</v>
      </c>
      <c r="C7" s="518">
        <f>'数据-取费表'!B2</f>
        <v>43510</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85" t="s">
        <v>530</v>
      </c>
      <c r="Q7" s="3394"/>
      <c r="R7" s="1566" t="s">
        <v>8</v>
      </c>
      <c r="S7" s="1567">
        <f t="shared" ref="S7:S14" si="0">F7</f>
        <v>0</v>
      </c>
      <c r="T7" s="1566" t="s">
        <v>8</v>
      </c>
      <c r="U7" s="1567">
        <f t="shared" ref="U7:U14" si="1">H7</f>
        <v>0</v>
      </c>
      <c r="V7" s="1566" t="s">
        <v>8</v>
      </c>
      <c r="W7" s="1567">
        <f t="shared" ref="W7:W14" si="2">J7</f>
        <v>0</v>
      </c>
      <c r="X7" s="1568"/>
      <c r="Y7" s="3385" t="s">
        <v>530</v>
      </c>
      <c r="Z7" s="3386"/>
      <c r="AA7" s="1569" t="e">
        <f>D7/F7</f>
        <v>#DIV/0!</v>
      </c>
      <c r="AB7" s="1569" t="e">
        <f>D7/H7</f>
        <v>#DIV/0!</v>
      </c>
      <c r="AC7" s="1569" t="e">
        <f>D7/J7</f>
        <v>#DIV/0!</v>
      </c>
    </row>
    <row r="8" spans="1:29" s="1217" customFormat="1" ht="15.75" thickBot="1">
      <c r="A8" s="2888"/>
      <c r="B8" s="2895"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85" t="s">
        <v>533</v>
      </c>
      <c r="Q8" s="3386"/>
      <c r="R8" s="1566" t="s">
        <v>8</v>
      </c>
      <c r="S8" s="1567">
        <f t="shared" si="0"/>
        <v>0</v>
      </c>
      <c r="T8" s="1566" t="s">
        <v>8</v>
      </c>
      <c r="U8" s="1567">
        <f t="shared" si="1"/>
        <v>0</v>
      </c>
      <c r="V8" s="1566" t="s">
        <v>8</v>
      </c>
      <c r="W8" s="1567">
        <f t="shared" si="2"/>
        <v>0</v>
      </c>
      <c r="X8" s="1568"/>
      <c r="Y8" s="3385" t="s">
        <v>533</v>
      </c>
      <c r="Z8" s="3386"/>
      <c r="AA8" s="1569" t="e">
        <f t="shared" ref="AA8:AA34" si="3">D8/F8</f>
        <v>#DIV/0!</v>
      </c>
      <c r="AB8" s="1569" t="e">
        <f t="shared" ref="AB8:AB34" si="4">D8/H8</f>
        <v>#DIV/0!</v>
      </c>
      <c r="AC8" s="1569" t="e">
        <f t="shared" ref="AC8:AC34" si="5">D8/J8</f>
        <v>#DIV/0!</v>
      </c>
    </row>
    <row r="9" spans="1:29" s="1217" customFormat="1" ht="15">
      <c r="A9" s="2889"/>
      <c r="B9" s="2896" t="s">
        <v>2755</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93" t="s">
        <v>535</v>
      </c>
      <c r="Q9" s="1148" t="str">
        <f t="shared" ref="Q9:Q14" si="6">B9</f>
        <v>用途</v>
      </c>
      <c r="R9" s="1566" t="s">
        <v>8</v>
      </c>
      <c r="S9" s="1567">
        <f t="shared" si="0"/>
        <v>100</v>
      </c>
      <c r="T9" s="1566" t="s">
        <v>8</v>
      </c>
      <c r="U9" s="1567">
        <f t="shared" si="1"/>
        <v>100</v>
      </c>
      <c r="V9" s="1566" t="s">
        <v>8</v>
      </c>
      <c r="W9" s="1567">
        <f t="shared" si="2"/>
        <v>100</v>
      </c>
      <c r="X9" s="1568"/>
      <c r="Y9" s="3344" t="s">
        <v>536</v>
      </c>
      <c r="Z9" s="1147" t="str">
        <f t="shared" ref="Z9:Z14" si="7">Q9</f>
        <v>用途</v>
      </c>
      <c r="AA9" s="1569">
        <f t="shared" si="3"/>
        <v>1</v>
      </c>
      <c r="AB9" s="1569">
        <f t="shared" si="4"/>
        <v>1</v>
      </c>
      <c r="AC9" s="1569">
        <f t="shared" si="5"/>
        <v>1</v>
      </c>
    </row>
    <row r="10" spans="1:29" s="1335" customFormat="1" ht="27">
      <c r="A10" s="2890"/>
      <c r="B10" s="2895" t="s">
        <v>2756</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93"/>
      <c r="Q10" s="1148" t="str">
        <f t="shared" si="6"/>
        <v>土地使用年限（年）</v>
      </c>
      <c r="R10" s="1566" t="s">
        <v>8</v>
      </c>
      <c r="S10" s="1567">
        <f t="shared" si="0"/>
        <v>100</v>
      </c>
      <c r="T10" s="1566" t="s">
        <v>8</v>
      </c>
      <c r="U10" s="1567">
        <f t="shared" si="1"/>
        <v>100</v>
      </c>
      <c r="V10" s="1566" t="s">
        <v>8</v>
      </c>
      <c r="W10" s="1567">
        <f t="shared" si="2"/>
        <v>100</v>
      </c>
      <c r="X10" s="1568"/>
      <c r="Y10" s="3344"/>
      <c r="Z10" s="1147" t="str">
        <f t="shared" si="7"/>
        <v>土地使用年限（年）</v>
      </c>
      <c r="AA10" s="1569">
        <f t="shared" si="3"/>
        <v>1</v>
      </c>
      <c r="AB10" s="1569">
        <f t="shared" si="4"/>
        <v>1</v>
      </c>
      <c r="AC10" s="1569">
        <f t="shared" si="5"/>
        <v>1</v>
      </c>
    </row>
    <row r="11" spans="1:29" ht="15">
      <c r="A11" s="2892"/>
      <c r="B11" s="2898">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93"/>
      <c r="Q11" s="1148">
        <f t="shared" si="6"/>
        <v>111</v>
      </c>
      <c r="R11" s="1566" t="s">
        <v>8</v>
      </c>
      <c r="S11" s="1567">
        <f t="shared" si="0"/>
        <v>100</v>
      </c>
      <c r="T11" s="1566" t="s">
        <v>8</v>
      </c>
      <c r="U11" s="1567">
        <f t="shared" si="1"/>
        <v>100</v>
      </c>
      <c r="V11" s="1566" t="s">
        <v>8</v>
      </c>
      <c r="W11" s="1567">
        <f t="shared" si="2"/>
        <v>100</v>
      </c>
      <c r="X11" s="1568"/>
      <c r="Y11" s="3344"/>
      <c r="Z11" s="1147">
        <f t="shared" si="7"/>
        <v>111</v>
      </c>
      <c r="AA11" s="1569">
        <f t="shared" si="3"/>
        <v>1</v>
      </c>
      <c r="AB11" s="1569">
        <f t="shared" si="4"/>
        <v>1</v>
      </c>
      <c r="AC11" s="1569">
        <f t="shared" si="5"/>
        <v>1</v>
      </c>
    </row>
    <row r="12" spans="1:29" s="1217" customFormat="1" ht="15">
      <c r="A12" s="2892"/>
      <c r="B12" s="2898">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93"/>
      <c r="Q12" s="1148">
        <f t="shared" si="6"/>
        <v>111</v>
      </c>
      <c r="R12" s="1566" t="s">
        <v>8</v>
      </c>
      <c r="S12" s="1567">
        <f t="shared" si="0"/>
        <v>100</v>
      </c>
      <c r="T12" s="1566" t="s">
        <v>8</v>
      </c>
      <c r="U12" s="1567">
        <f t="shared" si="1"/>
        <v>100</v>
      </c>
      <c r="V12" s="1566" t="s">
        <v>8</v>
      </c>
      <c r="W12" s="1567">
        <f t="shared" si="2"/>
        <v>100</v>
      </c>
      <c r="X12" s="1568"/>
      <c r="Y12" s="3344"/>
      <c r="Z12" s="1147">
        <f t="shared" si="7"/>
        <v>111</v>
      </c>
      <c r="AA12" s="1569">
        <f>D12/F12</f>
        <v>1</v>
      </c>
      <c r="AB12" s="1569">
        <f>D12/H12</f>
        <v>1</v>
      </c>
      <c r="AC12" s="1569">
        <f>D12/J12</f>
        <v>1</v>
      </c>
    </row>
    <row r="13" spans="1:29" ht="15.75" thickBot="1">
      <c r="A13" s="2893"/>
      <c r="B13" s="2899">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93"/>
      <c r="Q13" s="1148">
        <f t="shared" si="6"/>
        <v>111</v>
      </c>
      <c r="R13" s="1566" t="s">
        <v>8</v>
      </c>
      <c r="S13" s="1567">
        <f t="shared" si="0"/>
        <v>100</v>
      </c>
      <c r="T13" s="1566" t="s">
        <v>8</v>
      </c>
      <c r="U13" s="1567">
        <f t="shared" si="1"/>
        <v>100</v>
      </c>
      <c r="V13" s="1566" t="s">
        <v>8</v>
      </c>
      <c r="W13" s="1567">
        <f t="shared" si="2"/>
        <v>100</v>
      </c>
      <c r="X13" s="1568"/>
      <c r="Y13" s="3344"/>
      <c r="Z13" s="1147">
        <f t="shared" si="7"/>
        <v>111</v>
      </c>
      <c r="AA13" s="1569">
        <f t="shared" si="3"/>
        <v>1</v>
      </c>
      <c r="AB13" s="1569">
        <f t="shared" si="4"/>
        <v>1</v>
      </c>
      <c r="AC13" s="1569">
        <f t="shared" si="5"/>
        <v>1</v>
      </c>
    </row>
    <row r="14" spans="1:29" ht="85.5">
      <c r="A14" s="2885" t="s">
        <v>2753</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95" t="s">
        <v>540</v>
      </c>
      <c r="Q14" s="1570" t="str">
        <f t="shared" si="6"/>
        <v>交通便捷度</v>
      </c>
      <c r="R14" s="1571" t="s">
        <v>8</v>
      </c>
      <c r="S14" s="1572">
        <f t="shared" si="0"/>
        <v>100</v>
      </c>
      <c r="T14" s="1571" t="s">
        <v>8</v>
      </c>
      <c r="U14" s="1572">
        <f t="shared" si="1"/>
        <v>100</v>
      </c>
      <c r="V14" s="1571" t="s">
        <v>8</v>
      </c>
      <c r="W14" s="1572">
        <f t="shared" si="2"/>
        <v>100</v>
      </c>
      <c r="X14" s="1565"/>
      <c r="Y14" s="3395"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0"/>
      <c r="M15" s="2132"/>
      <c r="N15" s="2132"/>
      <c r="O15" s="2139"/>
      <c r="P15" s="3396"/>
      <c r="Q15" s="1570"/>
      <c r="R15" s="1571"/>
      <c r="S15" s="1572"/>
      <c r="T15" s="1571"/>
      <c r="U15" s="1572"/>
      <c r="V15" s="1571"/>
      <c r="W15" s="1572"/>
      <c r="X15" s="1565"/>
      <c r="Y15" s="3396"/>
      <c r="Z15" s="1573"/>
      <c r="AA15" s="1574">
        <v>1</v>
      </c>
      <c r="AB15" s="1574">
        <v>1</v>
      </c>
      <c r="AC15" s="1574">
        <v>1</v>
      </c>
    </row>
    <row r="16" spans="1:29" ht="42.75">
      <c r="A16" s="531"/>
      <c r="B16" s="2579"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96"/>
      <c r="Q16" s="1570" t="str">
        <f>B16</f>
        <v>公共配套设施</v>
      </c>
      <c r="R16" s="1571" t="s">
        <v>8</v>
      </c>
      <c r="S16" s="1572">
        <f>F16</f>
        <v>100</v>
      </c>
      <c r="T16" s="1571" t="s">
        <v>8</v>
      </c>
      <c r="U16" s="1572">
        <f>H16</f>
        <v>100</v>
      </c>
      <c r="V16" s="1571" t="s">
        <v>8</v>
      </c>
      <c r="W16" s="1572">
        <f>J16</f>
        <v>100</v>
      </c>
      <c r="X16" s="1565"/>
      <c r="Y16" s="3396"/>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0"/>
      <c r="M17" s="2132"/>
      <c r="N17" s="2132"/>
      <c r="O17" s="2139"/>
      <c r="P17" s="3396"/>
      <c r="Q17" s="1570"/>
      <c r="R17" s="1571"/>
      <c r="S17" s="1572"/>
      <c r="T17" s="1571"/>
      <c r="U17" s="1572"/>
      <c r="V17" s="1571"/>
      <c r="W17" s="1572"/>
      <c r="X17" s="1565"/>
      <c r="Y17" s="3396"/>
      <c r="Z17" s="1573"/>
      <c r="AA17" s="1574">
        <v>1</v>
      </c>
      <c r="AB17" s="1574">
        <v>1</v>
      </c>
      <c r="AC17" s="1574">
        <v>1</v>
      </c>
    </row>
    <row r="18" spans="1:29" ht="28.5">
      <c r="A18" s="531"/>
      <c r="B18" s="2567"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96"/>
      <c r="Q18" s="2555" t="str">
        <f>B18</f>
        <v>基础设施水平</v>
      </c>
      <c r="R18" s="1571" t="s">
        <v>8</v>
      </c>
      <c r="S18" s="1572">
        <f>F18</f>
        <v>100</v>
      </c>
      <c r="T18" s="1571" t="s">
        <v>8</v>
      </c>
      <c r="U18" s="1572">
        <f>H18</f>
        <v>100</v>
      </c>
      <c r="V18" s="1571" t="s">
        <v>8</v>
      </c>
      <c r="W18" s="1572">
        <f>J18</f>
        <v>100</v>
      </c>
      <c r="X18" s="2557"/>
      <c r="Y18" s="3396"/>
      <c r="Z18" s="2556"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8"/>
      <c r="L19" s="2140"/>
      <c r="M19" s="2132"/>
      <c r="N19" s="2132"/>
      <c r="O19" s="2139"/>
      <c r="P19" s="3396"/>
      <c r="Q19" s="2555"/>
      <c r="R19" s="1571"/>
      <c r="S19" s="1572"/>
      <c r="T19" s="1571"/>
      <c r="U19" s="1572"/>
      <c r="V19" s="1571"/>
      <c r="W19" s="1572"/>
      <c r="X19" s="2557"/>
      <c r="Y19" s="3396"/>
      <c r="Z19" s="2556"/>
      <c r="AA19" s="1574">
        <v>1</v>
      </c>
      <c r="AB19" s="1574">
        <v>1</v>
      </c>
      <c r="AC19" s="1574">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96"/>
      <c r="Q20" s="1570" t="str">
        <f>B20</f>
        <v>自然及人文环境</v>
      </c>
      <c r="R20" s="1571" t="s">
        <v>8</v>
      </c>
      <c r="S20" s="1572">
        <f>F20</f>
        <v>100</v>
      </c>
      <c r="T20" s="1571" t="s">
        <v>8</v>
      </c>
      <c r="U20" s="1572">
        <f>H20</f>
        <v>100</v>
      </c>
      <c r="V20" s="1571" t="s">
        <v>8</v>
      </c>
      <c r="W20" s="1572">
        <f>J20</f>
        <v>100</v>
      </c>
      <c r="X20" s="1565"/>
      <c r="Y20" s="3396"/>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0"/>
      <c r="M21" s="2132"/>
      <c r="N21" s="2132"/>
      <c r="O21" s="2139"/>
      <c r="P21" s="3396"/>
      <c r="Q21" s="1570"/>
      <c r="R21" s="1571"/>
      <c r="S21" s="1572"/>
      <c r="T21" s="1571"/>
      <c r="U21" s="1572"/>
      <c r="V21" s="1571"/>
      <c r="W21" s="1572"/>
      <c r="X21" s="1565"/>
      <c r="Y21" s="3396"/>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96"/>
      <c r="Q22" s="1570" t="str">
        <f>B22</f>
        <v>楼层</v>
      </c>
      <c r="R22" s="1571" t="s">
        <v>8</v>
      </c>
      <c r="S22" s="1572">
        <f>F22</f>
        <v>100</v>
      </c>
      <c r="T22" s="1571" t="s">
        <v>8</v>
      </c>
      <c r="U22" s="1572">
        <f>H22</f>
        <v>100</v>
      </c>
      <c r="V22" s="1571" t="s">
        <v>8</v>
      </c>
      <c r="W22" s="1572">
        <f>J22</f>
        <v>100</v>
      </c>
      <c r="X22" s="1565"/>
      <c r="Y22" s="3396"/>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96"/>
      <c r="Q23" s="1570">
        <f>B23</f>
        <v>111</v>
      </c>
      <c r="R23" s="1571" t="s">
        <v>8</v>
      </c>
      <c r="S23" s="1572">
        <f>F23</f>
        <v>100</v>
      </c>
      <c r="T23" s="1571" t="s">
        <v>8</v>
      </c>
      <c r="U23" s="1572">
        <f>H23</f>
        <v>100</v>
      </c>
      <c r="V23" s="1571" t="s">
        <v>8</v>
      </c>
      <c r="W23" s="1572">
        <f>J23</f>
        <v>100</v>
      </c>
      <c r="X23" s="1565"/>
      <c r="Y23" s="3396"/>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96"/>
      <c r="Q24" s="1570">
        <f t="shared" ref="Q24:Q34" si="11">B24</f>
        <v>111</v>
      </c>
      <c r="R24" s="1571" t="s">
        <v>8</v>
      </c>
      <c r="S24" s="1572">
        <f>F24</f>
        <v>100</v>
      </c>
      <c r="T24" s="1571" t="s">
        <v>8</v>
      </c>
      <c r="U24" s="1572">
        <f>H24</f>
        <v>100</v>
      </c>
      <c r="V24" s="1571" t="s">
        <v>8</v>
      </c>
      <c r="W24" s="1572">
        <f>J24</f>
        <v>100</v>
      </c>
      <c r="X24" s="1565"/>
      <c r="Y24" s="3396"/>
      <c r="Z24" s="1573">
        <f>Q24</f>
        <v>111</v>
      </c>
      <c r="AA24" s="1574">
        <f t="shared" si="3"/>
        <v>1</v>
      </c>
      <c r="AB24" s="1574">
        <f t="shared" si="4"/>
        <v>1</v>
      </c>
      <c r="AC24" s="1574">
        <f t="shared" si="5"/>
        <v>1</v>
      </c>
    </row>
    <row r="25" spans="1:29" s="1217"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96"/>
      <c r="Q25" s="1148">
        <f t="shared" si="11"/>
        <v>111</v>
      </c>
      <c r="R25" s="1566" t="s">
        <v>8</v>
      </c>
      <c r="S25" s="1567">
        <f>F25</f>
        <v>100</v>
      </c>
      <c r="T25" s="1566" t="s">
        <v>8</v>
      </c>
      <c r="U25" s="1567">
        <f>H25</f>
        <v>100</v>
      </c>
      <c r="V25" s="1566" t="s">
        <v>8</v>
      </c>
      <c r="W25" s="1567">
        <f>J25</f>
        <v>100</v>
      </c>
      <c r="X25" s="1568"/>
      <c r="Y25" s="3396"/>
      <c r="Z25" s="1147">
        <f>Q25</f>
        <v>111</v>
      </c>
      <c r="AA25" s="1574">
        <f>D25/F25</f>
        <v>1</v>
      </c>
      <c r="AB25" s="1574">
        <f>D25/H25</f>
        <v>1</v>
      </c>
      <c r="AC25" s="1574">
        <f>D25/J25</f>
        <v>1</v>
      </c>
    </row>
    <row r="26" spans="1:29" ht="15">
      <c r="A26" s="2882"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97"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98" t="s">
        <v>821</v>
      </c>
      <c r="Z26" s="1573" t="str">
        <f t="shared" ref="Z26:Z34" si="15">Q26</f>
        <v>公共部分装修</v>
      </c>
      <c r="AA26" s="1574">
        <f t="shared" si="3"/>
        <v>1</v>
      </c>
      <c r="AB26" s="1574">
        <f t="shared" si="4"/>
        <v>1</v>
      </c>
      <c r="AC26" s="1574">
        <f t="shared" si="5"/>
        <v>1</v>
      </c>
    </row>
    <row r="27" spans="1:29" s="1336"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98"/>
      <c r="Q27" s="1603" t="str">
        <f t="shared" si="11"/>
        <v>成新率</v>
      </c>
      <c r="R27" s="1575" t="s">
        <v>8</v>
      </c>
      <c r="S27" s="1576" t="e">
        <f t="shared" si="12"/>
        <v>#N/A</v>
      </c>
      <c r="T27" s="1575" t="s">
        <v>8</v>
      </c>
      <c r="U27" s="1576" t="e">
        <f t="shared" si="13"/>
        <v>#N/A</v>
      </c>
      <c r="V27" s="1575" t="s">
        <v>8</v>
      </c>
      <c r="W27" s="1576" t="e">
        <f t="shared" si="14"/>
        <v>#N/A</v>
      </c>
      <c r="X27" s="1577"/>
      <c r="Y27" s="3398"/>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98"/>
      <c r="Q28" s="1570" t="str">
        <f t="shared" si="11"/>
        <v>物业等级</v>
      </c>
      <c r="R28" s="1571" t="s">
        <v>8</v>
      </c>
      <c r="S28" s="1572">
        <f t="shared" si="12"/>
        <v>100</v>
      </c>
      <c r="T28" s="1571" t="s">
        <v>8</v>
      </c>
      <c r="U28" s="1572">
        <f t="shared" si="13"/>
        <v>100</v>
      </c>
      <c r="V28" s="1571" t="s">
        <v>8</v>
      </c>
      <c r="W28" s="1572">
        <f t="shared" si="14"/>
        <v>100</v>
      </c>
      <c r="X28" s="1565"/>
      <c r="Y28" s="3398"/>
      <c r="Z28" s="1573" t="str">
        <f t="shared" si="15"/>
        <v>物业等级</v>
      </c>
      <c r="AA28" s="1574">
        <f t="shared" si="3"/>
        <v>1</v>
      </c>
      <c r="AB28" s="1574">
        <f t="shared" si="4"/>
        <v>1</v>
      </c>
      <c r="AC28" s="1574">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98"/>
      <c r="Q29" s="1570" t="str">
        <f t="shared" si="11"/>
        <v>有无电梯</v>
      </c>
      <c r="R29" s="1571" t="s">
        <v>8</v>
      </c>
      <c r="S29" s="1572">
        <f t="shared" si="12"/>
        <v>100</v>
      </c>
      <c r="T29" s="1571" t="s">
        <v>8</v>
      </c>
      <c r="U29" s="1572">
        <f t="shared" si="13"/>
        <v>100</v>
      </c>
      <c r="V29" s="1571" t="s">
        <v>8</v>
      </c>
      <c r="W29" s="1572">
        <f t="shared" si="14"/>
        <v>100</v>
      </c>
      <c r="X29" s="1565"/>
      <c r="Y29" s="3398"/>
      <c r="Z29" s="1573" t="str">
        <f t="shared" si="15"/>
        <v>有无电梯</v>
      </c>
      <c r="AA29" s="1574">
        <f t="shared" si="3"/>
        <v>1</v>
      </c>
      <c r="AB29" s="1574">
        <f t="shared" si="4"/>
        <v>1</v>
      </c>
      <c r="AC29" s="1574">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98"/>
      <c r="Q30" s="1570" t="str">
        <f t="shared" si="11"/>
        <v>建筑面积</v>
      </c>
      <c r="R30" s="1571" t="s">
        <v>8</v>
      </c>
      <c r="S30" s="1572" t="e">
        <f t="shared" si="12"/>
        <v>#N/A</v>
      </c>
      <c r="T30" s="1571" t="s">
        <v>8</v>
      </c>
      <c r="U30" s="1572" t="e">
        <f t="shared" si="13"/>
        <v>#N/A</v>
      </c>
      <c r="V30" s="1571" t="s">
        <v>8</v>
      </c>
      <c r="W30" s="1572" t="e">
        <f t="shared" si="14"/>
        <v>#N/A</v>
      </c>
      <c r="X30" s="1565"/>
      <c r="Y30" s="3398"/>
      <c r="Z30" s="1573" t="str">
        <f t="shared" si="15"/>
        <v>建筑面积</v>
      </c>
      <c r="AA30" s="1574" t="e">
        <f t="shared" si="3"/>
        <v>#N/A</v>
      </c>
      <c r="AB30" s="1574" t="e">
        <f t="shared" si="4"/>
        <v>#N/A</v>
      </c>
      <c r="AC30" s="1574" t="e">
        <f t="shared" si="5"/>
        <v>#N/A</v>
      </c>
    </row>
    <row r="31" spans="1:29" s="1217"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98"/>
      <c r="Q31" s="1148" t="str">
        <f t="shared" si="11"/>
        <v>是否封闭</v>
      </c>
      <c r="R31" s="1566" t="s">
        <v>8</v>
      </c>
      <c r="S31" s="1567">
        <f t="shared" si="12"/>
        <v>100</v>
      </c>
      <c r="T31" s="1566" t="s">
        <v>8</v>
      </c>
      <c r="U31" s="1567">
        <f t="shared" si="13"/>
        <v>100</v>
      </c>
      <c r="V31" s="1566" t="s">
        <v>8</v>
      </c>
      <c r="W31" s="1567">
        <f t="shared" si="14"/>
        <v>100</v>
      </c>
      <c r="X31" s="1568"/>
      <c r="Y31" s="3398"/>
      <c r="Z31" s="1147"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98" t="s">
        <v>550</v>
      </c>
      <c r="Q32" s="1570">
        <f t="shared" si="11"/>
        <v>111</v>
      </c>
      <c r="R32" s="1571" t="s">
        <v>8</v>
      </c>
      <c r="S32" s="1572">
        <f t="shared" si="12"/>
        <v>100</v>
      </c>
      <c r="T32" s="1571" t="s">
        <v>8</v>
      </c>
      <c r="U32" s="1572">
        <f t="shared" si="13"/>
        <v>100</v>
      </c>
      <c r="V32" s="1571" t="s">
        <v>8</v>
      </c>
      <c r="W32" s="1572">
        <f t="shared" si="14"/>
        <v>100</v>
      </c>
      <c r="X32" s="1565"/>
      <c r="Y32" s="3398" t="s">
        <v>550</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98"/>
      <c r="Q33" s="1570">
        <f t="shared" si="11"/>
        <v>111</v>
      </c>
      <c r="R33" s="1571" t="s">
        <v>8</v>
      </c>
      <c r="S33" s="1572">
        <f t="shared" si="12"/>
        <v>100</v>
      </c>
      <c r="T33" s="1571" t="s">
        <v>8</v>
      </c>
      <c r="U33" s="1572">
        <f t="shared" si="13"/>
        <v>100</v>
      </c>
      <c r="V33" s="1571" t="s">
        <v>8</v>
      </c>
      <c r="W33" s="1572">
        <f t="shared" si="14"/>
        <v>100</v>
      </c>
      <c r="X33" s="1565"/>
      <c r="Y33" s="3398"/>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98"/>
      <c r="Q34" s="1570">
        <f t="shared" si="11"/>
        <v>111</v>
      </c>
      <c r="R34" s="1571" t="s">
        <v>8</v>
      </c>
      <c r="S34" s="1572">
        <f t="shared" si="12"/>
        <v>100</v>
      </c>
      <c r="T34" s="1571" t="s">
        <v>8</v>
      </c>
      <c r="U34" s="1572">
        <f t="shared" si="13"/>
        <v>100</v>
      </c>
      <c r="V34" s="1571" t="s">
        <v>8</v>
      </c>
      <c r="W34" s="1572">
        <f t="shared" si="14"/>
        <v>100</v>
      </c>
      <c r="X34" s="1565"/>
      <c r="Y34" s="3398"/>
      <c r="Z34" s="1573">
        <f t="shared" si="15"/>
        <v>111</v>
      </c>
      <c r="AA34" s="1574">
        <f t="shared" si="3"/>
        <v>1</v>
      </c>
      <c r="AB34" s="1574">
        <f t="shared" si="4"/>
        <v>1</v>
      </c>
      <c r="AC34" s="1574">
        <f t="shared" si="5"/>
        <v>1</v>
      </c>
    </row>
    <row r="35" spans="1:29" ht="15">
      <c r="A35" s="606" t="s">
        <v>736</v>
      </c>
      <c r="B35" s="886"/>
      <c r="C35" s="2603" t="s">
        <v>1</v>
      </c>
      <c r="D35" s="2604"/>
      <c r="E35" s="2605"/>
      <c r="F35" s="2606"/>
      <c r="G35" s="2607"/>
      <c r="H35" s="2608"/>
      <c r="I35" s="2605"/>
      <c r="J35" s="2608"/>
      <c r="K35" s="1609"/>
      <c r="L35" s="2142"/>
      <c r="M35" s="2143"/>
      <c r="N35" s="2132"/>
      <c r="O35" s="2143"/>
      <c r="P35" s="3393" t="str">
        <f>A35</f>
        <v>成交单价（元/平方米）</v>
      </c>
      <c r="Q35" s="3393"/>
      <c r="R35" s="3497">
        <f>E35</f>
        <v>0</v>
      </c>
      <c r="S35" s="3497"/>
      <c r="T35" s="3497">
        <f>G35</f>
        <v>0</v>
      </c>
      <c r="U35" s="3497"/>
      <c r="V35" s="3497">
        <f>I35</f>
        <v>0</v>
      </c>
      <c r="W35" s="3497"/>
      <c r="X35" s="1557"/>
      <c r="Y35" s="1579"/>
      <c r="Z35" s="1557"/>
      <c r="AA35" s="1557"/>
      <c r="AB35" s="1557"/>
      <c r="AC35" s="1557"/>
    </row>
    <row r="36" spans="1:29" ht="15.75" thickBot="1">
      <c r="A36" s="614" t="s">
        <v>2759</v>
      </c>
      <c r="B36" s="887"/>
      <c r="C36" s="2609" t="e">
        <f>R37</f>
        <v>#DIV/0!</v>
      </c>
      <c r="D36" s="2610"/>
      <c r="E36" s="2611" t="e">
        <f>R36</f>
        <v>#DIV/0!</v>
      </c>
      <c r="F36" s="2611"/>
      <c r="G36" s="2609" t="e">
        <f>T36</f>
        <v>#DIV/0!</v>
      </c>
      <c r="H36" s="2610"/>
      <c r="I36" s="2611" t="e">
        <f>V36</f>
        <v>#DIV/0!</v>
      </c>
      <c r="J36" s="2610"/>
      <c r="K36" s="1610"/>
      <c r="L36" s="2142"/>
      <c r="M36" s="2143"/>
      <c r="N36" s="2132"/>
      <c r="O36" s="2143"/>
      <c r="P36" s="3393" t="str">
        <f>A36</f>
        <v>比较价格（元/平方米）</v>
      </c>
      <c r="Q36" s="3393"/>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57"/>
      <c r="Y36" s="1557"/>
      <c r="Z36" s="1557"/>
      <c r="AA36" s="1557"/>
      <c r="AB36" s="1557"/>
      <c r="AC36" s="1557"/>
    </row>
    <row r="37" spans="1:29" ht="15.75" thickBot="1">
      <c r="A37" s="620" t="s">
        <v>2934</v>
      </c>
      <c r="B37" s="621"/>
      <c r="C37" s="2612" t="e">
        <f>R37</f>
        <v>#DIV/0!</v>
      </c>
      <c r="D37" s="2612"/>
      <c r="E37" s="2612"/>
      <c r="F37" s="2612"/>
      <c r="G37" s="2612"/>
      <c r="H37" s="2612"/>
      <c r="I37" s="2612"/>
      <c r="J37" s="2612"/>
      <c r="K37" s="1611"/>
      <c r="L37" s="2142"/>
      <c r="M37" s="2143"/>
      <c r="N37" s="2143"/>
      <c r="O37" s="2143"/>
      <c r="P37" s="3417" t="str">
        <f>A37</f>
        <v>估价对象XX用房的比较价格（楼面单价，元/平方米）</v>
      </c>
      <c r="Q37" s="3418"/>
      <c r="R37" s="3496" t="e">
        <f>IF(F1="售价",ROUND(AVERAGE(R36:V36),0),ROUND(AVERAGE(R36:V36),1))</f>
        <v>#DIV/0!</v>
      </c>
      <c r="S37" s="3496"/>
      <c r="T37" s="3496"/>
      <c r="U37" s="3496"/>
      <c r="V37" s="3496"/>
      <c r="W37" s="3496"/>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4" t="s">
        <v>529</v>
      </c>
      <c r="B46" s="645"/>
      <c r="C46" s="2777" t="str">
        <f>YEAR(C7)&amp;"-"&amp;MONTH(C7)</f>
        <v>2019-2</v>
      </c>
      <c r="D46" s="2779">
        <f>EDATE(C46,-1)</f>
        <v>43466</v>
      </c>
      <c r="E46" s="2779">
        <f t="shared" ref="E46:O46" si="16">EDATE(D46,-1)</f>
        <v>43435</v>
      </c>
      <c r="F46" s="2779">
        <f t="shared" si="16"/>
        <v>43405</v>
      </c>
      <c r="G46" s="2779">
        <f t="shared" si="16"/>
        <v>43374</v>
      </c>
      <c r="H46" s="2779">
        <f t="shared" si="16"/>
        <v>43344</v>
      </c>
      <c r="I46" s="2779">
        <f t="shared" si="16"/>
        <v>43313</v>
      </c>
      <c r="J46" s="2779">
        <f t="shared" si="16"/>
        <v>43282</v>
      </c>
      <c r="K46" s="2779">
        <f t="shared" si="16"/>
        <v>43252</v>
      </c>
      <c r="L46" s="2779">
        <f t="shared" si="16"/>
        <v>43221</v>
      </c>
      <c r="M46" s="2779">
        <f t="shared" si="16"/>
        <v>43191</v>
      </c>
      <c r="N46" s="2779">
        <f t="shared" si="16"/>
        <v>43160</v>
      </c>
      <c r="O46" s="2779">
        <f t="shared" si="16"/>
        <v>43132</v>
      </c>
      <c r="P46" s="2158"/>
      <c r="Q46" s="2159"/>
      <c r="R46" s="2159"/>
      <c r="S46" s="2159"/>
      <c r="T46" s="2159"/>
      <c r="U46" s="2159"/>
      <c r="V46" s="2159"/>
      <c r="W46" s="2159"/>
      <c r="X46" s="2159"/>
      <c r="Y46" s="2159"/>
      <c r="Z46" s="2159"/>
      <c r="AA46" s="2159"/>
      <c r="AB46" s="2159"/>
      <c r="AC46" s="2159"/>
    </row>
    <row r="47" spans="1:29" s="1217"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7"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7"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3" t="s">
        <v>2558</v>
      </c>
      <c r="C65" s="2574" t="s">
        <v>2559</v>
      </c>
      <c r="D65" s="2574" t="s">
        <v>2560</v>
      </c>
      <c r="E65" s="2574" t="s">
        <v>2561</v>
      </c>
      <c r="F65" s="2574" t="s">
        <v>2562</v>
      </c>
      <c r="G65" s="2574" t="s">
        <v>2563</v>
      </c>
      <c r="H65" s="673"/>
      <c r="I65" s="673"/>
      <c r="J65" s="673"/>
      <c r="K65" s="673"/>
      <c r="L65" s="673"/>
      <c r="M65" s="2577"/>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6"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6" customWidth="1"/>
    <col min="2" max="2" width="13.25" style="2922" customWidth="1"/>
    <col min="3" max="3" width="15.625" style="2922" customWidth="1"/>
    <col min="4" max="4" width="9.375" style="2922" bestFit="1" customWidth="1"/>
    <col min="5" max="5" width="13.5" style="2922" customWidth="1"/>
    <col min="6" max="6" width="9" style="2922"/>
    <col min="7" max="7" width="9.375" style="2922" bestFit="1" customWidth="1"/>
    <col min="8" max="9" width="9" style="2922"/>
    <col min="10" max="10" width="9.375" style="2922" bestFit="1" customWidth="1"/>
    <col min="11" max="11" width="4" style="2916" customWidth="1"/>
    <col min="12" max="12" width="5.125" style="2922" customWidth="1"/>
    <col min="13" max="13" width="13.75" style="2922" customWidth="1"/>
    <col min="14" max="256" width="9" style="2922"/>
    <col min="257" max="257" width="4.875" style="2914" customWidth="1"/>
    <col min="258" max="258" width="13.25" style="2914" customWidth="1"/>
    <col min="259" max="259" width="15.625" style="2914" customWidth="1"/>
    <col min="260" max="260" width="9.375" style="2914" bestFit="1" customWidth="1"/>
    <col min="261" max="261" width="13.5" style="2914" customWidth="1"/>
    <col min="262" max="262" width="9" style="2914"/>
    <col min="263" max="263" width="9.375" style="2914" bestFit="1" customWidth="1"/>
    <col min="264" max="265" width="9" style="2914"/>
    <col min="266" max="266" width="9.375" style="2914" bestFit="1" customWidth="1"/>
    <col min="267" max="267" width="4" style="2914" customWidth="1"/>
    <col min="268" max="268" width="5.125" style="2914" customWidth="1"/>
    <col min="269" max="269" width="13.75" style="2914" customWidth="1"/>
    <col min="270" max="512" width="9" style="2914"/>
    <col min="513" max="513" width="4.875" style="2914" customWidth="1"/>
    <col min="514" max="514" width="13.25" style="2914" customWidth="1"/>
    <col min="515" max="515" width="15.625" style="2914" customWidth="1"/>
    <col min="516" max="516" width="9.375" style="2914" bestFit="1" customWidth="1"/>
    <col min="517" max="517" width="13.5" style="2914" customWidth="1"/>
    <col min="518" max="518" width="9" style="2914"/>
    <col min="519" max="519" width="9.375" style="2914" bestFit="1" customWidth="1"/>
    <col min="520" max="521" width="9" style="2914"/>
    <col min="522" max="522" width="9.375" style="2914" bestFit="1" customWidth="1"/>
    <col min="523" max="523" width="4" style="2914" customWidth="1"/>
    <col min="524" max="524" width="5.125" style="2914" customWidth="1"/>
    <col min="525" max="525" width="13.75" style="2914" customWidth="1"/>
    <col min="526" max="768" width="9" style="2914"/>
    <col min="769" max="769" width="4.875" style="2914" customWidth="1"/>
    <col min="770" max="770" width="13.25" style="2914" customWidth="1"/>
    <col min="771" max="771" width="15.625" style="2914" customWidth="1"/>
    <col min="772" max="772" width="9.375" style="2914" bestFit="1" customWidth="1"/>
    <col min="773" max="773" width="13.5" style="2914" customWidth="1"/>
    <col min="774" max="774" width="9" style="2914"/>
    <col min="775" max="775" width="9.375" style="2914" bestFit="1" customWidth="1"/>
    <col min="776" max="777" width="9" style="2914"/>
    <col min="778" max="778" width="9.375" style="2914" bestFit="1" customWidth="1"/>
    <col min="779" max="779" width="4" style="2914" customWidth="1"/>
    <col min="780" max="780" width="5.125" style="2914" customWidth="1"/>
    <col min="781" max="781" width="13.75" style="2914" customWidth="1"/>
    <col min="782" max="1024" width="9" style="2914"/>
    <col min="1025" max="1025" width="4.875" style="2914" customWidth="1"/>
    <col min="1026" max="1026" width="13.25" style="2914" customWidth="1"/>
    <col min="1027" max="1027" width="15.625" style="2914" customWidth="1"/>
    <col min="1028" max="1028" width="9.375" style="2914" bestFit="1" customWidth="1"/>
    <col min="1029" max="1029" width="13.5" style="2914" customWidth="1"/>
    <col min="1030" max="1030" width="9" style="2914"/>
    <col min="1031" max="1031" width="9.375" style="2914" bestFit="1" customWidth="1"/>
    <col min="1032" max="1033" width="9" style="2914"/>
    <col min="1034" max="1034" width="9.375" style="2914" bestFit="1" customWidth="1"/>
    <col min="1035" max="1035" width="4" style="2914" customWidth="1"/>
    <col min="1036" max="1036" width="5.125" style="2914" customWidth="1"/>
    <col min="1037" max="1037" width="13.75" style="2914" customWidth="1"/>
    <col min="1038" max="1280" width="9" style="2914"/>
    <col min="1281" max="1281" width="4.875" style="2914" customWidth="1"/>
    <col min="1282" max="1282" width="13.25" style="2914" customWidth="1"/>
    <col min="1283" max="1283" width="15.625" style="2914" customWidth="1"/>
    <col min="1284" max="1284" width="9.375" style="2914" bestFit="1" customWidth="1"/>
    <col min="1285" max="1285" width="13.5" style="2914" customWidth="1"/>
    <col min="1286" max="1286" width="9" style="2914"/>
    <col min="1287" max="1287" width="9.375" style="2914" bestFit="1" customWidth="1"/>
    <col min="1288" max="1289" width="9" style="2914"/>
    <col min="1290" max="1290" width="9.375" style="2914" bestFit="1" customWidth="1"/>
    <col min="1291" max="1291" width="4" style="2914" customWidth="1"/>
    <col min="1292" max="1292" width="5.125" style="2914" customWidth="1"/>
    <col min="1293" max="1293" width="13.75" style="2914" customWidth="1"/>
    <col min="1294" max="1536" width="9" style="2914"/>
    <col min="1537" max="1537" width="4.875" style="2914" customWidth="1"/>
    <col min="1538" max="1538" width="13.25" style="2914" customWidth="1"/>
    <col min="1539" max="1539" width="15.625" style="2914" customWidth="1"/>
    <col min="1540" max="1540" width="9.375" style="2914" bestFit="1" customWidth="1"/>
    <col min="1541" max="1541" width="13.5" style="2914" customWidth="1"/>
    <col min="1542" max="1542" width="9" style="2914"/>
    <col min="1543" max="1543" width="9.375" style="2914" bestFit="1" customWidth="1"/>
    <col min="1544" max="1545" width="9" style="2914"/>
    <col min="1546" max="1546" width="9.375" style="2914" bestFit="1" customWidth="1"/>
    <col min="1547" max="1547" width="4" style="2914" customWidth="1"/>
    <col min="1548" max="1548" width="5.125" style="2914" customWidth="1"/>
    <col min="1549" max="1549" width="13.75" style="2914" customWidth="1"/>
    <col min="1550" max="1792" width="9" style="2914"/>
    <col min="1793" max="1793" width="4.875" style="2914" customWidth="1"/>
    <col min="1794" max="1794" width="13.25" style="2914" customWidth="1"/>
    <col min="1795" max="1795" width="15.625" style="2914" customWidth="1"/>
    <col min="1796" max="1796" width="9.375" style="2914" bestFit="1" customWidth="1"/>
    <col min="1797" max="1797" width="13.5" style="2914" customWidth="1"/>
    <col min="1798" max="1798" width="9" style="2914"/>
    <col min="1799" max="1799" width="9.375" style="2914" bestFit="1" customWidth="1"/>
    <col min="1800" max="1801" width="9" style="2914"/>
    <col min="1802" max="1802" width="9.375" style="2914" bestFit="1" customWidth="1"/>
    <col min="1803" max="1803" width="4" style="2914" customWidth="1"/>
    <col min="1804" max="1804" width="5.125" style="2914" customWidth="1"/>
    <col min="1805" max="1805" width="13.75" style="2914" customWidth="1"/>
    <col min="1806" max="2048" width="9" style="2914"/>
    <col min="2049" max="2049" width="4.875" style="2914" customWidth="1"/>
    <col min="2050" max="2050" width="13.25" style="2914" customWidth="1"/>
    <col min="2051" max="2051" width="15.625" style="2914" customWidth="1"/>
    <col min="2052" max="2052" width="9.375" style="2914" bestFit="1" customWidth="1"/>
    <col min="2053" max="2053" width="13.5" style="2914" customWidth="1"/>
    <col min="2054" max="2054" width="9" style="2914"/>
    <col min="2055" max="2055" width="9.375" style="2914" bestFit="1" customWidth="1"/>
    <col min="2056" max="2057" width="9" style="2914"/>
    <col min="2058" max="2058" width="9.375" style="2914" bestFit="1" customWidth="1"/>
    <col min="2059" max="2059" width="4" style="2914" customWidth="1"/>
    <col min="2060" max="2060" width="5.125" style="2914" customWidth="1"/>
    <col min="2061" max="2061" width="13.75" style="2914" customWidth="1"/>
    <col min="2062" max="2304" width="9" style="2914"/>
    <col min="2305" max="2305" width="4.875" style="2914" customWidth="1"/>
    <col min="2306" max="2306" width="13.25" style="2914" customWidth="1"/>
    <col min="2307" max="2307" width="15.625" style="2914" customWidth="1"/>
    <col min="2308" max="2308" width="9.375" style="2914" bestFit="1" customWidth="1"/>
    <col min="2309" max="2309" width="13.5" style="2914" customWidth="1"/>
    <col min="2310" max="2310" width="9" style="2914"/>
    <col min="2311" max="2311" width="9.375" style="2914" bestFit="1" customWidth="1"/>
    <col min="2312" max="2313" width="9" style="2914"/>
    <col min="2314" max="2314" width="9.375" style="2914" bestFit="1" customWidth="1"/>
    <col min="2315" max="2315" width="4" style="2914" customWidth="1"/>
    <col min="2316" max="2316" width="5.125" style="2914" customWidth="1"/>
    <col min="2317" max="2317" width="13.75" style="2914" customWidth="1"/>
    <col min="2318" max="2560" width="9" style="2914"/>
    <col min="2561" max="2561" width="4.875" style="2914" customWidth="1"/>
    <col min="2562" max="2562" width="13.25" style="2914" customWidth="1"/>
    <col min="2563" max="2563" width="15.625" style="2914" customWidth="1"/>
    <col min="2564" max="2564" width="9.375" style="2914" bestFit="1" customWidth="1"/>
    <col min="2565" max="2565" width="13.5" style="2914" customWidth="1"/>
    <col min="2566" max="2566" width="9" style="2914"/>
    <col min="2567" max="2567" width="9.375" style="2914" bestFit="1" customWidth="1"/>
    <col min="2568" max="2569" width="9" style="2914"/>
    <col min="2570" max="2570" width="9.375" style="2914" bestFit="1" customWidth="1"/>
    <col min="2571" max="2571" width="4" style="2914" customWidth="1"/>
    <col min="2572" max="2572" width="5.125" style="2914" customWidth="1"/>
    <col min="2573" max="2573" width="13.75" style="2914" customWidth="1"/>
    <col min="2574" max="2816" width="9" style="2914"/>
    <col min="2817" max="2817" width="4.875" style="2914" customWidth="1"/>
    <col min="2818" max="2818" width="13.25" style="2914" customWidth="1"/>
    <col min="2819" max="2819" width="15.625" style="2914" customWidth="1"/>
    <col min="2820" max="2820" width="9.375" style="2914" bestFit="1" customWidth="1"/>
    <col min="2821" max="2821" width="13.5" style="2914" customWidth="1"/>
    <col min="2822" max="2822" width="9" style="2914"/>
    <col min="2823" max="2823" width="9.375" style="2914" bestFit="1" customWidth="1"/>
    <col min="2824" max="2825" width="9" style="2914"/>
    <col min="2826" max="2826" width="9.375" style="2914" bestFit="1" customWidth="1"/>
    <col min="2827" max="2827" width="4" style="2914" customWidth="1"/>
    <col min="2828" max="2828" width="5.125" style="2914" customWidth="1"/>
    <col min="2829" max="2829" width="13.75" style="2914" customWidth="1"/>
    <col min="2830" max="3072" width="9" style="2914"/>
    <col min="3073" max="3073" width="4.875" style="2914" customWidth="1"/>
    <col min="3074" max="3074" width="13.25" style="2914" customWidth="1"/>
    <col min="3075" max="3075" width="15.625" style="2914" customWidth="1"/>
    <col min="3076" max="3076" width="9.375" style="2914" bestFit="1" customWidth="1"/>
    <col min="3077" max="3077" width="13.5" style="2914" customWidth="1"/>
    <col min="3078" max="3078" width="9" style="2914"/>
    <col min="3079" max="3079" width="9.375" style="2914" bestFit="1" customWidth="1"/>
    <col min="3080" max="3081" width="9" style="2914"/>
    <col min="3082" max="3082" width="9.375" style="2914" bestFit="1" customWidth="1"/>
    <col min="3083" max="3083" width="4" style="2914" customWidth="1"/>
    <col min="3084" max="3084" width="5.125" style="2914" customWidth="1"/>
    <col min="3085" max="3085" width="13.75" style="2914" customWidth="1"/>
    <col min="3086" max="3328" width="9" style="2914"/>
    <col min="3329" max="3329" width="4.875" style="2914" customWidth="1"/>
    <col min="3330" max="3330" width="13.25" style="2914" customWidth="1"/>
    <col min="3331" max="3331" width="15.625" style="2914" customWidth="1"/>
    <col min="3332" max="3332" width="9.375" style="2914" bestFit="1" customWidth="1"/>
    <col min="3333" max="3333" width="13.5" style="2914" customWidth="1"/>
    <col min="3334" max="3334" width="9" style="2914"/>
    <col min="3335" max="3335" width="9.375" style="2914" bestFit="1" customWidth="1"/>
    <col min="3336" max="3337" width="9" style="2914"/>
    <col min="3338" max="3338" width="9.375" style="2914" bestFit="1" customWidth="1"/>
    <col min="3339" max="3339" width="4" style="2914" customWidth="1"/>
    <col min="3340" max="3340" width="5.125" style="2914" customWidth="1"/>
    <col min="3341" max="3341" width="13.75" style="2914" customWidth="1"/>
    <col min="3342" max="3584" width="9" style="2914"/>
    <col min="3585" max="3585" width="4.875" style="2914" customWidth="1"/>
    <col min="3586" max="3586" width="13.25" style="2914" customWidth="1"/>
    <col min="3587" max="3587" width="15.625" style="2914" customWidth="1"/>
    <col min="3588" max="3588" width="9.375" style="2914" bestFit="1" customWidth="1"/>
    <col min="3589" max="3589" width="13.5" style="2914" customWidth="1"/>
    <col min="3590" max="3590" width="9" style="2914"/>
    <col min="3591" max="3591" width="9.375" style="2914" bestFit="1" customWidth="1"/>
    <col min="3592" max="3593" width="9" style="2914"/>
    <col min="3594" max="3594" width="9.375" style="2914" bestFit="1" customWidth="1"/>
    <col min="3595" max="3595" width="4" style="2914" customWidth="1"/>
    <col min="3596" max="3596" width="5.125" style="2914" customWidth="1"/>
    <col min="3597" max="3597" width="13.75" style="2914" customWidth="1"/>
    <col min="3598" max="3840" width="9" style="2914"/>
    <col min="3841" max="3841" width="4.875" style="2914" customWidth="1"/>
    <col min="3842" max="3842" width="13.25" style="2914" customWidth="1"/>
    <col min="3843" max="3843" width="15.625" style="2914" customWidth="1"/>
    <col min="3844" max="3844" width="9.375" style="2914" bestFit="1" customWidth="1"/>
    <col min="3845" max="3845" width="13.5" style="2914" customWidth="1"/>
    <col min="3846" max="3846" width="9" style="2914"/>
    <col min="3847" max="3847" width="9.375" style="2914" bestFit="1" customWidth="1"/>
    <col min="3848" max="3849" width="9" style="2914"/>
    <col min="3850" max="3850" width="9.375" style="2914" bestFit="1" customWidth="1"/>
    <col min="3851" max="3851" width="4" style="2914" customWidth="1"/>
    <col min="3852" max="3852" width="5.125" style="2914" customWidth="1"/>
    <col min="3853" max="3853" width="13.75" style="2914" customWidth="1"/>
    <col min="3854" max="4096" width="9" style="2914"/>
    <col min="4097" max="4097" width="4.875" style="2914" customWidth="1"/>
    <col min="4098" max="4098" width="13.25" style="2914" customWidth="1"/>
    <col min="4099" max="4099" width="15.625" style="2914" customWidth="1"/>
    <col min="4100" max="4100" width="9.375" style="2914" bestFit="1" customWidth="1"/>
    <col min="4101" max="4101" width="13.5" style="2914" customWidth="1"/>
    <col min="4102" max="4102" width="9" style="2914"/>
    <col min="4103" max="4103" width="9.375" style="2914" bestFit="1" customWidth="1"/>
    <col min="4104" max="4105" width="9" style="2914"/>
    <col min="4106" max="4106" width="9.375" style="2914" bestFit="1" customWidth="1"/>
    <col min="4107" max="4107" width="4" style="2914" customWidth="1"/>
    <col min="4108" max="4108" width="5.125" style="2914" customWidth="1"/>
    <col min="4109" max="4109" width="13.75" style="2914" customWidth="1"/>
    <col min="4110" max="4352" width="9" style="2914"/>
    <col min="4353" max="4353" width="4.875" style="2914" customWidth="1"/>
    <col min="4354" max="4354" width="13.25" style="2914" customWidth="1"/>
    <col min="4355" max="4355" width="15.625" style="2914" customWidth="1"/>
    <col min="4356" max="4356" width="9.375" style="2914" bestFit="1" customWidth="1"/>
    <col min="4357" max="4357" width="13.5" style="2914" customWidth="1"/>
    <col min="4358" max="4358" width="9" style="2914"/>
    <col min="4359" max="4359" width="9.375" style="2914" bestFit="1" customWidth="1"/>
    <col min="4360" max="4361" width="9" style="2914"/>
    <col min="4362" max="4362" width="9.375" style="2914" bestFit="1" customWidth="1"/>
    <col min="4363" max="4363" width="4" style="2914" customWidth="1"/>
    <col min="4364" max="4364" width="5.125" style="2914" customWidth="1"/>
    <col min="4365" max="4365" width="13.75" style="2914" customWidth="1"/>
    <col min="4366" max="4608" width="9" style="2914"/>
    <col min="4609" max="4609" width="4.875" style="2914" customWidth="1"/>
    <col min="4610" max="4610" width="13.25" style="2914" customWidth="1"/>
    <col min="4611" max="4611" width="15.625" style="2914" customWidth="1"/>
    <col min="4612" max="4612" width="9.375" style="2914" bestFit="1" customWidth="1"/>
    <col min="4613" max="4613" width="13.5" style="2914" customWidth="1"/>
    <col min="4614" max="4614" width="9" style="2914"/>
    <col min="4615" max="4615" width="9.375" style="2914" bestFit="1" customWidth="1"/>
    <col min="4616" max="4617" width="9" style="2914"/>
    <col min="4618" max="4618" width="9.375" style="2914" bestFit="1" customWidth="1"/>
    <col min="4619" max="4619" width="4" style="2914" customWidth="1"/>
    <col min="4620" max="4620" width="5.125" style="2914" customWidth="1"/>
    <col min="4621" max="4621" width="13.75" style="2914" customWidth="1"/>
    <col min="4622" max="4864" width="9" style="2914"/>
    <col min="4865" max="4865" width="4.875" style="2914" customWidth="1"/>
    <col min="4866" max="4866" width="13.25" style="2914" customWidth="1"/>
    <col min="4867" max="4867" width="15.625" style="2914" customWidth="1"/>
    <col min="4868" max="4868" width="9.375" style="2914" bestFit="1" customWidth="1"/>
    <col min="4869" max="4869" width="13.5" style="2914" customWidth="1"/>
    <col min="4870" max="4870" width="9" style="2914"/>
    <col min="4871" max="4871" width="9.375" style="2914" bestFit="1" customWidth="1"/>
    <col min="4872" max="4873" width="9" style="2914"/>
    <col min="4874" max="4874" width="9.375" style="2914" bestFit="1" customWidth="1"/>
    <col min="4875" max="4875" width="4" style="2914" customWidth="1"/>
    <col min="4876" max="4876" width="5.125" style="2914" customWidth="1"/>
    <col min="4877" max="4877" width="13.75" style="2914" customWidth="1"/>
    <col min="4878" max="5120" width="9" style="2914"/>
    <col min="5121" max="5121" width="4.875" style="2914" customWidth="1"/>
    <col min="5122" max="5122" width="13.25" style="2914" customWidth="1"/>
    <col min="5123" max="5123" width="15.625" style="2914" customWidth="1"/>
    <col min="5124" max="5124" width="9.375" style="2914" bestFit="1" customWidth="1"/>
    <col min="5125" max="5125" width="13.5" style="2914" customWidth="1"/>
    <col min="5126" max="5126" width="9" style="2914"/>
    <col min="5127" max="5127" width="9.375" style="2914" bestFit="1" customWidth="1"/>
    <col min="5128" max="5129" width="9" style="2914"/>
    <col min="5130" max="5130" width="9.375" style="2914" bestFit="1" customWidth="1"/>
    <col min="5131" max="5131" width="4" style="2914" customWidth="1"/>
    <col min="5132" max="5132" width="5.125" style="2914" customWidth="1"/>
    <col min="5133" max="5133" width="13.75" style="2914" customWidth="1"/>
    <col min="5134" max="5376" width="9" style="2914"/>
    <col min="5377" max="5377" width="4.875" style="2914" customWidth="1"/>
    <col min="5378" max="5378" width="13.25" style="2914" customWidth="1"/>
    <col min="5379" max="5379" width="15.625" style="2914" customWidth="1"/>
    <col min="5380" max="5380" width="9.375" style="2914" bestFit="1" customWidth="1"/>
    <col min="5381" max="5381" width="13.5" style="2914" customWidth="1"/>
    <col min="5382" max="5382" width="9" style="2914"/>
    <col min="5383" max="5383" width="9.375" style="2914" bestFit="1" customWidth="1"/>
    <col min="5384" max="5385" width="9" style="2914"/>
    <col min="5386" max="5386" width="9.375" style="2914" bestFit="1" customWidth="1"/>
    <col min="5387" max="5387" width="4" style="2914" customWidth="1"/>
    <col min="5388" max="5388" width="5.125" style="2914" customWidth="1"/>
    <col min="5389" max="5389" width="13.75" style="2914" customWidth="1"/>
    <col min="5390" max="5632" width="9" style="2914"/>
    <col min="5633" max="5633" width="4.875" style="2914" customWidth="1"/>
    <col min="5634" max="5634" width="13.25" style="2914" customWidth="1"/>
    <col min="5635" max="5635" width="15.625" style="2914" customWidth="1"/>
    <col min="5636" max="5636" width="9.375" style="2914" bestFit="1" customWidth="1"/>
    <col min="5637" max="5637" width="13.5" style="2914" customWidth="1"/>
    <col min="5638" max="5638" width="9" style="2914"/>
    <col min="5639" max="5639" width="9.375" style="2914" bestFit="1" customWidth="1"/>
    <col min="5640" max="5641" width="9" style="2914"/>
    <col min="5642" max="5642" width="9.375" style="2914" bestFit="1" customWidth="1"/>
    <col min="5643" max="5643" width="4" style="2914" customWidth="1"/>
    <col min="5644" max="5644" width="5.125" style="2914" customWidth="1"/>
    <col min="5645" max="5645" width="13.75" style="2914" customWidth="1"/>
    <col min="5646" max="5888" width="9" style="2914"/>
    <col min="5889" max="5889" width="4.875" style="2914" customWidth="1"/>
    <col min="5890" max="5890" width="13.25" style="2914" customWidth="1"/>
    <col min="5891" max="5891" width="15.625" style="2914" customWidth="1"/>
    <col min="5892" max="5892" width="9.375" style="2914" bestFit="1" customWidth="1"/>
    <col min="5893" max="5893" width="13.5" style="2914" customWidth="1"/>
    <col min="5894" max="5894" width="9" style="2914"/>
    <col min="5895" max="5895" width="9.375" style="2914" bestFit="1" customWidth="1"/>
    <col min="5896" max="5897" width="9" style="2914"/>
    <col min="5898" max="5898" width="9.375" style="2914" bestFit="1" customWidth="1"/>
    <col min="5899" max="5899" width="4" style="2914" customWidth="1"/>
    <col min="5900" max="5900" width="5.125" style="2914" customWidth="1"/>
    <col min="5901" max="5901" width="13.75" style="2914" customWidth="1"/>
    <col min="5902" max="6144" width="9" style="2914"/>
    <col min="6145" max="6145" width="4.875" style="2914" customWidth="1"/>
    <col min="6146" max="6146" width="13.25" style="2914" customWidth="1"/>
    <col min="6147" max="6147" width="15.625" style="2914" customWidth="1"/>
    <col min="6148" max="6148" width="9.375" style="2914" bestFit="1" customWidth="1"/>
    <col min="6149" max="6149" width="13.5" style="2914" customWidth="1"/>
    <col min="6150" max="6150" width="9" style="2914"/>
    <col min="6151" max="6151" width="9.375" style="2914" bestFit="1" customWidth="1"/>
    <col min="6152" max="6153" width="9" style="2914"/>
    <col min="6154" max="6154" width="9.375" style="2914" bestFit="1" customWidth="1"/>
    <col min="6155" max="6155" width="4" style="2914" customWidth="1"/>
    <col min="6156" max="6156" width="5.125" style="2914" customWidth="1"/>
    <col min="6157" max="6157" width="13.75" style="2914" customWidth="1"/>
    <col min="6158" max="6400" width="9" style="2914"/>
    <col min="6401" max="6401" width="4.875" style="2914" customWidth="1"/>
    <col min="6402" max="6402" width="13.25" style="2914" customWidth="1"/>
    <col min="6403" max="6403" width="15.625" style="2914" customWidth="1"/>
    <col min="6404" max="6404" width="9.375" style="2914" bestFit="1" customWidth="1"/>
    <col min="6405" max="6405" width="13.5" style="2914" customWidth="1"/>
    <col min="6406" max="6406" width="9" style="2914"/>
    <col min="6407" max="6407" width="9.375" style="2914" bestFit="1" customWidth="1"/>
    <col min="6408" max="6409" width="9" style="2914"/>
    <col min="6410" max="6410" width="9.375" style="2914" bestFit="1" customWidth="1"/>
    <col min="6411" max="6411" width="4" style="2914" customWidth="1"/>
    <col min="6412" max="6412" width="5.125" style="2914" customWidth="1"/>
    <col min="6413" max="6413" width="13.75" style="2914" customWidth="1"/>
    <col min="6414" max="6656" width="9" style="2914"/>
    <col min="6657" max="6657" width="4.875" style="2914" customWidth="1"/>
    <col min="6658" max="6658" width="13.25" style="2914" customWidth="1"/>
    <col min="6659" max="6659" width="15.625" style="2914" customWidth="1"/>
    <col min="6660" max="6660" width="9.375" style="2914" bestFit="1" customWidth="1"/>
    <col min="6661" max="6661" width="13.5" style="2914" customWidth="1"/>
    <col min="6662" max="6662" width="9" style="2914"/>
    <col min="6663" max="6663" width="9.375" style="2914" bestFit="1" customWidth="1"/>
    <col min="6664" max="6665" width="9" style="2914"/>
    <col min="6666" max="6666" width="9.375" style="2914" bestFit="1" customWidth="1"/>
    <col min="6667" max="6667" width="4" style="2914" customWidth="1"/>
    <col min="6668" max="6668" width="5.125" style="2914" customWidth="1"/>
    <col min="6669" max="6669" width="13.75" style="2914" customWidth="1"/>
    <col min="6670" max="6912" width="9" style="2914"/>
    <col min="6913" max="6913" width="4.875" style="2914" customWidth="1"/>
    <col min="6914" max="6914" width="13.25" style="2914" customWidth="1"/>
    <col min="6915" max="6915" width="15.625" style="2914" customWidth="1"/>
    <col min="6916" max="6916" width="9.375" style="2914" bestFit="1" customWidth="1"/>
    <col min="6917" max="6917" width="13.5" style="2914" customWidth="1"/>
    <col min="6918" max="6918" width="9" style="2914"/>
    <col min="6919" max="6919" width="9.375" style="2914" bestFit="1" customWidth="1"/>
    <col min="6920" max="6921" width="9" style="2914"/>
    <col min="6922" max="6922" width="9.375" style="2914" bestFit="1" customWidth="1"/>
    <col min="6923" max="6923" width="4" style="2914" customWidth="1"/>
    <col min="6924" max="6924" width="5.125" style="2914" customWidth="1"/>
    <col min="6925" max="6925" width="13.75" style="2914" customWidth="1"/>
    <col min="6926" max="7168" width="9" style="2914"/>
    <col min="7169" max="7169" width="4.875" style="2914" customWidth="1"/>
    <col min="7170" max="7170" width="13.25" style="2914" customWidth="1"/>
    <col min="7171" max="7171" width="15.625" style="2914" customWidth="1"/>
    <col min="7172" max="7172" width="9.375" style="2914" bestFit="1" customWidth="1"/>
    <col min="7173" max="7173" width="13.5" style="2914" customWidth="1"/>
    <col min="7174" max="7174" width="9" style="2914"/>
    <col min="7175" max="7175" width="9.375" style="2914" bestFit="1" customWidth="1"/>
    <col min="7176" max="7177" width="9" style="2914"/>
    <col min="7178" max="7178" width="9.375" style="2914" bestFit="1" customWidth="1"/>
    <col min="7179" max="7179" width="4" style="2914" customWidth="1"/>
    <col min="7180" max="7180" width="5.125" style="2914" customWidth="1"/>
    <col min="7181" max="7181" width="13.75" style="2914" customWidth="1"/>
    <col min="7182" max="7424" width="9" style="2914"/>
    <col min="7425" max="7425" width="4.875" style="2914" customWidth="1"/>
    <col min="7426" max="7426" width="13.25" style="2914" customWidth="1"/>
    <col min="7427" max="7427" width="15.625" style="2914" customWidth="1"/>
    <col min="7428" max="7428" width="9.375" style="2914" bestFit="1" customWidth="1"/>
    <col min="7429" max="7429" width="13.5" style="2914" customWidth="1"/>
    <col min="7430" max="7430" width="9" style="2914"/>
    <col min="7431" max="7431" width="9.375" style="2914" bestFit="1" customWidth="1"/>
    <col min="7432" max="7433" width="9" style="2914"/>
    <col min="7434" max="7434" width="9.375" style="2914" bestFit="1" customWidth="1"/>
    <col min="7435" max="7435" width="4" style="2914" customWidth="1"/>
    <col min="7436" max="7436" width="5.125" style="2914" customWidth="1"/>
    <col min="7437" max="7437" width="13.75" style="2914" customWidth="1"/>
    <col min="7438" max="7680" width="9" style="2914"/>
    <col min="7681" max="7681" width="4.875" style="2914" customWidth="1"/>
    <col min="7682" max="7682" width="13.25" style="2914" customWidth="1"/>
    <col min="7683" max="7683" width="15.625" style="2914" customWidth="1"/>
    <col min="7684" max="7684" width="9.375" style="2914" bestFit="1" customWidth="1"/>
    <col min="7685" max="7685" width="13.5" style="2914" customWidth="1"/>
    <col min="7686" max="7686" width="9" style="2914"/>
    <col min="7687" max="7687" width="9.375" style="2914" bestFit="1" customWidth="1"/>
    <col min="7688" max="7689" width="9" style="2914"/>
    <col min="7690" max="7690" width="9.375" style="2914" bestFit="1" customWidth="1"/>
    <col min="7691" max="7691" width="4" style="2914" customWidth="1"/>
    <col min="7692" max="7692" width="5.125" style="2914" customWidth="1"/>
    <col min="7693" max="7693" width="13.75" style="2914" customWidth="1"/>
    <col min="7694" max="7936" width="9" style="2914"/>
    <col min="7937" max="7937" width="4.875" style="2914" customWidth="1"/>
    <col min="7938" max="7938" width="13.25" style="2914" customWidth="1"/>
    <col min="7939" max="7939" width="15.625" style="2914" customWidth="1"/>
    <col min="7940" max="7940" width="9.375" style="2914" bestFit="1" customWidth="1"/>
    <col min="7941" max="7941" width="13.5" style="2914" customWidth="1"/>
    <col min="7942" max="7942" width="9" style="2914"/>
    <col min="7943" max="7943" width="9.375" style="2914" bestFit="1" customWidth="1"/>
    <col min="7944" max="7945" width="9" style="2914"/>
    <col min="7946" max="7946" width="9.375" style="2914" bestFit="1" customWidth="1"/>
    <col min="7947" max="7947" width="4" style="2914" customWidth="1"/>
    <col min="7948" max="7948" width="5.125" style="2914" customWidth="1"/>
    <col min="7949" max="7949" width="13.75" style="2914" customWidth="1"/>
    <col min="7950" max="8192" width="9" style="2914"/>
    <col min="8193" max="8193" width="4.875" style="2914" customWidth="1"/>
    <col min="8194" max="8194" width="13.25" style="2914" customWidth="1"/>
    <col min="8195" max="8195" width="15.625" style="2914" customWidth="1"/>
    <col min="8196" max="8196" width="9.375" style="2914" bestFit="1" customWidth="1"/>
    <col min="8197" max="8197" width="13.5" style="2914" customWidth="1"/>
    <col min="8198" max="8198" width="9" style="2914"/>
    <col min="8199" max="8199" width="9.375" style="2914" bestFit="1" customWidth="1"/>
    <col min="8200" max="8201" width="9" style="2914"/>
    <col min="8202" max="8202" width="9.375" style="2914" bestFit="1" customWidth="1"/>
    <col min="8203" max="8203" width="4" style="2914" customWidth="1"/>
    <col min="8204" max="8204" width="5.125" style="2914" customWidth="1"/>
    <col min="8205" max="8205" width="13.75" style="2914" customWidth="1"/>
    <col min="8206" max="8448" width="9" style="2914"/>
    <col min="8449" max="8449" width="4.875" style="2914" customWidth="1"/>
    <col min="8450" max="8450" width="13.25" style="2914" customWidth="1"/>
    <col min="8451" max="8451" width="15.625" style="2914" customWidth="1"/>
    <col min="8452" max="8452" width="9.375" style="2914" bestFit="1" customWidth="1"/>
    <col min="8453" max="8453" width="13.5" style="2914" customWidth="1"/>
    <col min="8454" max="8454" width="9" style="2914"/>
    <col min="8455" max="8455" width="9.375" style="2914" bestFit="1" customWidth="1"/>
    <col min="8456" max="8457" width="9" style="2914"/>
    <col min="8458" max="8458" width="9.375" style="2914" bestFit="1" customWidth="1"/>
    <col min="8459" max="8459" width="4" style="2914" customWidth="1"/>
    <col min="8460" max="8460" width="5.125" style="2914" customWidth="1"/>
    <col min="8461" max="8461" width="13.75" style="2914" customWidth="1"/>
    <col min="8462" max="8704" width="9" style="2914"/>
    <col min="8705" max="8705" width="4.875" style="2914" customWidth="1"/>
    <col min="8706" max="8706" width="13.25" style="2914" customWidth="1"/>
    <col min="8707" max="8707" width="15.625" style="2914" customWidth="1"/>
    <col min="8708" max="8708" width="9.375" style="2914" bestFit="1" customWidth="1"/>
    <col min="8709" max="8709" width="13.5" style="2914" customWidth="1"/>
    <col min="8710" max="8710" width="9" style="2914"/>
    <col min="8711" max="8711" width="9.375" style="2914" bestFit="1" customWidth="1"/>
    <col min="8712" max="8713" width="9" style="2914"/>
    <col min="8714" max="8714" width="9.375" style="2914" bestFit="1" customWidth="1"/>
    <col min="8715" max="8715" width="4" style="2914" customWidth="1"/>
    <col min="8716" max="8716" width="5.125" style="2914" customWidth="1"/>
    <col min="8717" max="8717" width="13.75" style="2914" customWidth="1"/>
    <col min="8718" max="8960" width="9" style="2914"/>
    <col min="8961" max="8961" width="4.875" style="2914" customWidth="1"/>
    <col min="8962" max="8962" width="13.25" style="2914" customWidth="1"/>
    <col min="8963" max="8963" width="15.625" style="2914" customWidth="1"/>
    <col min="8964" max="8964" width="9.375" style="2914" bestFit="1" customWidth="1"/>
    <col min="8965" max="8965" width="13.5" style="2914" customWidth="1"/>
    <col min="8966" max="8966" width="9" style="2914"/>
    <col min="8967" max="8967" width="9.375" style="2914" bestFit="1" customWidth="1"/>
    <col min="8968" max="8969" width="9" style="2914"/>
    <col min="8970" max="8970" width="9.375" style="2914" bestFit="1" customWidth="1"/>
    <col min="8971" max="8971" width="4" style="2914" customWidth="1"/>
    <col min="8972" max="8972" width="5.125" style="2914" customWidth="1"/>
    <col min="8973" max="8973" width="13.75" style="2914" customWidth="1"/>
    <col min="8974" max="9216" width="9" style="2914"/>
    <col min="9217" max="9217" width="4.875" style="2914" customWidth="1"/>
    <col min="9218" max="9218" width="13.25" style="2914" customWidth="1"/>
    <col min="9219" max="9219" width="15.625" style="2914" customWidth="1"/>
    <col min="9220" max="9220" width="9.375" style="2914" bestFit="1" customWidth="1"/>
    <col min="9221" max="9221" width="13.5" style="2914" customWidth="1"/>
    <col min="9222" max="9222" width="9" style="2914"/>
    <col min="9223" max="9223" width="9.375" style="2914" bestFit="1" customWidth="1"/>
    <col min="9224" max="9225" width="9" style="2914"/>
    <col min="9226" max="9226" width="9.375" style="2914" bestFit="1" customWidth="1"/>
    <col min="9227" max="9227" width="4" style="2914" customWidth="1"/>
    <col min="9228" max="9228" width="5.125" style="2914" customWidth="1"/>
    <col min="9229" max="9229" width="13.75" style="2914" customWidth="1"/>
    <col min="9230" max="9472" width="9" style="2914"/>
    <col min="9473" max="9473" width="4.875" style="2914" customWidth="1"/>
    <col min="9474" max="9474" width="13.25" style="2914" customWidth="1"/>
    <col min="9475" max="9475" width="15.625" style="2914" customWidth="1"/>
    <col min="9476" max="9476" width="9.375" style="2914" bestFit="1" customWidth="1"/>
    <col min="9477" max="9477" width="13.5" style="2914" customWidth="1"/>
    <col min="9478" max="9478" width="9" style="2914"/>
    <col min="9479" max="9479" width="9.375" style="2914" bestFit="1" customWidth="1"/>
    <col min="9480" max="9481" width="9" style="2914"/>
    <col min="9482" max="9482" width="9.375" style="2914" bestFit="1" customWidth="1"/>
    <col min="9483" max="9483" width="4" style="2914" customWidth="1"/>
    <col min="9484" max="9484" width="5.125" style="2914" customWidth="1"/>
    <col min="9485" max="9485" width="13.75" style="2914" customWidth="1"/>
    <col min="9486" max="9728" width="9" style="2914"/>
    <col min="9729" max="9729" width="4.875" style="2914" customWidth="1"/>
    <col min="9730" max="9730" width="13.25" style="2914" customWidth="1"/>
    <col min="9731" max="9731" width="15.625" style="2914" customWidth="1"/>
    <col min="9732" max="9732" width="9.375" style="2914" bestFit="1" customWidth="1"/>
    <col min="9733" max="9733" width="13.5" style="2914" customWidth="1"/>
    <col min="9734" max="9734" width="9" style="2914"/>
    <col min="9735" max="9735" width="9.375" style="2914" bestFit="1" customWidth="1"/>
    <col min="9736" max="9737" width="9" style="2914"/>
    <col min="9738" max="9738" width="9.375" style="2914" bestFit="1" customWidth="1"/>
    <col min="9739" max="9739" width="4" style="2914" customWidth="1"/>
    <col min="9740" max="9740" width="5.125" style="2914" customWidth="1"/>
    <col min="9741" max="9741" width="13.75" style="2914" customWidth="1"/>
    <col min="9742" max="9984" width="9" style="2914"/>
    <col min="9985" max="9985" width="4.875" style="2914" customWidth="1"/>
    <col min="9986" max="9986" width="13.25" style="2914" customWidth="1"/>
    <col min="9987" max="9987" width="15.625" style="2914" customWidth="1"/>
    <col min="9988" max="9988" width="9.375" style="2914" bestFit="1" customWidth="1"/>
    <col min="9989" max="9989" width="13.5" style="2914" customWidth="1"/>
    <col min="9990" max="9990" width="9" style="2914"/>
    <col min="9991" max="9991" width="9.375" style="2914" bestFit="1" customWidth="1"/>
    <col min="9992" max="9993" width="9" style="2914"/>
    <col min="9994" max="9994" width="9.375" style="2914" bestFit="1" customWidth="1"/>
    <col min="9995" max="9995" width="4" style="2914" customWidth="1"/>
    <col min="9996" max="9996" width="5.125" style="2914" customWidth="1"/>
    <col min="9997" max="9997" width="13.75" style="2914" customWidth="1"/>
    <col min="9998" max="10240" width="9" style="2914"/>
    <col min="10241" max="10241" width="4.875" style="2914" customWidth="1"/>
    <col min="10242" max="10242" width="13.25" style="2914" customWidth="1"/>
    <col min="10243" max="10243" width="15.625" style="2914" customWidth="1"/>
    <col min="10244" max="10244" width="9.375" style="2914" bestFit="1" customWidth="1"/>
    <col min="10245" max="10245" width="13.5" style="2914" customWidth="1"/>
    <col min="10246" max="10246" width="9" style="2914"/>
    <col min="10247" max="10247" width="9.375" style="2914" bestFit="1" customWidth="1"/>
    <col min="10248" max="10249" width="9" style="2914"/>
    <col min="10250" max="10250" width="9.375" style="2914" bestFit="1" customWidth="1"/>
    <col min="10251" max="10251" width="4" style="2914" customWidth="1"/>
    <col min="10252" max="10252" width="5.125" style="2914" customWidth="1"/>
    <col min="10253" max="10253" width="13.75" style="2914" customWidth="1"/>
    <col min="10254" max="10496" width="9" style="2914"/>
    <col min="10497" max="10497" width="4.875" style="2914" customWidth="1"/>
    <col min="10498" max="10498" width="13.25" style="2914" customWidth="1"/>
    <col min="10499" max="10499" width="15.625" style="2914" customWidth="1"/>
    <col min="10500" max="10500" width="9.375" style="2914" bestFit="1" customWidth="1"/>
    <col min="10501" max="10501" width="13.5" style="2914" customWidth="1"/>
    <col min="10502" max="10502" width="9" style="2914"/>
    <col min="10503" max="10503" width="9.375" style="2914" bestFit="1" customWidth="1"/>
    <col min="10504" max="10505" width="9" style="2914"/>
    <col min="10506" max="10506" width="9.375" style="2914" bestFit="1" customWidth="1"/>
    <col min="10507" max="10507" width="4" style="2914" customWidth="1"/>
    <col min="10508" max="10508" width="5.125" style="2914" customWidth="1"/>
    <col min="10509" max="10509" width="13.75" style="2914" customWidth="1"/>
    <col min="10510" max="10752" width="9" style="2914"/>
    <col min="10753" max="10753" width="4.875" style="2914" customWidth="1"/>
    <col min="10754" max="10754" width="13.25" style="2914" customWidth="1"/>
    <col min="10755" max="10755" width="15.625" style="2914" customWidth="1"/>
    <col min="10756" max="10756" width="9.375" style="2914" bestFit="1" customWidth="1"/>
    <col min="10757" max="10757" width="13.5" style="2914" customWidth="1"/>
    <col min="10758" max="10758" width="9" style="2914"/>
    <col min="10759" max="10759" width="9.375" style="2914" bestFit="1" customWidth="1"/>
    <col min="10760" max="10761" width="9" style="2914"/>
    <col min="10762" max="10762" width="9.375" style="2914" bestFit="1" customWidth="1"/>
    <col min="10763" max="10763" width="4" style="2914" customWidth="1"/>
    <col min="10764" max="10764" width="5.125" style="2914" customWidth="1"/>
    <col min="10765" max="10765" width="13.75" style="2914" customWidth="1"/>
    <col min="10766" max="11008" width="9" style="2914"/>
    <col min="11009" max="11009" width="4.875" style="2914" customWidth="1"/>
    <col min="11010" max="11010" width="13.25" style="2914" customWidth="1"/>
    <col min="11011" max="11011" width="15.625" style="2914" customWidth="1"/>
    <col min="11012" max="11012" width="9.375" style="2914" bestFit="1" customWidth="1"/>
    <col min="11013" max="11013" width="13.5" style="2914" customWidth="1"/>
    <col min="11014" max="11014" width="9" style="2914"/>
    <col min="11015" max="11015" width="9.375" style="2914" bestFit="1" customWidth="1"/>
    <col min="11016" max="11017" width="9" style="2914"/>
    <col min="11018" max="11018" width="9.375" style="2914" bestFit="1" customWidth="1"/>
    <col min="11019" max="11019" width="4" style="2914" customWidth="1"/>
    <col min="11020" max="11020" width="5.125" style="2914" customWidth="1"/>
    <col min="11021" max="11021" width="13.75" style="2914" customWidth="1"/>
    <col min="11022" max="11264" width="9" style="2914"/>
    <col min="11265" max="11265" width="4.875" style="2914" customWidth="1"/>
    <col min="11266" max="11266" width="13.25" style="2914" customWidth="1"/>
    <col min="11267" max="11267" width="15.625" style="2914" customWidth="1"/>
    <col min="11268" max="11268" width="9.375" style="2914" bestFit="1" customWidth="1"/>
    <col min="11269" max="11269" width="13.5" style="2914" customWidth="1"/>
    <col min="11270" max="11270" width="9" style="2914"/>
    <col min="11271" max="11271" width="9.375" style="2914" bestFit="1" customWidth="1"/>
    <col min="11272" max="11273" width="9" style="2914"/>
    <col min="11274" max="11274" width="9.375" style="2914" bestFit="1" customWidth="1"/>
    <col min="11275" max="11275" width="4" style="2914" customWidth="1"/>
    <col min="11276" max="11276" width="5.125" style="2914" customWidth="1"/>
    <col min="11277" max="11277" width="13.75" style="2914" customWidth="1"/>
    <col min="11278" max="11520" width="9" style="2914"/>
    <col min="11521" max="11521" width="4.875" style="2914" customWidth="1"/>
    <col min="11522" max="11522" width="13.25" style="2914" customWidth="1"/>
    <col min="11523" max="11523" width="15.625" style="2914" customWidth="1"/>
    <col min="11524" max="11524" width="9.375" style="2914" bestFit="1" customWidth="1"/>
    <col min="11525" max="11525" width="13.5" style="2914" customWidth="1"/>
    <col min="11526" max="11526" width="9" style="2914"/>
    <col min="11527" max="11527" width="9.375" style="2914" bestFit="1" customWidth="1"/>
    <col min="11528" max="11529" width="9" style="2914"/>
    <col min="11530" max="11530" width="9.375" style="2914" bestFit="1" customWidth="1"/>
    <col min="11531" max="11531" width="4" style="2914" customWidth="1"/>
    <col min="11532" max="11532" width="5.125" style="2914" customWidth="1"/>
    <col min="11533" max="11533" width="13.75" style="2914" customWidth="1"/>
    <col min="11534" max="11776" width="9" style="2914"/>
    <col min="11777" max="11777" width="4.875" style="2914" customWidth="1"/>
    <col min="11778" max="11778" width="13.25" style="2914" customWidth="1"/>
    <col min="11779" max="11779" width="15.625" style="2914" customWidth="1"/>
    <col min="11780" max="11780" width="9.375" style="2914" bestFit="1" customWidth="1"/>
    <col min="11781" max="11781" width="13.5" style="2914" customWidth="1"/>
    <col min="11782" max="11782" width="9" style="2914"/>
    <col min="11783" max="11783" width="9.375" style="2914" bestFit="1" customWidth="1"/>
    <col min="11784" max="11785" width="9" style="2914"/>
    <col min="11786" max="11786" width="9.375" style="2914" bestFit="1" customWidth="1"/>
    <col min="11787" max="11787" width="4" style="2914" customWidth="1"/>
    <col min="11788" max="11788" width="5.125" style="2914" customWidth="1"/>
    <col min="11789" max="11789" width="13.75" style="2914" customWidth="1"/>
    <col min="11790" max="12032" width="9" style="2914"/>
    <col min="12033" max="12033" width="4.875" style="2914" customWidth="1"/>
    <col min="12034" max="12034" width="13.25" style="2914" customWidth="1"/>
    <col min="12035" max="12035" width="15.625" style="2914" customWidth="1"/>
    <col min="12036" max="12036" width="9.375" style="2914" bestFit="1" customWidth="1"/>
    <col min="12037" max="12037" width="13.5" style="2914" customWidth="1"/>
    <col min="12038" max="12038" width="9" style="2914"/>
    <col min="12039" max="12039" width="9.375" style="2914" bestFit="1" customWidth="1"/>
    <col min="12040" max="12041" width="9" style="2914"/>
    <col min="12042" max="12042" width="9.375" style="2914" bestFit="1" customWidth="1"/>
    <col min="12043" max="12043" width="4" style="2914" customWidth="1"/>
    <col min="12044" max="12044" width="5.125" style="2914" customWidth="1"/>
    <col min="12045" max="12045" width="13.75" style="2914" customWidth="1"/>
    <col min="12046" max="12288" width="9" style="2914"/>
    <col min="12289" max="12289" width="4.875" style="2914" customWidth="1"/>
    <col min="12290" max="12290" width="13.25" style="2914" customWidth="1"/>
    <col min="12291" max="12291" width="15.625" style="2914" customWidth="1"/>
    <col min="12292" max="12292" width="9.375" style="2914" bestFit="1" customWidth="1"/>
    <col min="12293" max="12293" width="13.5" style="2914" customWidth="1"/>
    <col min="12294" max="12294" width="9" style="2914"/>
    <col min="12295" max="12295" width="9.375" style="2914" bestFit="1" customWidth="1"/>
    <col min="12296" max="12297" width="9" style="2914"/>
    <col min="12298" max="12298" width="9.375" style="2914" bestFit="1" customWidth="1"/>
    <col min="12299" max="12299" width="4" style="2914" customWidth="1"/>
    <col min="12300" max="12300" width="5.125" style="2914" customWidth="1"/>
    <col min="12301" max="12301" width="13.75" style="2914" customWidth="1"/>
    <col min="12302" max="12544" width="9" style="2914"/>
    <col min="12545" max="12545" width="4.875" style="2914" customWidth="1"/>
    <col min="12546" max="12546" width="13.25" style="2914" customWidth="1"/>
    <col min="12547" max="12547" width="15.625" style="2914" customWidth="1"/>
    <col min="12548" max="12548" width="9.375" style="2914" bestFit="1" customWidth="1"/>
    <col min="12549" max="12549" width="13.5" style="2914" customWidth="1"/>
    <col min="12550" max="12550" width="9" style="2914"/>
    <col min="12551" max="12551" width="9.375" style="2914" bestFit="1" customWidth="1"/>
    <col min="12552" max="12553" width="9" style="2914"/>
    <col min="12554" max="12554" width="9.375" style="2914" bestFit="1" customWidth="1"/>
    <col min="12555" max="12555" width="4" style="2914" customWidth="1"/>
    <col min="12556" max="12556" width="5.125" style="2914" customWidth="1"/>
    <col min="12557" max="12557" width="13.75" style="2914" customWidth="1"/>
    <col min="12558" max="12800" width="9" style="2914"/>
    <col min="12801" max="12801" width="4.875" style="2914" customWidth="1"/>
    <col min="12802" max="12802" width="13.25" style="2914" customWidth="1"/>
    <col min="12803" max="12803" width="15.625" style="2914" customWidth="1"/>
    <col min="12804" max="12804" width="9.375" style="2914" bestFit="1" customWidth="1"/>
    <col min="12805" max="12805" width="13.5" style="2914" customWidth="1"/>
    <col min="12806" max="12806" width="9" style="2914"/>
    <col min="12807" max="12807" width="9.375" style="2914" bestFit="1" customWidth="1"/>
    <col min="12808" max="12809" width="9" style="2914"/>
    <col min="12810" max="12810" width="9.375" style="2914" bestFit="1" customWidth="1"/>
    <col min="12811" max="12811" width="4" style="2914" customWidth="1"/>
    <col min="12812" max="12812" width="5.125" style="2914" customWidth="1"/>
    <col min="12813" max="12813" width="13.75" style="2914" customWidth="1"/>
    <col min="12814" max="13056" width="9" style="2914"/>
    <col min="13057" max="13057" width="4.875" style="2914" customWidth="1"/>
    <col min="13058" max="13058" width="13.25" style="2914" customWidth="1"/>
    <col min="13059" max="13059" width="15.625" style="2914" customWidth="1"/>
    <col min="13060" max="13060" width="9.375" style="2914" bestFit="1" customWidth="1"/>
    <col min="13061" max="13061" width="13.5" style="2914" customWidth="1"/>
    <col min="13062" max="13062" width="9" style="2914"/>
    <col min="13063" max="13063" width="9.375" style="2914" bestFit="1" customWidth="1"/>
    <col min="13064" max="13065" width="9" style="2914"/>
    <col min="13066" max="13066" width="9.375" style="2914" bestFit="1" customWidth="1"/>
    <col min="13067" max="13067" width="4" style="2914" customWidth="1"/>
    <col min="13068" max="13068" width="5.125" style="2914" customWidth="1"/>
    <col min="13069" max="13069" width="13.75" style="2914" customWidth="1"/>
    <col min="13070" max="13312" width="9" style="2914"/>
    <col min="13313" max="13313" width="4.875" style="2914" customWidth="1"/>
    <col min="13314" max="13314" width="13.25" style="2914" customWidth="1"/>
    <col min="13315" max="13315" width="15.625" style="2914" customWidth="1"/>
    <col min="13316" max="13316" width="9.375" style="2914" bestFit="1" customWidth="1"/>
    <col min="13317" max="13317" width="13.5" style="2914" customWidth="1"/>
    <col min="13318" max="13318" width="9" style="2914"/>
    <col min="13319" max="13319" width="9.375" style="2914" bestFit="1" customWidth="1"/>
    <col min="13320" max="13321" width="9" style="2914"/>
    <col min="13322" max="13322" width="9.375" style="2914" bestFit="1" customWidth="1"/>
    <col min="13323" max="13323" width="4" style="2914" customWidth="1"/>
    <col min="13324" max="13324" width="5.125" style="2914" customWidth="1"/>
    <col min="13325" max="13325" width="13.75" style="2914" customWidth="1"/>
    <col min="13326" max="13568" width="9" style="2914"/>
    <col min="13569" max="13569" width="4.875" style="2914" customWidth="1"/>
    <col min="13570" max="13570" width="13.25" style="2914" customWidth="1"/>
    <col min="13571" max="13571" width="15.625" style="2914" customWidth="1"/>
    <col min="13572" max="13572" width="9.375" style="2914" bestFit="1" customWidth="1"/>
    <col min="13573" max="13573" width="13.5" style="2914" customWidth="1"/>
    <col min="13574" max="13574" width="9" style="2914"/>
    <col min="13575" max="13575" width="9.375" style="2914" bestFit="1" customWidth="1"/>
    <col min="13576" max="13577" width="9" style="2914"/>
    <col min="13578" max="13578" width="9.375" style="2914" bestFit="1" customWidth="1"/>
    <col min="13579" max="13579" width="4" style="2914" customWidth="1"/>
    <col min="13580" max="13580" width="5.125" style="2914" customWidth="1"/>
    <col min="13581" max="13581" width="13.75" style="2914" customWidth="1"/>
    <col min="13582" max="13824" width="9" style="2914"/>
    <col min="13825" max="13825" width="4.875" style="2914" customWidth="1"/>
    <col min="13826" max="13826" width="13.25" style="2914" customWidth="1"/>
    <col min="13827" max="13827" width="15.625" style="2914" customWidth="1"/>
    <col min="13828" max="13828" width="9.375" style="2914" bestFit="1" customWidth="1"/>
    <col min="13829" max="13829" width="13.5" style="2914" customWidth="1"/>
    <col min="13830" max="13830" width="9" style="2914"/>
    <col min="13831" max="13831" width="9.375" style="2914" bestFit="1" customWidth="1"/>
    <col min="13832" max="13833" width="9" style="2914"/>
    <col min="13834" max="13834" width="9.375" style="2914" bestFit="1" customWidth="1"/>
    <col min="13835" max="13835" width="4" style="2914" customWidth="1"/>
    <col min="13836" max="13836" width="5.125" style="2914" customWidth="1"/>
    <col min="13837" max="13837" width="13.75" style="2914" customWidth="1"/>
    <col min="13838" max="14080" width="9" style="2914"/>
    <col min="14081" max="14081" width="4.875" style="2914" customWidth="1"/>
    <col min="14082" max="14082" width="13.25" style="2914" customWidth="1"/>
    <col min="14083" max="14083" width="15.625" style="2914" customWidth="1"/>
    <col min="14084" max="14084" width="9.375" style="2914" bestFit="1" customWidth="1"/>
    <col min="14085" max="14085" width="13.5" style="2914" customWidth="1"/>
    <col min="14086" max="14086" width="9" style="2914"/>
    <col min="14087" max="14087" width="9.375" style="2914" bestFit="1" customWidth="1"/>
    <col min="14088" max="14089" width="9" style="2914"/>
    <col min="14090" max="14090" width="9.375" style="2914" bestFit="1" customWidth="1"/>
    <col min="14091" max="14091" width="4" style="2914" customWidth="1"/>
    <col min="14092" max="14092" width="5.125" style="2914" customWidth="1"/>
    <col min="14093" max="14093" width="13.75" style="2914" customWidth="1"/>
    <col min="14094" max="14336" width="9" style="2914"/>
    <col min="14337" max="14337" width="4.875" style="2914" customWidth="1"/>
    <col min="14338" max="14338" width="13.25" style="2914" customWidth="1"/>
    <col min="14339" max="14339" width="15.625" style="2914" customWidth="1"/>
    <col min="14340" max="14340" width="9.375" style="2914" bestFit="1" customWidth="1"/>
    <col min="14341" max="14341" width="13.5" style="2914" customWidth="1"/>
    <col min="14342" max="14342" width="9" style="2914"/>
    <col min="14343" max="14343" width="9.375" style="2914" bestFit="1" customWidth="1"/>
    <col min="14344" max="14345" width="9" style="2914"/>
    <col min="14346" max="14346" width="9.375" style="2914" bestFit="1" customWidth="1"/>
    <col min="14347" max="14347" width="4" style="2914" customWidth="1"/>
    <col min="14348" max="14348" width="5.125" style="2914" customWidth="1"/>
    <col min="14349" max="14349" width="13.75" style="2914" customWidth="1"/>
    <col min="14350" max="14592" width="9" style="2914"/>
    <col min="14593" max="14593" width="4.875" style="2914" customWidth="1"/>
    <col min="14594" max="14594" width="13.25" style="2914" customWidth="1"/>
    <col min="14595" max="14595" width="15.625" style="2914" customWidth="1"/>
    <col min="14596" max="14596" width="9.375" style="2914" bestFit="1" customWidth="1"/>
    <col min="14597" max="14597" width="13.5" style="2914" customWidth="1"/>
    <col min="14598" max="14598" width="9" style="2914"/>
    <col min="14599" max="14599" width="9.375" style="2914" bestFit="1" customWidth="1"/>
    <col min="14600" max="14601" width="9" style="2914"/>
    <col min="14602" max="14602" width="9.375" style="2914" bestFit="1" customWidth="1"/>
    <col min="14603" max="14603" width="4" style="2914" customWidth="1"/>
    <col min="14604" max="14604" width="5.125" style="2914" customWidth="1"/>
    <col min="14605" max="14605" width="13.75" style="2914" customWidth="1"/>
    <col min="14606" max="14848" width="9" style="2914"/>
    <col min="14849" max="14849" width="4.875" style="2914" customWidth="1"/>
    <col min="14850" max="14850" width="13.25" style="2914" customWidth="1"/>
    <col min="14851" max="14851" width="15.625" style="2914" customWidth="1"/>
    <col min="14852" max="14852" width="9.375" style="2914" bestFit="1" customWidth="1"/>
    <col min="14853" max="14853" width="13.5" style="2914" customWidth="1"/>
    <col min="14854" max="14854" width="9" style="2914"/>
    <col min="14855" max="14855" width="9.375" style="2914" bestFit="1" customWidth="1"/>
    <col min="14856" max="14857" width="9" style="2914"/>
    <col min="14858" max="14858" width="9.375" style="2914" bestFit="1" customWidth="1"/>
    <col min="14859" max="14859" width="4" style="2914" customWidth="1"/>
    <col min="14860" max="14860" width="5.125" style="2914" customWidth="1"/>
    <col min="14861" max="14861" width="13.75" style="2914" customWidth="1"/>
    <col min="14862" max="15104" width="9" style="2914"/>
    <col min="15105" max="15105" width="4.875" style="2914" customWidth="1"/>
    <col min="15106" max="15106" width="13.25" style="2914" customWidth="1"/>
    <col min="15107" max="15107" width="15.625" style="2914" customWidth="1"/>
    <col min="15108" max="15108" width="9.375" style="2914" bestFit="1" customWidth="1"/>
    <col min="15109" max="15109" width="13.5" style="2914" customWidth="1"/>
    <col min="15110" max="15110" width="9" style="2914"/>
    <col min="15111" max="15111" width="9.375" style="2914" bestFit="1" customWidth="1"/>
    <col min="15112" max="15113" width="9" style="2914"/>
    <col min="15114" max="15114" width="9.375" style="2914" bestFit="1" customWidth="1"/>
    <col min="15115" max="15115" width="4" style="2914" customWidth="1"/>
    <col min="15116" max="15116" width="5.125" style="2914" customWidth="1"/>
    <col min="15117" max="15117" width="13.75" style="2914" customWidth="1"/>
    <col min="15118" max="15360" width="9" style="2914"/>
    <col min="15361" max="15361" width="4.875" style="2914" customWidth="1"/>
    <col min="15362" max="15362" width="13.25" style="2914" customWidth="1"/>
    <col min="15363" max="15363" width="15.625" style="2914" customWidth="1"/>
    <col min="15364" max="15364" width="9.375" style="2914" bestFit="1" customWidth="1"/>
    <col min="15365" max="15365" width="13.5" style="2914" customWidth="1"/>
    <col min="15366" max="15366" width="9" style="2914"/>
    <col min="15367" max="15367" width="9.375" style="2914" bestFit="1" customWidth="1"/>
    <col min="15368" max="15369" width="9" style="2914"/>
    <col min="15370" max="15370" width="9.375" style="2914" bestFit="1" customWidth="1"/>
    <col min="15371" max="15371" width="4" style="2914" customWidth="1"/>
    <col min="15372" max="15372" width="5.125" style="2914" customWidth="1"/>
    <col min="15373" max="15373" width="13.75" style="2914" customWidth="1"/>
    <col min="15374" max="15616" width="9" style="2914"/>
    <col min="15617" max="15617" width="4.875" style="2914" customWidth="1"/>
    <col min="15618" max="15618" width="13.25" style="2914" customWidth="1"/>
    <col min="15619" max="15619" width="15.625" style="2914" customWidth="1"/>
    <col min="15620" max="15620" width="9.375" style="2914" bestFit="1" customWidth="1"/>
    <col min="15621" max="15621" width="13.5" style="2914" customWidth="1"/>
    <col min="15622" max="15622" width="9" style="2914"/>
    <col min="15623" max="15623" width="9.375" style="2914" bestFit="1" customWidth="1"/>
    <col min="15624" max="15625" width="9" style="2914"/>
    <col min="15626" max="15626" width="9.375" style="2914" bestFit="1" customWidth="1"/>
    <col min="15627" max="15627" width="4" style="2914" customWidth="1"/>
    <col min="15628" max="15628" width="5.125" style="2914" customWidth="1"/>
    <col min="15629" max="15629" width="13.75" style="2914" customWidth="1"/>
    <col min="15630" max="15872" width="9" style="2914"/>
    <col min="15873" max="15873" width="4.875" style="2914" customWidth="1"/>
    <col min="15874" max="15874" width="13.25" style="2914" customWidth="1"/>
    <col min="15875" max="15875" width="15.625" style="2914" customWidth="1"/>
    <col min="15876" max="15876" width="9.375" style="2914" bestFit="1" customWidth="1"/>
    <col min="15877" max="15877" width="13.5" style="2914" customWidth="1"/>
    <col min="15878" max="15878" width="9" style="2914"/>
    <col min="15879" max="15879" width="9.375" style="2914" bestFit="1" customWidth="1"/>
    <col min="15880" max="15881" width="9" style="2914"/>
    <col min="15882" max="15882" width="9.375" style="2914" bestFit="1" customWidth="1"/>
    <col min="15883" max="15883" width="4" style="2914" customWidth="1"/>
    <col min="15884" max="15884" width="5.125" style="2914" customWidth="1"/>
    <col min="15885" max="15885" width="13.75" style="2914" customWidth="1"/>
    <col min="15886" max="16128" width="9" style="2914"/>
    <col min="16129" max="16129" width="4.875" style="2914" customWidth="1"/>
    <col min="16130" max="16130" width="13.25" style="2914" customWidth="1"/>
    <col min="16131" max="16131" width="15.625" style="2914" customWidth="1"/>
    <col min="16132" max="16132" width="9.375" style="2914" bestFit="1" customWidth="1"/>
    <col min="16133" max="16133" width="13.5" style="2914" customWidth="1"/>
    <col min="16134" max="16134" width="9" style="2914"/>
    <col min="16135" max="16135" width="9.375" style="2914" bestFit="1" customWidth="1"/>
    <col min="16136" max="16137" width="9" style="2914"/>
    <col min="16138" max="16138" width="9.375" style="2914" bestFit="1" customWidth="1"/>
    <col min="16139" max="16139" width="4" style="2914" customWidth="1"/>
    <col min="16140" max="16140" width="5.125" style="2914" customWidth="1"/>
    <col min="16141" max="16141" width="13.75" style="2914" customWidth="1"/>
    <col min="16142" max="16384" width="9" style="2914"/>
  </cols>
  <sheetData>
    <row r="1" spans="1:257" s="2974" customFormat="1" ht="14.25" thickBot="1">
      <c r="A1" s="2973"/>
      <c r="B1" s="2975" t="s">
        <v>2787</v>
      </c>
      <c r="C1" s="2979">
        <f>项目基本情况!D3</f>
        <v>43510</v>
      </c>
      <c r="H1" s="2913">
        <f>IF(C1&gt;C13,0,MATCH(C1,C$13:C$100,-1))+IF(SUMIF(C13:C100,C1,D13:D100)=0,13,12)</f>
        <v>13</v>
      </c>
      <c r="I1" s="2913">
        <f>MATCH(C2,H3:H7,1)+IF(SUMIF(H3:H7,C2,I3:I7)=0,2,1)</f>
        <v>5</v>
      </c>
      <c r="J1" s="2972">
        <f ca="1">MATCH(C3,H3:H7,1)+IF(SUMIF(H3:H7,C3,J3:J7)=0,2,1)</f>
        <v>2</v>
      </c>
      <c r="N1" s="2913">
        <f>IF(C1&gt;M13,0,MATCH(C1,M$13:M$100,-1))+IF(SUMIF(M13:M100,C1,N13:N100)=0,13,12)</f>
        <v>13</v>
      </c>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c r="BU1" s="2973"/>
      <c r="BV1" s="2973"/>
      <c r="BW1" s="2973"/>
      <c r="BX1" s="2973"/>
      <c r="BY1" s="2973"/>
      <c r="BZ1" s="2973"/>
      <c r="CA1" s="2973"/>
      <c r="CB1" s="2973"/>
      <c r="CC1" s="2973"/>
      <c r="CD1" s="2973"/>
      <c r="CE1" s="2973"/>
      <c r="CF1" s="2973"/>
      <c r="CG1" s="2973"/>
      <c r="CH1" s="2973"/>
      <c r="CI1" s="2973"/>
      <c r="CJ1" s="2973"/>
      <c r="CK1" s="2973"/>
      <c r="CL1" s="2973"/>
      <c r="CM1" s="2973"/>
      <c r="CN1" s="2973"/>
      <c r="CO1" s="2973"/>
      <c r="CP1" s="2973"/>
      <c r="CQ1" s="2973"/>
      <c r="CR1" s="2973"/>
      <c r="CS1" s="2973"/>
      <c r="CT1" s="2973"/>
      <c r="CU1" s="2973"/>
      <c r="CV1" s="2973"/>
      <c r="CW1" s="2973"/>
      <c r="CX1" s="2973"/>
      <c r="CY1" s="2973"/>
      <c r="CZ1" s="2973"/>
      <c r="DA1" s="2973"/>
      <c r="DB1" s="2973"/>
      <c r="DC1" s="2973"/>
      <c r="DD1" s="2973"/>
      <c r="DE1" s="2973"/>
      <c r="DF1" s="2973"/>
      <c r="DG1" s="2973"/>
      <c r="DH1" s="2973"/>
      <c r="DI1" s="2973"/>
      <c r="DJ1" s="2973"/>
      <c r="DK1" s="2973"/>
      <c r="DL1" s="2973"/>
      <c r="DM1" s="2973"/>
      <c r="DN1" s="2973"/>
      <c r="DO1" s="2973"/>
      <c r="DP1" s="2973"/>
      <c r="DQ1" s="2973"/>
      <c r="DR1" s="2973"/>
      <c r="DS1" s="2973"/>
      <c r="DT1" s="2973"/>
      <c r="DU1" s="2973"/>
      <c r="DV1" s="2973"/>
      <c r="DW1" s="2973"/>
      <c r="DX1" s="2973"/>
      <c r="DY1" s="2973"/>
      <c r="DZ1" s="2973"/>
      <c r="EA1" s="2973"/>
      <c r="EB1" s="2973"/>
      <c r="EC1" s="2973"/>
      <c r="ED1" s="2973"/>
      <c r="EE1" s="2973"/>
      <c r="EF1" s="2973"/>
      <c r="EG1" s="2973"/>
      <c r="EH1" s="2973"/>
      <c r="EI1" s="2973"/>
      <c r="EJ1" s="2973"/>
      <c r="EK1" s="2973"/>
      <c r="EL1" s="2973"/>
      <c r="EM1" s="2973"/>
      <c r="EN1" s="2973"/>
      <c r="EO1" s="2973"/>
      <c r="EP1" s="2973"/>
      <c r="EQ1" s="2973"/>
      <c r="ER1" s="2973"/>
      <c r="ES1" s="2973"/>
      <c r="ET1" s="2973"/>
      <c r="EU1" s="2973"/>
      <c r="EV1" s="2973"/>
      <c r="EW1" s="2973"/>
      <c r="EX1" s="2973"/>
      <c r="EY1" s="2973"/>
      <c r="EZ1" s="2973"/>
      <c r="FA1" s="2973"/>
      <c r="FB1" s="2973"/>
      <c r="FC1" s="2973"/>
      <c r="FD1" s="2973"/>
      <c r="FE1" s="2973"/>
      <c r="FF1" s="2973"/>
      <c r="FG1" s="2973"/>
      <c r="FH1" s="2973"/>
      <c r="FI1" s="2973"/>
      <c r="FJ1" s="2973"/>
      <c r="FK1" s="2973"/>
      <c r="FL1" s="2973"/>
      <c r="FM1" s="2973"/>
      <c r="FN1" s="2973"/>
      <c r="FO1" s="2973"/>
      <c r="FP1" s="2973"/>
      <c r="FQ1" s="2973"/>
      <c r="FR1" s="2973"/>
      <c r="FS1" s="2973"/>
      <c r="FT1" s="2973"/>
      <c r="FU1" s="2973"/>
      <c r="FV1" s="2973"/>
      <c r="FW1" s="2973"/>
      <c r="FX1" s="2973"/>
      <c r="FY1" s="2973"/>
      <c r="FZ1" s="2973"/>
      <c r="GA1" s="2973"/>
      <c r="GB1" s="2973"/>
      <c r="GC1" s="2973"/>
      <c r="GD1" s="2973"/>
      <c r="GE1" s="2973"/>
      <c r="GF1" s="2973"/>
      <c r="GG1" s="2973"/>
      <c r="GH1" s="2973"/>
      <c r="GI1" s="2973"/>
      <c r="GJ1" s="2973"/>
      <c r="GK1" s="2973"/>
      <c r="GL1" s="2973"/>
      <c r="GM1" s="2973"/>
      <c r="GN1" s="2973"/>
      <c r="GO1" s="2973"/>
      <c r="GP1" s="2973"/>
      <c r="GQ1" s="2973"/>
      <c r="GR1" s="2973"/>
      <c r="GS1" s="2973"/>
      <c r="GT1" s="2973"/>
      <c r="GU1" s="2973"/>
      <c r="GV1" s="2973"/>
      <c r="GW1" s="2973"/>
      <c r="GX1" s="2973"/>
      <c r="GY1" s="2973"/>
      <c r="GZ1" s="2973"/>
      <c r="HA1" s="2973"/>
      <c r="HB1" s="2973"/>
      <c r="HC1" s="2973"/>
      <c r="HD1" s="2973"/>
      <c r="HE1" s="2973"/>
      <c r="HF1" s="2973"/>
      <c r="HG1" s="2973"/>
      <c r="HH1" s="2973"/>
      <c r="HI1" s="2973"/>
      <c r="HJ1" s="2973"/>
      <c r="HK1" s="2973"/>
      <c r="HL1" s="2973"/>
      <c r="HM1" s="2973"/>
      <c r="HN1" s="2973"/>
      <c r="HO1" s="2973"/>
      <c r="HP1" s="2973"/>
      <c r="HQ1" s="2973"/>
      <c r="HR1" s="2973"/>
      <c r="HS1" s="2973"/>
      <c r="HT1" s="2973"/>
      <c r="HU1" s="2973"/>
      <c r="HV1" s="2973"/>
      <c r="HW1" s="2973"/>
      <c r="HX1" s="2973"/>
      <c r="HY1" s="2973"/>
      <c r="HZ1" s="2973"/>
      <c r="IA1" s="2973"/>
      <c r="IB1" s="2973"/>
      <c r="IC1" s="2973"/>
      <c r="ID1" s="2973"/>
      <c r="IE1" s="2973"/>
      <c r="IF1" s="2973"/>
      <c r="IG1" s="2973"/>
      <c r="IH1" s="2973"/>
      <c r="II1" s="2973"/>
      <c r="IJ1" s="2973"/>
      <c r="IK1" s="2973"/>
      <c r="IL1" s="2973"/>
      <c r="IM1" s="2973"/>
      <c r="IN1" s="2973"/>
      <c r="IO1" s="2973"/>
      <c r="IP1" s="2973"/>
      <c r="IQ1" s="2973"/>
      <c r="IR1" s="2973"/>
      <c r="IS1" s="2973"/>
      <c r="IT1" s="2973"/>
      <c r="IU1" s="2973"/>
      <c r="IV1" s="2973"/>
    </row>
    <row r="2" spans="1:257" s="2971" customFormat="1" ht="15" thickTop="1" thickBot="1">
      <c r="A2" s="2915"/>
      <c r="B2" s="2976" t="s">
        <v>2818</v>
      </c>
      <c r="C2" s="2980">
        <f>'数据-取费表'!B22</f>
        <v>1.5</v>
      </c>
      <c r="D2" s="2975" t="s">
        <v>2788</v>
      </c>
      <c r="E2" s="2978">
        <f ca="1">INDIRECT("I"&amp;$I$1)/100</f>
        <v>4.7500000000000001E-2</v>
      </c>
      <c r="G2" s="2915"/>
      <c r="H2" s="2915"/>
      <c r="I2" s="2915" t="s">
        <v>2789</v>
      </c>
      <c r="K2" s="2915"/>
      <c r="L2" s="2915"/>
      <c r="M2" s="2915"/>
      <c r="N2" s="2915" t="s">
        <v>2790</v>
      </c>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c r="BP2" s="2915"/>
      <c r="BQ2" s="2915"/>
      <c r="BR2" s="2915"/>
      <c r="BS2" s="2915"/>
      <c r="BT2" s="2915"/>
      <c r="BU2" s="2915"/>
      <c r="BV2" s="2915"/>
      <c r="BW2" s="2915"/>
      <c r="BX2" s="2915"/>
      <c r="BY2" s="2915"/>
      <c r="BZ2" s="2915"/>
      <c r="CA2" s="2915"/>
      <c r="CB2" s="2915"/>
      <c r="CC2" s="2915"/>
      <c r="CD2" s="2915"/>
      <c r="CE2" s="2915"/>
      <c r="CF2" s="2915"/>
      <c r="CG2" s="2915"/>
      <c r="CH2" s="2915"/>
      <c r="CI2" s="2915"/>
      <c r="CJ2" s="2915"/>
      <c r="CK2" s="2915"/>
      <c r="CL2" s="2915"/>
      <c r="CM2" s="2915"/>
      <c r="CN2" s="2915"/>
      <c r="CO2" s="2915"/>
      <c r="CP2" s="2915"/>
      <c r="CQ2" s="2915"/>
      <c r="CR2" s="2915"/>
      <c r="CS2" s="2915"/>
      <c r="CT2" s="2915"/>
      <c r="CU2" s="2915"/>
      <c r="CV2" s="2915"/>
      <c r="CW2" s="2915"/>
      <c r="CX2" s="2915"/>
      <c r="CY2" s="2915"/>
      <c r="CZ2" s="2915"/>
      <c r="DA2" s="2915"/>
      <c r="DB2" s="2915"/>
      <c r="DC2" s="2915"/>
      <c r="DD2" s="2915"/>
      <c r="DE2" s="2915"/>
      <c r="DF2" s="2915"/>
      <c r="DG2" s="2915"/>
      <c r="DH2" s="2915"/>
      <c r="DI2" s="2915"/>
      <c r="DJ2" s="2915"/>
      <c r="DK2" s="2915"/>
      <c r="DL2" s="2915"/>
      <c r="DM2" s="2915"/>
      <c r="DN2" s="2915"/>
      <c r="DO2" s="2915"/>
      <c r="DP2" s="2915"/>
      <c r="DQ2" s="2915"/>
      <c r="DR2" s="2915"/>
      <c r="DS2" s="2915"/>
      <c r="DT2" s="2915"/>
      <c r="DU2" s="2915"/>
      <c r="DV2" s="2915"/>
      <c r="DW2" s="2915"/>
      <c r="DX2" s="2915"/>
      <c r="DY2" s="2915"/>
      <c r="DZ2" s="2915"/>
      <c r="EA2" s="2915"/>
      <c r="EB2" s="2915"/>
      <c r="EC2" s="2915"/>
      <c r="ED2" s="2915"/>
      <c r="EE2" s="2915"/>
      <c r="EF2" s="2915"/>
      <c r="EG2" s="2915"/>
      <c r="EH2" s="2915"/>
      <c r="EI2" s="2915"/>
      <c r="EJ2" s="2915"/>
      <c r="EK2" s="2915"/>
      <c r="EL2" s="2915"/>
      <c r="EM2" s="2915"/>
      <c r="EN2" s="2915"/>
      <c r="EO2" s="2915"/>
      <c r="EP2" s="2915"/>
      <c r="EQ2" s="2915"/>
      <c r="ER2" s="2915"/>
      <c r="ES2" s="2915"/>
      <c r="ET2" s="2915"/>
      <c r="EU2" s="2915"/>
      <c r="EV2" s="2915"/>
      <c r="EW2" s="2915"/>
      <c r="EX2" s="2915"/>
      <c r="EY2" s="2915"/>
      <c r="EZ2" s="2915"/>
      <c r="FA2" s="2915"/>
      <c r="FB2" s="2915"/>
      <c r="FC2" s="2915"/>
      <c r="FD2" s="2915"/>
      <c r="FE2" s="2915"/>
      <c r="FF2" s="2915"/>
      <c r="FG2" s="2915"/>
      <c r="FH2" s="2915"/>
      <c r="FI2" s="2915"/>
      <c r="FJ2" s="2915"/>
      <c r="FK2" s="2915"/>
      <c r="FL2" s="2915"/>
      <c r="FM2" s="2915"/>
      <c r="FN2" s="2915"/>
      <c r="FO2" s="2915"/>
      <c r="FP2" s="2915"/>
      <c r="FQ2" s="2915"/>
      <c r="FR2" s="2915"/>
      <c r="FS2" s="2915"/>
      <c r="FT2" s="2915"/>
      <c r="FU2" s="2915"/>
      <c r="FV2" s="2915"/>
      <c r="FW2" s="2915"/>
      <c r="FX2" s="2915"/>
      <c r="FY2" s="2915"/>
      <c r="FZ2" s="2915"/>
      <c r="GA2" s="2915"/>
      <c r="GB2" s="2915"/>
      <c r="GC2" s="2915"/>
      <c r="GD2" s="2915"/>
      <c r="GE2" s="2915"/>
      <c r="GF2" s="2915"/>
      <c r="GG2" s="2915"/>
      <c r="GH2" s="2915"/>
      <c r="GI2" s="2915"/>
      <c r="GJ2" s="2915"/>
      <c r="GK2" s="2915"/>
      <c r="GL2" s="2915"/>
      <c r="GM2" s="2915"/>
      <c r="GN2" s="2915"/>
      <c r="GO2" s="2915"/>
      <c r="GP2" s="2915"/>
      <c r="GQ2" s="2915"/>
      <c r="GR2" s="2915"/>
      <c r="GS2" s="2915"/>
      <c r="GT2" s="2915"/>
      <c r="GU2" s="2915"/>
      <c r="GV2" s="2915"/>
      <c r="GW2" s="2915"/>
      <c r="GX2" s="2915"/>
      <c r="GY2" s="2915"/>
      <c r="GZ2" s="2915"/>
      <c r="HA2" s="2915"/>
      <c r="HB2" s="2915"/>
      <c r="HC2" s="2915"/>
      <c r="HD2" s="2915"/>
      <c r="HE2" s="2915"/>
      <c r="HF2" s="2915"/>
      <c r="HG2" s="2915"/>
      <c r="HH2" s="2915"/>
      <c r="HI2" s="2915"/>
      <c r="HJ2" s="2915"/>
      <c r="HK2" s="2915"/>
      <c r="HL2" s="2915"/>
      <c r="HM2" s="2915"/>
      <c r="HN2" s="2915"/>
      <c r="HO2" s="2915"/>
      <c r="HP2" s="2915"/>
      <c r="HQ2" s="2915"/>
      <c r="HR2" s="2915"/>
      <c r="HS2" s="2915"/>
      <c r="HT2" s="2915"/>
      <c r="HU2" s="2915"/>
      <c r="HV2" s="2915"/>
      <c r="HW2" s="2915"/>
      <c r="HX2" s="2915"/>
      <c r="HY2" s="2915"/>
      <c r="HZ2" s="2915"/>
      <c r="IA2" s="2915"/>
      <c r="IB2" s="2915"/>
      <c r="IC2" s="2915"/>
      <c r="ID2" s="2915"/>
      <c r="IE2" s="2915"/>
      <c r="IF2" s="2915"/>
      <c r="IG2" s="2915"/>
      <c r="IH2" s="2915"/>
      <c r="II2" s="2915"/>
      <c r="IJ2" s="2915"/>
      <c r="IK2" s="2915"/>
      <c r="IL2" s="2915"/>
      <c r="IM2" s="2915"/>
      <c r="IN2" s="2915"/>
      <c r="IO2" s="2915"/>
      <c r="IP2" s="2915"/>
      <c r="IQ2" s="2915"/>
      <c r="IR2" s="2915"/>
      <c r="IS2" s="2915"/>
      <c r="IT2" s="2915"/>
      <c r="IU2" s="2915"/>
      <c r="IV2" s="2915"/>
      <c r="IW2" s="2915"/>
    </row>
    <row r="3" spans="1:257" s="2971" customFormat="1">
      <c r="A3" s="2916"/>
      <c r="B3" s="2975" t="s">
        <v>2820</v>
      </c>
      <c r="C3" s="2977">
        <f>'数据-取费表'!B19</f>
        <v>0</v>
      </c>
      <c r="D3" s="2975" t="s">
        <v>2788</v>
      </c>
      <c r="E3" s="2978">
        <f ca="1">INDIRECT("J"&amp;$J$1)/100</f>
        <v>0</v>
      </c>
      <c r="G3" s="2917" t="s">
        <v>2791</v>
      </c>
      <c r="H3" s="2918">
        <v>0</v>
      </c>
      <c r="I3" s="2919">
        <f ca="1">INDIRECT("d"&amp;$H$1)</f>
        <v>4.3499999999999996</v>
      </c>
      <c r="J3" s="2919">
        <f ca="1">INDIRECT("d"&amp;$H$1)</f>
        <v>4.3499999999999996</v>
      </c>
      <c r="K3" s="2916"/>
      <c r="L3" s="2916"/>
      <c r="M3" s="2920">
        <v>0.5</v>
      </c>
      <c r="N3" s="2921">
        <f ca="1">INDIRECT("p"&amp;$N$1)</f>
        <v>1.3</v>
      </c>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16"/>
      <c r="AZ3" s="2916"/>
      <c r="BA3" s="2916"/>
      <c r="BB3" s="2916"/>
      <c r="BC3" s="2916"/>
      <c r="BD3" s="2916"/>
      <c r="BE3" s="2916"/>
      <c r="BF3" s="2916"/>
      <c r="BG3" s="2916"/>
      <c r="BH3" s="2916"/>
      <c r="BI3" s="2916"/>
      <c r="BJ3" s="2916"/>
      <c r="BK3" s="2916"/>
      <c r="BL3" s="2916"/>
      <c r="BM3" s="2916"/>
      <c r="BN3" s="2916"/>
      <c r="BO3" s="2916"/>
      <c r="BP3" s="2916"/>
      <c r="BQ3" s="2916"/>
      <c r="BR3" s="2916"/>
      <c r="BS3" s="2916"/>
      <c r="BT3" s="2916"/>
      <c r="BU3" s="2916"/>
      <c r="BV3" s="2916"/>
      <c r="BW3" s="2916"/>
      <c r="BX3" s="2916"/>
      <c r="BY3" s="2916"/>
      <c r="BZ3" s="2916"/>
      <c r="CA3" s="2916"/>
      <c r="CB3" s="2916"/>
      <c r="CC3" s="2916"/>
      <c r="CD3" s="2916"/>
      <c r="CE3" s="2916"/>
      <c r="CF3" s="2916"/>
      <c r="CG3" s="2916"/>
      <c r="CH3" s="2916"/>
      <c r="CI3" s="2916"/>
      <c r="CJ3" s="2916"/>
      <c r="CK3" s="2916"/>
      <c r="CL3" s="2916"/>
      <c r="CM3" s="2916"/>
      <c r="CN3" s="2916"/>
      <c r="CO3" s="2916"/>
      <c r="CP3" s="2916"/>
      <c r="CQ3" s="2916"/>
      <c r="CR3" s="2916"/>
      <c r="CS3" s="2916"/>
      <c r="CT3" s="2916"/>
      <c r="CU3" s="2916"/>
      <c r="CV3" s="2916"/>
      <c r="CW3" s="2916"/>
      <c r="CX3" s="2916"/>
      <c r="CY3" s="2916"/>
      <c r="CZ3" s="2916"/>
      <c r="DA3" s="2916"/>
      <c r="DB3" s="2916"/>
      <c r="DC3" s="2916"/>
      <c r="DD3" s="2916"/>
      <c r="DE3" s="2916"/>
      <c r="DF3" s="2916"/>
      <c r="DG3" s="2916"/>
      <c r="DH3" s="2916"/>
      <c r="DI3" s="2916"/>
      <c r="DJ3" s="2916"/>
      <c r="DK3" s="2916"/>
      <c r="DL3" s="2916"/>
      <c r="DM3" s="2916"/>
      <c r="DN3" s="2916"/>
      <c r="DO3" s="2916"/>
      <c r="DP3" s="2916"/>
      <c r="DQ3" s="2916"/>
      <c r="DR3" s="2916"/>
      <c r="DS3" s="2916"/>
      <c r="DT3" s="2916"/>
      <c r="DU3" s="2916"/>
      <c r="DV3" s="2916"/>
      <c r="DW3" s="2916"/>
      <c r="DX3" s="2916"/>
      <c r="DY3" s="2916"/>
      <c r="DZ3" s="2916"/>
      <c r="EA3" s="2916"/>
      <c r="EB3" s="2916"/>
      <c r="EC3" s="2916"/>
      <c r="ED3" s="2916"/>
      <c r="EE3" s="2916"/>
      <c r="EF3" s="2916"/>
      <c r="EG3" s="2916"/>
      <c r="EH3" s="2916"/>
      <c r="EI3" s="2916"/>
      <c r="EJ3" s="2916"/>
      <c r="EK3" s="2916"/>
      <c r="EL3" s="2916"/>
      <c r="EM3" s="2916"/>
      <c r="EN3" s="2916"/>
      <c r="EO3" s="2916"/>
      <c r="EP3" s="2916"/>
      <c r="EQ3" s="2916"/>
      <c r="ER3" s="2916"/>
      <c r="ES3" s="2916"/>
      <c r="ET3" s="2916"/>
      <c r="EU3" s="2916"/>
      <c r="EV3" s="2916"/>
      <c r="EW3" s="2916"/>
      <c r="EX3" s="2916"/>
      <c r="EY3" s="2916"/>
      <c r="EZ3" s="2916"/>
      <c r="FA3" s="2916"/>
      <c r="FB3" s="2916"/>
      <c r="FC3" s="2916"/>
      <c r="FD3" s="2916"/>
      <c r="FE3" s="2916"/>
      <c r="FF3" s="2916"/>
      <c r="FG3" s="2916"/>
      <c r="FH3" s="2916"/>
      <c r="FI3" s="2916"/>
      <c r="FJ3" s="2916"/>
      <c r="FK3" s="2916"/>
      <c r="FL3" s="2916"/>
      <c r="FM3" s="2916"/>
      <c r="FN3" s="2916"/>
      <c r="FO3" s="2916"/>
      <c r="FP3" s="2916"/>
      <c r="FQ3" s="2916"/>
      <c r="FR3" s="2916"/>
      <c r="FS3" s="2916"/>
      <c r="FT3" s="2916"/>
      <c r="FU3" s="2916"/>
      <c r="FV3" s="2916"/>
      <c r="FW3" s="2916"/>
      <c r="FX3" s="2916"/>
      <c r="FY3" s="2916"/>
      <c r="FZ3" s="2916"/>
      <c r="GA3" s="2916"/>
      <c r="GB3" s="2916"/>
      <c r="GC3" s="2916"/>
      <c r="GD3" s="2916"/>
      <c r="GE3" s="2916"/>
      <c r="GF3" s="2916"/>
      <c r="GG3" s="2916"/>
      <c r="GH3" s="2916"/>
      <c r="GI3" s="2916"/>
      <c r="GJ3" s="2916"/>
      <c r="GK3" s="2916"/>
      <c r="GL3" s="2916"/>
      <c r="GM3" s="2916"/>
      <c r="GN3" s="2916"/>
      <c r="GO3" s="2916"/>
      <c r="GP3" s="2916"/>
      <c r="GQ3" s="2916"/>
      <c r="GR3" s="2916"/>
      <c r="GS3" s="2916"/>
      <c r="GT3" s="2916"/>
      <c r="GU3" s="2916"/>
      <c r="GV3" s="2916"/>
      <c r="GW3" s="2916"/>
      <c r="GX3" s="2916"/>
      <c r="GY3" s="2916"/>
      <c r="GZ3" s="2916"/>
      <c r="HA3" s="2916"/>
      <c r="HB3" s="2916"/>
      <c r="HC3" s="2916"/>
      <c r="HD3" s="2916"/>
      <c r="HE3" s="2916"/>
      <c r="HF3" s="2916"/>
      <c r="HG3" s="2916"/>
      <c r="HH3" s="2916"/>
      <c r="HI3" s="2916"/>
      <c r="HJ3" s="2916"/>
      <c r="HK3" s="2916"/>
      <c r="HL3" s="2916"/>
      <c r="HM3" s="2916"/>
      <c r="HN3" s="2916"/>
      <c r="HO3" s="2916"/>
      <c r="HP3" s="2916"/>
      <c r="HQ3" s="2916"/>
      <c r="HR3" s="2916"/>
      <c r="HS3" s="2916"/>
      <c r="HT3" s="2916"/>
      <c r="HU3" s="2916"/>
      <c r="HV3" s="2916"/>
      <c r="HW3" s="2916"/>
      <c r="HX3" s="2916"/>
      <c r="HY3" s="2916"/>
      <c r="HZ3" s="2916"/>
      <c r="IA3" s="2916"/>
      <c r="IB3" s="2916"/>
      <c r="IC3" s="2916"/>
      <c r="ID3" s="2916"/>
      <c r="IE3" s="2916"/>
      <c r="IF3" s="2916"/>
      <c r="IG3" s="2916"/>
      <c r="IH3" s="2916"/>
      <c r="II3" s="2916"/>
      <c r="IJ3" s="2916"/>
      <c r="IK3" s="2916"/>
      <c r="IL3" s="2916"/>
      <c r="IM3" s="2916"/>
      <c r="IN3" s="2916"/>
      <c r="IO3" s="2916"/>
      <c r="IP3" s="2916"/>
      <c r="IQ3" s="2916"/>
      <c r="IR3" s="2916"/>
      <c r="IS3" s="2916"/>
      <c r="IT3" s="2916"/>
      <c r="IU3" s="2916"/>
      <c r="IV3" s="2916"/>
    </row>
    <row r="4" spans="1:257" s="2971" customFormat="1">
      <c r="A4" s="2916"/>
      <c r="B4" s="2975" t="s">
        <v>2819</v>
      </c>
      <c r="C4" s="2978">
        <f ca="1">N4/100</f>
        <v>1.4999999999999999E-2</v>
      </c>
      <c r="G4" s="2923" t="s">
        <v>2792</v>
      </c>
      <c r="H4" s="2924">
        <v>0.5</v>
      </c>
      <c r="I4" s="2925">
        <f ca="1">INDIRECT("e"&amp;$H$1)</f>
        <v>4.3499999999999996</v>
      </c>
      <c r="J4" s="2925">
        <f ca="1">INDIRECT("e"&amp;$H$1)</f>
        <v>4.3499999999999996</v>
      </c>
      <c r="K4" s="2916"/>
      <c r="L4" s="2916"/>
      <c r="M4" s="2926">
        <v>1</v>
      </c>
      <c r="N4" s="2927">
        <f ca="1">INDIRECT("q"&amp;$N$1)</f>
        <v>1.5</v>
      </c>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2916"/>
      <c r="CE4" s="2916"/>
      <c r="CF4" s="2916"/>
      <c r="CG4" s="2916"/>
      <c r="CH4" s="2916"/>
      <c r="CI4" s="2916"/>
      <c r="CJ4" s="2916"/>
      <c r="CK4" s="2916"/>
      <c r="CL4" s="2916"/>
      <c r="CM4" s="2916"/>
      <c r="CN4" s="2916"/>
      <c r="CO4" s="2916"/>
      <c r="CP4" s="2916"/>
      <c r="CQ4" s="2916"/>
      <c r="CR4" s="2916"/>
      <c r="CS4" s="2916"/>
      <c r="CT4" s="2916"/>
      <c r="CU4" s="2916"/>
      <c r="CV4" s="2916"/>
      <c r="CW4" s="2916"/>
      <c r="CX4" s="2916"/>
      <c r="CY4" s="2916"/>
      <c r="CZ4" s="2916"/>
      <c r="DA4" s="2916"/>
      <c r="DB4" s="2916"/>
      <c r="DC4" s="2916"/>
      <c r="DD4" s="2916"/>
      <c r="DE4" s="2916"/>
      <c r="DF4" s="2916"/>
      <c r="DG4" s="2916"/>
      <c r="DH4" s="2916"/>
      <c r="DI4" s="2916"/>
      <c r="DJ4" s="2916"/>
      <c r="DK4" s="2916"/>
      <c r="DL4" s="2916"/>
      <c r="DM4" s="2916"/>
      <c r="DN4" s="2916"/>
      <c r="DO4" s="2916"/>
      <c r="DP4" s="2916"/>
      <c r="DQ4" s="2916"/>
      <c r="DR4" s="2916"/>
      <c r="DS4" s="2916"/>
      <c r="DT4" s="2916"/>
      <c r="DU4" s="2916"/>
      <c r="DV4" s="2916"/>
      <c r="DW4" s="2916"/>
      <c r="DX4" s="2916"/>
      <c r="DY4" s="2916"/>
      <c r="DZ4" s="2916"/>
      <c r="EA4" s="2916"/>
      <c r="EB4" s="2916"/>
      <c r="EC4" s="2916"/>
      <c r="ED4" s="2916"/>
      <c r="EE4" s="2916"/>
      <c r="EF4" s="2916"/>
      <c r="EG4" s="2916"/>
      <c r="EH4" s="2916"/>
      <c r="EI4" s="2916"/>
      <c r="EJ4" s="2916"/>
      <c r="EK4" s="2916"/>
      <c r="EL4" s="2916"/>
      <c r="EM4" s="2916"/>
      <c r="EN4" s="2916"/>
      <c r="EO4" s="2916"/>
      <c r="EP4" s="2916"/>
      <c r="EQ4" s="2916"/>
      <c r="ER4" s="2916"/>
      <c r="ES4" s="2916"/>
      <c r="ET4" s="2916"/>
      <c r="EU4" s="2916"/>
      <c r="EV4" s="2916"/>
      <c r="EW4" s="2916"/>
      <c r="EX4" s="2916"/>
      <c r="EY4" s="2916"/>
      <c r="EZ4" s="2916"/>
      <c r="FA4" s="2916"/>
      <c r="FB4" s="2916"/>
      <c r="FC4" s="2916"/>
      <c r="FD4" s="2916"/>
      <c r="FE4" s="2916"/>
      <c r="FF4" s="2916"/>
      <c r="FG4" s="2916"/>
      <c r="FH4" s="2916"/>
      <c r="FI4" s="2916"/>
      <c r="FJ4" s="2916"/>
      <c r="FK4" s="2916"/>
      <c r="FL4" s="2916"/>
      <c r="FM4" s="2916"/>
      <c r="FN4" s="2916"/>
      <c r="FO4" s="2916"/>
      <c r="FP4" s="2916"/>
      <c r="FQ4" s="2916"/>
      <c r="FR4" s="2916"/>
      <c r="FS4" s="2916"/>
      <c r="FT4" s="2916"/>
      <c r="FU4" s="2916"/>
      <c r="FV4" s="2916"/>
      <c r="FW4" s="2916"/>
      <c r="FX4" s="2916"/>
      <c r="FY4" s="2916"/>
      <c r="FZ4" s="2916"/>
      <c r="GA4" s="2916"/>
      <c r="GB4" s="2916"/>
      <c r="GC4" s="2916"/>
      <c r="GD4" s="2916"/>
      <c r="GE4" s="2916"/>
      <c r="GF4" s="2916"/>
      <c r="GG4" s="2916"/>
      <c r="GH4" s="2916"/>
      <c r="GI4" s="2916"/>
      <c r="GJ4" s="2916"/>
      <c r="GK4" s="2916"/>
      <c r="GL4" s="2916"/>
      <c r="GM4" s="2916"/>
      <c r="GN4" s="2916"/>
      <c r="GO4" s="2916"/>
      <c r="GP4" s="2916"/>
      <c r="GQ4" s="2916"/>
      <c r="GR4" s="2916"/>
      <c r="GS4" s="2916"/>
      <c r="GT4" s="2916"/>
      <c r="GU4" s="2916"/>
      <c r="GV4" s="2916"/>
      <c r="GW4" s="2916"/>
      <c r="GX4" s="2916"/>
      <c r="GY4" s="2916"/>
      <c r="GZ4" s="2916"/>
      <c r="HA4" s="2916"/>
      <c r="HB4" s="2916"/>
      <c r="HC4" s="2916"/>
      <c r="HD4" s="2916"/>
      <c r="HE4" s="2916"/>
      <c r="HF4" s="2916"/>
      <c r="HG4" s="2916"/>
      <c r="HH4" s="2916"/>
      <c r="HI4" s="2916"/>
      <c r="HJ4" s="2916"/>
      <c r="HK4" s="2916"/>
      <c r="HL4" s="2916"/>
      <c r="HM4" s="2916"/>
      <c r="HN4" s="2916"/>
      <c r="HO4" s="2916"/>
      <c r="HP4" s="2916"/>
      <c r="HQ4" s="2916"/>
      <c r="HR4" s="2916"/>
      <c r="HS4" s="2916"/>
      <c r="HT4" s="2916"/>
      <c r="HU4" s="2916"/>
      <c r="HV4" s="2916"/>
      <c r="HW4" s="2916"/>
      <c r="HX4" s="2916"/>
      <c r="HY4" s="2916"/>
      <c r="HZ4" s="2916"/>
      <c r="IA4" s="2916"/>
      <c r="IB4" s="2916"/>
      <c r="IC4" s="2916"/>
      <c r="ID4" s="2916"/>
      <c r="IE4" s="2916"/>
      <c r="IF4" s="2916"/>
      <c r="IG4" s="2916"/>
      <c r="IH4" s="2916"/>
      <c r="II4" s="2916"/>
      <c r="IJ4" s="2916"/>
      <c r="IK4" s="2916"/>
      <c r="IL4" s="2916"/>
      <c r="IM4" s="2916"/>
      <c r="IN4" s="2916"/>
      <c r="IO4" s="2916"/>
      <c r="IP4" s="2916"/>
      <c r="IQ4" s="2916"/>
      <c r="IR4" s="2916"/>
      <c r="IS4" s="2916"/>
      <c r="IT4" s="2916"/>
      <c r="IU4" s="2916"/>
      <c r="IV4" s="2916"/>
    </row>
    <row r="5" spans="1:257" s="2971" customFormat="1">
      <c r="A5" s="2916"/>
      <c r="G5" s="2923" t="s">
        <v>2793</v>
      </c>
      <c r="H5" s="2924">
        <v>1</v>
      </c>
      <c r="I5" s="2925">
        <f ca="1">INDIRECT("f"&amp;$H$1)</f>
        <v>4.75</v>
      </c>
      <c r="J5" s="2925">
        <f ca="1">INDIRECT("f"&amp;$H$1)</f>
        <v>4.75</v>
      </c>
      <c r="K5" s="2916"/>
      <c r="L5" s="2916"/>
      <c r="M5" s="2926">
        <v>2</v>
      </c>
      <c r="N5" s="2927">
        <f ca="1">INDIRECT("r"&amp;$N$1)</f>
        <v>2.1</v>
      </c>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16"/>
      <c r="CL5" s="2916"/>
      <c r="CM5" s="2916"/>
      <c r="CN5" s="2916"/>
      <c r="CO5" s="2916"/>
      <c r="CP5" s="2916"/>
      <c r="CQ5" s="2916"/>
      <c r="CR5" s="2916"/>
      <c r="CS5" s="2916"/>
      <c r="CT5" s="2916"/>
      <c r="CU5" s="2916"/>
      <c r="CV5" s="2916"/>
      <c r="CW5" s="2916"/>
      <c r="CX5" s="2916"/>
      <c r="CY5" s="2916"/>
      <c r="CZ5" s="2916"/>
      <c r="DA5" s="2916"/>
      <c r="DB5" s="2916"/>
      <c r="DC5" s="2916"/>
      <c r="DD5" s="2916"/>
      <c r="DE5" s="2916"/>
      <c r="DF5" s="2916"/>
      <c r="DG5" s="2916"/>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c r="EM5" s="2916"/>
      <c r="EN5" s="2916"/>
      <c r="EO5" s="2916"/>
      <c r="EP5" s="2916"/>
      <c r="EQ5" s="2916"/>
      <c r="ER5" s="2916"/>
      <c r="ES5" s="2916"/>
      <c r="ET5" s="2916"/>
      <c r="EU5" s="2916"/>
      <c r="EV5" s="2916"/>
      <c r="EW5" s="2916"/>
      <c r="EX5" s="2916"/>
      <c r="EY5" s="2916"/>
      <c r="EZ5" s="2916"/>
      <c r="FA5" s="2916"/>
      <c r="FB5" s="2916"/>
      <c r="FC5" s="2916"/>
      <c r="FD5" s="2916"/>
      <c r="FE5" s="2916"/>
      <c r="FF5" s="2916"/>
      <c r="FG5" s="2916"/>
      <c r="FH5" s="2916"/>
      <c r="FI5" s="2916"/>
      <c r="FJ5" s="2916"/>
      <c r="FK5" s="2916"/>
      <c r="FL5" s="2916"/>
      <c r="FM5" s="2916"/>
      <c r="FN5" s="2916"/>
      <c r="FO5" s="2916"/>
      <c r="FP5" s="2916"/>
      <c r="FQ5" s="2916"/>
      <c r="FR5" s="2916"/>
      <c r="FS5" s="2916"/>
      <c r="FT5" s="2916"/>
      <c r="FU5" s="2916"/>
      <c r="FV5" s="2916"/>
      <c r="FW5" s="2916"/>
      <c r="FX5" s="2916"/>
      <c r="FY5" s="2916"/>
      <c r="FZ5" s="2916"/>
      <c r="GA5" s="2916"/>
      <c r="GB5" s="2916"/>
      <c r="GC5" s="2916"/>
      <c r="GD5" s="2916"/>
      <c r="GE5" s="2916"/>
      <c r="GF5" s="2916"/>
      <c r="GG5" s="2916"/>
      <c r="GH5" s="2916"/>
      <c r="GI5" s="2916"/>
      <c r="GJ5" s="2916"/>
      <c r="GK5" s="2916"/>
      <c r="GL5" s="2916"/>
      <c r="GM5" s="2916"/>
      <c r="GN5" s="2916"/>
      <c r="GO5" s="2916"/>
      <c r="GP5" s="2916"/>
      <c r="GQ5" s="2916"/>
      <c r="GR5" s="2916"/>
      <c r="GS5" s="2916"/>
      <c r="GT5" s="2916"/>
      <c r="GU5" s="2916"/>
      <c r="GV5" s="2916"/>
      <c r="GW5" s="2916"/>
      <c r="GX5" s="2916"/>
      <c r="GY5" s="2916"/>
      <c r="GZ5" s="2916"/>
      <c r="HA5" s="2916"/>
      <c r="HB5" s="2916"/>
      <c r="HC5" s="2916"/>
      <c r="HD5" s="2916"/>
      <c r="HE5" s="2916"/>
      <c r="HF5" s="2916"/>
      <c r="HG5" s="2916"/>
      <c r="HH5" s="2916"/>
      <c r="HI5" s="2916"/>
      <c r="HJ5" s="2916"/>
      <c r="HK5" s="2916"/>
      <c r="HL5" s="2916"/>
      <c r="HM5" s="2916"/>
      <c r="HN5" s="2916"/>
      <c r="HO5" s="2916"/>
      <c r="HP5" s="2916"/>
      <c r="HQ5" s="2916"/>
      <c r="HR5" s="2916"/>
      <c r="HS5" s="2916"/>
      <c r="HT5" s="2916"/>
      <c r="HU5" s="2916"/>
      <c r="HV5" s="2916"/>
      <c r="HW5" s="2916"/>
      <c r="HX5" s="2916"/>
      <c r="HY5" s="2916"/>
      <c r="HZ5" s="2916"/>
      <c r="IA5" s="2916"/>
      <c r="IB5" s="2916"/>
      <c r="IC5" s="2916"/>
      <c r="ID5" s="2916"/>
      <c r="IE5" s="2916"/>
      <c r="IF5" s="2916"/>
      <c r="IG5" s="2916"/>
      <c r="IH5" s="2916"/>
      <c r="II5" s="2916"/>
      <c r="IJ5" s="2916"/>
      <c r="IK5" s="2916"/>
      <c r="IL5" s="2916"/>
      <c r="IM5" s="2916"/>
      <c r="IN5" s="2916"/>
      <c r="IO5" s="2916"/>
      <c r="IP5" s="2916"/>
      <c r="IQ5" s="2916"/>
      <c r="IR5" s="2916"/>
      <c r="IS5" s="2916"/>
      <c r="IT5" s="2916"/>
      <c r="IU5" s="2916"/>
      <c r="IV5" s="2916"/>
    </row>
    <row r="6" spans="1:257" s="2971" customFormat="1">
      <c r="A6" s="2916"/>
      <c r="G6" s="2923" t="s">
        <v>2794</v>
      </c>
      <c r="H6" s="2924">
        <v>3</v>
      </c>
      <c r="I6" s="2925">
        <f ca="1">INDIRECT("g"&amp;$H$1)</f>
        <v>4.75</v>
      </c>
      <c r="J6" s="2925">
        <f ca="1">INDIRECT("g"&amp;$H$1)</f>
        <v>4.75</v>
      </c>
      <c r="K6" s="2916"/>
      <c r="L6" s="2916"/>
      <c r="M6" s="2926">
        <v>3</v>
      </c>
      <c r="N6" s="2927">
        <f ca="1">INDIRECT("s"&amp;$N$1)</f>
        <v>2.75</v>
      </c>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row>
    <row r="7" spans="1:257" s="2971" customFormat="1" ht="14.25" thickBot="1">
      <c r="A7" s="2916"/>
      <c r="G7" s="2928" t="s">
        <v>2795</v>
      </c>
      <c r="H7" s="2929">
        <v>5</v>
      </c>
      <c r="I7" s="2930">
        <f ca="1">INDIRECT("h"&amp;$H$1)</f>
        <v>4.9000000000000004</v>
      </c>
      <c r="J7" s="2930">
        <f ca="1">INDIRECT("h"&amp;$H$1)</f>
        <v>4.9000000000000004</v>
      </c>
      <c r="K7" s="2916"/>
      <c r="L7" s="2916"/>
      <c r="M7" s="2931">
        <v>5</v>
      </c>
      <c r="N7" s="2932">
        <f ca="1">INDIRECT("t"&amp;$N$1)</f>
        <v>0</v>
      </c>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row>
    <row r="8" spans="1:257">
      <c r="A8" s="2933"/>
      <c r="B8" s="2934"/>
      <c r="C8" s="2935"/>
      <c r="D8" s="2916"/>
      <c r="E8" s="2916"/>
      <c r="F8" s="2916"/>
      <c r="G8" s="2916"/>
      <c r="H8" s="2916"/>
      <c r="I8" s="2916"/>
      <c r="J8" s="2916"/>
      <c r="L8" s="2916"/>
      <c r="M8" s="2916"/>
      <c r="N8" s="2916"/>
      <c r="O8" s="2916"/>
      <c r="P8" s="2916"/>
      <c r="Q8" s="2916"/>
      <c r="R8" s="2916"/>
      <c r="S8" s="2916"/>
      <c r="T8" s="2916"/>
      <c r="U8" s="2916"/>
      <c r="V8" s="2916"/>
      <c r="W8" s="2916"/>
      <c r="X8" s="2916"/>
      <c r="Y8" s="2916"/>
      <c r="Z8" s="2916"/>
    </row>
    <row r="9" spans="1:257" ht="20.25">
      <c r="A9" s="2936"/>
      <c r="B9" s="2937" t="s">
        <v>2796</v>
      </c>
      <c r="C9" s="2938"/>
      <c r="D9" s="2939"/>
      <c r="E9" s="2939"/>
      <c r="F9" s="2939"/>
      <c r="G9" s="2939"/>
      <c r="H9" s="2939"/>
      <c r="I9" s="2939"/>
      <c r="J9" s="2939"/>
      <c r="K9" s="2939"/>
      <c r="L9" s="2939"/>
      <c r="M9" s="2939"/>
      <c r="N9" s="2939"/>
      <c r="O9" s="2939"/>
      <c r="P9" s="2939"/>
      <c r="Q9" s="2939"/>
      <c r="R9" s="2939"/>
      <c r="S9" s="2939"/>
      <c r="T9" s="2939"/>
      <c r="U9" s="2939"/>
      <c r="V9" s="2939"/>
      <c r="W9" s="2939"/>
      <c r="X9" s="2939"/>
      <c r="Y9" s="2939"/>
      <c r="Z9" s="2939"/>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c r="BP9" s="2940"/>
      <c r="BQ9" s="2940"/>
      <c r="BR9" s="2940"/>
      <c r="BS9" s="2940"/>
      <c r="BT9" s="2940"/>
      <c r="BU9" s="2940"/>
      <c r="BV9" s="2940"/>
      <c r="BW9" s="2940"/>
      <c r="BX9" s="2940"/>
      <c r="BY9" s="2940"/>
      <c r="BZ9" s="2940"/>
      <c r="CA9" s="2940"/>
      <c r="CB9" s="2940"/>
      <c r="CC9" s="2940"/>
      <c r="CD9" s="2940"/>
      <c r="CE9" s="2940"/>
      <c r="CF9" s="2940"/>
      <c r="CG9" s="2940"/>
      <c r="CH9" s="2940"/>
      <c r="CI9" s="2940"/>
      <c r="CJ9" s="2940"/>
      <c r="CK9" s="2940"/>
      <c r="CL9" s="2940"/>
      <c r="CM9" s="2940"/>
      <c r="CN9" s="2940"/>
      <c r="CO9" s="2940"/>
      <c r="CP9" s="2940"/>
      <c r="CQ9" s="2940"/>
      <c r="CR9" s="2940"/>
      <c r="CS9" s="2940"/>
      <c r="CT9" s="2940"/>
      <c r="CU9" s="2940"/>
      <c r="CV9" s="2940"/>
      <c r="CW9" s="2940"/>
      <c r="CX9" s="2940"/>
      <c r="CY9" s="2940"/>
      <c r="CZ9" s="2940"/>
      <c r="DA9" s="2940"/>
      <c r="DB9" s="2940"/>
      <c r="DC9" s="2940"/>
      <c r="DD9" s="2940"/>
      <c r="DE9" s="2940"/>
      <c r="DF9" s="2940"/>
      <c r="DG9" s="2940"/>
      <c r="DH9" s="2940"/>
      <c r="DI9" s="2940"/>
      <c r="DJ9" s="2940"/>
      <c r="DK9" s="2940"/>
      <c r="DL9" s="2940"/>
      <c r="DM9" s="2940"/>
      <c r="DN9" s="2940"/>
      <c r="DO9" s="2940"/>
      <c r="DP9" s="2940"/>
      <c r="DQ9" s="2940"/>
      <c r="DR9" s="2940"/>
      <c r="DS9" s="2940"/>
      <c r="DT9" s="2940"/>
      <c r="DU9" s="2940"/>
      <c r="DV9" s="2940"/>
      <c r="DW9" s="2940"/>
      <c r="DX9" s="2940"/>
      <c r="DY9" s="2940"/>
      <c r="DZ9" s="2940"/>
      <c r="EA9" s="2940"/>
      <c r="EB9" s="2940"/>
      <c r="EC9" s="2940"/>
      <c r="ED9" s="2940"/>
      <c r="EE9" s="2940"/>
      <c r="EF9" s="2940"/>
      <c r="EG9" s="2940"/>
      <c r="EH9" s="2940"/>
      <c r="EI9" s="2940"/>
      <c r="EJ9" s="2940"/>
      <c r="EK9" s="2940"/>
      <c r="EL9" s="2940"/>
      <c r="EM9" s="2940"/>
      <c r="EN9" s="2940"/>
      <c r="EO9" s="2940"/>
      <c r="EP9" s="2940"/>
      <c r="EQ9" s="2940"/>
      <c r="ER9" s="2940"/>
      <c r="ES9" s="2940"/>
      <c r="ET9" s="2940"/>
      <c r="EU9" s="2940"/>
      <c r="EV9" s="2940"/>
      <c r="EW9" s="2940"/>
      <c r="EX9" s="2940"/>
      <c r="EY9" s="2940"/>
      <c r="EZ9" s="2940"/>
      <c r="FA9" s="2940"/>
      <c r="FB9" s="2940"/>
      <c r="FC9" s="2940"/>
      <c r="FD9" s="2940"/>
      <c r="FE9" s="2940"/>
      <c r="FF9" s="2940"/>
      <c r="FG9" s="2940"/>
      <c r="FH9" s="2940"/>
      <c r="FI9" s="2940"/>
      <c r="FJ9" s="2940"/>
      <c r="FK9" s="2940"/>
      <c r="FL9" s="2940"/>
      <c r="FM9" s="2940"/>
      <c r="FN9" s="2940"/>
      <c r="FO9" s="2940"/>
      <c r="FP9" s="2940"/>
      <c r="FQ9" s="2940"/>
      <c r="FR9" s="2940"/>
      <c r="FS9" s="2940"/>
      <c r="FT9" s="2940"/>
      <c r="FU9" s="2940"/>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1"/>
    </row>
    <row r="10" spans="1:257" ht="22.5">
      <c r="A10" s="2942"/>
      <c r="B10" s="2943" t="s">
        <v>2797</v>
      </c>
      <c r="C10" s="2942"/>
      <c r="D10" s="2942"/>
      <c r="E10" s="2942"/>
      <c r="F10" s="2942"/>
      <c r="G10" s="2942"/>
      <c r="H10" s="2942"/>
      <c r="I10" s="2916"/>
      <c r="J10" s="2916"/>
      <c r="K10" s="2942"/>
      <c r="L10" s="2943" t="s">
        <v>2798</v>
      </c>
      <c r="M10" s="2942"/>
      <c r="N10" s="2942"/>
      <c r="O10" s="2942"/>
      <c r="P10" s="2942"/>
      <c r="Q10" s="2942"/>
      <c r="R10" s="2942"/>
      <c r="S10" s="2942"/>
      <c r="T10" s="2942"/>
      <c r="U10" s="2942"/>
      <c r="V10" s="2942"/>
      <c r="W10" s="2942"/>
      <c r="X10" s="2942"/>
      <c r="Y10" s="2942"/>
      <c r="Z10" s="2942"/>
      <c r="AA10" s="2944"/>
      <c r="AB10" s="2944"/>
      <c r="AC10" s="2944"/>
      <c r="AD10" s="2944"/>
      <c r="AE10" s="2944"/>
      <c r="AF10" s="2944"/>
      <c r="AG10" s="2944"/>
      <c r="AH10" s="2944"/>
      <c r="AI10" s="2944"/>
      <c r="AJ10" s="2944"/>
      <c r="AK10" s="2944"/>
      <c r="AL10" s="2944"/>
      <c r="AM10" s="2944"/>
      <c r="AN10" s="2944"/>
      <c r="AO10" s="2944"/>
      <c r="AP10" s="2944"/>
      <c r="AQ10" s="2944"/>
      <c r="AR10" s="2944"/>
      <c r="AS10" s="2944"/>
      <c r="AT10" s="2944"/>
      <c r="AU10" s="2944"/>
      <c r="AV10" s="2944"/>
      <c r="AW10" s="2944"/>
      <c r="AX10" s="2944"/>
      <c r="AY10" s="2944"/>
      <c r="AZ10" s="2944"/>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c r="CF10" s="2944"/>
      <c r="CG10" s="2944"/>
      <c r="CH10" s="2944"/>
      <c r="CI10" s="2944"/>
      <c r="CJ10" s="2944"/>
      <c r="CK10" s="2944"/>
      <c r="CL10" s="2944"/>
      <c r="CM10" s="2944"/>
      <c r="CN10" s="2944"/>
      <c r="CO10" s="2944"/>
      <c r="CP10" s="2944"/>
      <c r="CQ10" s="2944"/>
      <c r="CR10" s="2944"/>
      <c r="CS10" s="2944"/>
      <c r="CT10" s="2944"/>
      <c r="CU10" s="2944"/>
      <c r="CV10" s="2944"/>
      <c r="CW10" s="2944"/>
      <c r="CX10" s="2944"/>
      <c r="CY10" s="2944"/>
      <c r="CZ10" s="2944"/>
      <c r="DA10" s="2944"/>
      <c r="DB10" s="2944"/>
      <c r="DC10" s="2944"/>
      <c r="DD10" s="2944"/>
      <c r="DE10" s="2944"/>
      <c r="DF10" s="2944"/>
      <c r="DG10" s="2944"/>
      <c r="DH10" s="2944"/>
      <c r="DI10" s="2944"/>
      <c r="DJ10" s="2944"/>
      <c r="DK10" s="2944"/>
      <c r="DL10" s="2944"/>
      <c r="DM10" s="2944"/>
      <c r="DN10" s="2944"/>
      <c r="DO10" s="2944"/>
      <c r="DP10" s="2944"/>
      <c r="DQ10" s="2944"/>
      <c r="DR10" s="2944"/>
      <c r="DS10" s="2944"/>
      <c r="DT10" s="2944"/>
      <c r="DU10" s="2944"/>
      <c r="DV10" s="2944"/>
      <c r="DW10" s="2944"/>
      <c r="DX10" s="2944"/>
      <c r="DY10" s="2944"/>
      <c r="DZ10" s="2944"/>
      <c r="EA10" s="2944"/>
      <c r="EB10" s="2944"/>
      <c r="EC10" s="2944"/>
      <c r="ED10" s="2944"/>
      <c r="EE10" s="2944"/>
      <c r="EF10" s="2944"/>
      <c r="EG10" s="2944"/>
      <c r="EH10" s="2944"/>
      <c r="EI10" s="2944"/>
      <c r="EJ10" s="2944"/>
      <c r="EK10" s="2944"/>
      <c r="EL10" s="2944"/>
      <c r="EM10" s="2944"/>
      <c r="EN10" s="2944"/>
      <c r="EO10" s="2944"/>
      <c r="EP10" s="2944"/>
      <c r="EQ10" s="2944"/>
      <c r="ER10" s="2944"/>
      <c r="ES10" s="2944"/>
      <c r="ET10" s="2944"/>
      <c r="EU10" s="2944"/>
      <c r="EV10" s="2944"/>
      <c r="EW10" s="2944"/>
      <c r="EX10" s="2944"/>
      <c r="EY10" s="2944"/>
      <c r="EZ10" s="2944"/>
      <c r="FA10" s="2944"/>
      <c r="FB10" s="2944"/>
      <c r="FC10" s="2944"/>
      <c r="FD10" s="2944"/>
      <c r="FE10" s="2944"/>
      <c r="FF10" s="2944"/>
      <c r="FG10" s="2944"/>
      <c r="FH10" s="2944"/>
      <c r="FI10" s="2944"/>
      <c r="FJ10" s="2944"/>
      <c r="FK10" s="2944"/>
      <c r="FL10" s="2944"/>
      <c r="FM10" s="2944"/>
      <c r="FN10" s="2944"/>
      <c r="FO10" s="2944"/>
      <c r="FP10" s="2944"/>
      <c r="FQ10" s="2944"/>
      <c r="FR10" s="2944"/>
      <c r="FS10" s="2944"/>
      <c r="FT10" s="2944"/>
      <c r="FU10" s="2944"/>
      <c r="FV10" s="2944"/>
      <c r="FW10" s="2944"/>
      <c r="FX10" s="2944"/>
      <c r="FY10" s="2944"/>
      <c r="FZ10" s="2944"/>
      <c r="GA10" s="2944"/>
      <c r="GB10" s="2944"/>
      <c r="GC10" s="2944"/>
      <c r="GD10" s="2944"/>
      <c r="GE10" s="2944"/>
      <c r="GF10" s="2944"/>
      <c r="GG10" s="2944"/>
      <c r="GH10" s="2944"/>
      <c r="GI10" s="2944"/>
      <c r="GJ10" s="2944"/>
      <c r="GK10" s="2944"/>
      <c r="GL10" s="2944"/>
      <c r="GM10" s="2944"/>
      <c r="GN10" s="2944"/>
      <c r="GO10" s="2944"/>
      <c r="GP10" s="2944"/>
      <c r="GQ10" s="2944"/>
      <c r="GR10" s="2944"/>
      <c r="GS10" s="2944"/>
      <c r="GT10" s="2944"/>
      <c r="GU10" s="2944"/>
      <c r="GV10" s="2944"/>
      <c r="GW10" s="2944"/>
      <c r="GX10" s="2944"/>
      <c r="GY10" s="2944"/>
      <c r="GZ10" s="2944"/>
      <c r="HA10" s="2944"/>
      <c r="HB10" s="2944"/>
      <c r="HC10" s="2944"/>
      <c r="HD10" s="2944"/>
      <c r="HE10" s="2944"/>
      <c r="HF10" s="2944"/>
      <c r="HG10" s="2944"/>
      <c r="HH10" s="2944"/>
      <c r="HI10" s="2944"/>
      <c r="HJ10" s="2944"/>
      <c r="HK10" s="2944"/>
      <c r="HL10" s="2944"/>
      <c r="HM10" s="2944"/>
      <c r="HN10" s="2944"/>
      <c r="HO10" s="2944"/>
      <c r="HP10" s="2944"/>
      <c r="HQ10" s="2944"/>
      <c r="HR10" s="2944"/>
      <c r="HS10" s="2944"/>
      <c r="HT10" s="2944"/>
      <c r="HU10" s="2944"/>
      <c r="HV10" s="2944"/>
      <c r="HW10" s="2944"/>
      <c r="HX10" s="2944"/>
      <c r="HY10" s="2944"/>
      <c r="HZ10" s="2944"/>
      <c r="IA10" s="2944"/>
      <c r="IB10" s="2944"/>
      <c r="IC10" s="2944"/>
      <c r="ID10" s="2944"/>
      <c r="IE10" s="2944"/>
      <c r="IF10" s="2944"/>
      <c r="IG10" s="2944"/>
      <c r="IH10" s="2944"/>
      <c r="II10" s="2944"/>
      <c r="IJ10" s="2944"/>
      <c r="IK10" s="2944"/>
      <c r="IL10" s="2944"/>
      <c r="IM10" s="2944"/>
      <c r="IN10" s="2944"/>
      <c r="IO10" s="2944"/>
      <c r="IP10" s="2944"/>
      <c r="IQ10" s="2944"/>
      <c r="IR10" s="2944"/>
      <c r="IS10" s="2944"/>
      <c r="IT10" s="2944"/>
      <c r="IU10" s="2944"/>
      <c r="IV10" s="2944"/>
    </row>
    <row r="11" spans="1:257">
      <c r="A11" s="2945"/>
      <c r="B11" s="2946" t="s">
        <v>2799</v>
      </c>
      <c r="C11" s="2947" t="s">
        <v>2800</v>
      </c>
      <c r="D11" s="2948" t="s">
        <v>2801</v>
      </c>
      <c r="E11" s="2949"/>
      <c r="F11" s="2948" t="s">
        <v>2802</v>
      </c>
      <c r="G11" s="2950"/>
      <c r="H11" s="2949"/>
      <c r="I11" s="2948" t="s">
        <v>2803</v>
      </c>
      <c r="J11" s="2949"/>
      <c r="K11" s="2945"/>
      <c r="L11" s="2946" t="s">
        <v>2799</v>
      </c>
      <c r="M11" s="2947" t="s">
        <v>2800</v>
      </c>
      <c r="N11" s="2946" t="s">
        <v>2804</v>
      </c>
      <c r="O11" s="2948" t="s">
        <v>2805</v>
      </c>
      <c r="P11" s="2950"/>
      <c r="Q11" s="2950"/>
      <c r="R11" s="2950"/>
      <c r="S11" s="2950"/>
      <c r="T11" s="2949"/>
      <c r="U11" s="2948" t="s">
        <v>2806</v>
      </c>
      <c r="V11" s="2950"/>
      <c r="W11" s="2949"/>
      <c r="X11" s="2946" t="s">
        <v>2807</v>
      </c>
      <c r="Y11" s="2946" t="s">
        <v>2808</v>
      </c>
      <c r="Z11" s="2946" t="s">
        <v>2809</v>
      </c>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1"/>
      <c r="BT11" s="2951"/>
      <c r="BU11" s="2951"/>
      <c r="BV11" s="2951"/>
      <c r="BW11" s="2951"/>
      <c r="BX11" s="2951"/>
      <c r="BY11" s="2951"/>
      <c r="BZ11" s="2951"/>
      <c r="CA11" s="2951"/>
      <c r="CB11" s="2951"/>
      <c r="CC11" s="2951"/>
      <c r="CD11" s="2951"/>
      <c r="CE11" s="2951"/>
      <c r="CF11" s="2951"/>
      <c r="CG11" s="2951"/>
      <c r="CH11" s="2951"/>
      <c r="CI11" s="2951"/>
      <c r="CJ11" s="2951"/>
      <c r="CK11" s="2951"/>
      <c r="CL11" s="2951"/>
      <c r="CM11" s="2951"/>
      <c r="CN11" s="2951"/>
      <c r="CO11" s="2951"/>
      <c r="CP11" s="2951"/>
      <c r="CQ11" s="2951"/>
      <c r="CR11" s="2951"/>
      <c r="CS11" s="2951"/>
      <c r="CT11" s="2951"/>
      <c r="CU11" s="2951"/>
      <c r="CV11" s="2951"/>
      <c r="CW11" s="2951"/>
      <c r="CX11" s="2951"/>
      <c r="CY11" s="2951"/>
      <c r="CZ11" s="2951"/>
      <c r="DA11" s="2951"/>
      <c r="DB11" s="2951"/>
      <c r="DC11" s="2951"/>
      <c r="DD11" s="2951"/>
      <c r="DE11" s="2951"/>
      <c r="DF11" s="2951"/>
      <c r="DG11" s="2951"/>
      <c r="DH11" s="2951"/>
      <c r="DI11" s="2951"/>
      <c r="DJ11" s="2951"/>
      <c r="DK11" s="2951"/>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1"/>
      <c r="FX11" s="2951"/>
      <c r="FY11" s="2951"/>
      <c r="FZ11" s="2951"/>
      <c r="GA11" s="2951"/>
      <c r="GB11" s="2951"/>
      <c r="GC11" s="2951"/>
      <c r="GD11" s="2951"/>
      <c r="GE11" s="2951"/>
      <c r="GF11" s="2951"/>
      <c r="GG11" s="2951"/>
      <c r="GH11" s="2951"/>
      <c r="GI11" s="2951"/>
      <c r="GJ11" s="2951"/>
      <c r="GK11" s="2951"/>
      <c r="GL11" s="2951"/>
      <c r="GM11" s="2951"/>
      <c r="GN11" s="2951"/>
      <c r="GO11" s="2951"/>
      <c r="GP11" s="2951"/>
      <c r="GQ11" s="2951"/>
      <c r="GR11" s="2951"/>
      <c r="GS11" s="2951"/>
      <c r="GT11" s="2951"/>
      <c r="GU11" s="2951"/>
      <c r="GV11" s="2951"/>
      <c r="GW11" s="2951"/>
      <c r="GX11" s="2951"/>
      <c r="GY11" s="2951"/>
      <c r="GZ11" s="2951"/>
      <c r="HA11" s="2951"/>
      <c r="HB11" s="2951"/>
      <c r="HC11" s="2951"/>
      <c r="HD11" s="2951"/>
      <c r="HE11" s="2951"/>
      <c r="HF11" s="2951"/>
      <c r="HG11" s="2951"/>
      <c r="HH11" s="2951"/>
      <c r="HI11" s="2951"/>
      <c r="HJ11" s="2951"/>
      <c r="HK11" s="2951"/>
      <c r="HL11" s="2951"/>
      <c r="HM11" s="2951"/>
      <c r="HN11" s="2951"/>
      <c r="HO11" s="2951"/>
      <c r="HP11" s="2951"/>
      <c r="HQ11" s="2951"/>
      <c r="HR11" s="2951"/>
      <c r="HS11" s="2951"/>
      <c r="HT11" s="2951"/>
      <c r="HU11" s="2951"/>
      <c r="HV11" s="2951"/>
      <c r="HW11" s="2951"/>
      <c r="HX11" s="2951"/>
      <c r="HY11" s="2951"/>
      <c r="HZ11" s="2951"/>
      <c r="IA11" s="2951"/>
      <c r="IB11" s="2951"/>
      <c r="IC11" s="2951"/>
      <c r="ID11" s="2951"/>
      <c r="IE11" s="2951"/>
      <c r="IF11" s="2951"/>
      <c r="IG11" s="2951"/>
      <c r="IH11" s="2951"/>
      <c r="II11" s="2951"/>
      <c r="IJ11" s="2951"/>
      <c r="IK11" s="2951"/>
      <c r="IL11" s="2951"/>
      <c r="IM11" s="2951"/>
      <c r="IN11" s="2951"/>
      <c r="IO11" s="2951"/>
      <c r="IP11" s="2951"/>
      <c r="IQ11" s="2951"/>
      <c r="IR11" s="2951"/>
      <c r="IS11" s="2951"/>
      <c r="IT11" s="2951"/>
      <c r="IU11" s="2951"/>
      <c r="IV11" s="2951"/>
    </row>
    <row r="12" spans="1:257">
      <c r="A12" s="2952"/>
      <c r="B12" s="2953"/>
      <c r="C12" s="2954"/>
      <c r="D12" s="2955" t="s">
        <v>2810</v>
      </c>
      <c r="E12" s="2955" t="s">
        <v>2811</v>
      </c>
      <c r="F12" s="2955" t="s">
        <v>2812</v>
      </c>
      <c r="G12" s="2955" t="s">
        <v>2813</v>
      </c>
      <c r="H12" s="2955" t="s">
        <v>2795</v>
      </c>
      <c r="I12" s="2956" t="s">
        <v>2814</v>
      </c>
      <c r="J12" s="2956" t="s">
        <v>2814</v>
      </c>
      <c r="K12" s="2952"/>
      <c r="L12" s="2953"/>
      <c r="M12" s="2954"/>
      <c r="N12" s="2953"/>
      <c r="O12" s="2956" t="s">
        <v>2815</v>
      </c>
      <c r="P12" s="2956">
        <v>0.5</v>
      </c>
      <c r="Q12" s="2956">
        <v>1</v>
      </c>
      <c r="R12" s="2956">
        <v>2</v>
      </c>
      <c r="S12" s="2956">
        <v>3</v>
      </c>
      <c r="T12" s="2956">
        <v>5</v>
      </c>
      <c r="U12" s="2956">
        <v>1</v>
      </c>
      <c r="V12" s="2956">
        <v>3</v>
      </c>
      <c r="W12" s="2956">
        <v>5</v>
      </c>
      <c r="X12" s="2953"/>
      <c r="Y12" s="2953"/>
      <c r="Z12" s="2953"/>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c r="AV12" s="2957"/>
      <c r="AW12" s="2957"/>
      <c r="AX12" s="2957"/>
      <c r="AY12" s="2957"/>
      <c r="AZ12" s="2957"/>
      <c r="BA12" s="2957"/>
      <c r="BB12" s="2957"/>
      <c r="BC12" s="2957"/>
      <c r="BD12" s="2957"/>
      <c r="BE12" s="2957"/>
      <c r="BF12" s="2957"/>
      <c r="BG12" s="2957"/>
      <c r="BH12" s="2957"/>
      <c r="BI12" s="2957"/>
      <c r="BJ12" s="2957"/>
      <c r="BK12" s="2957"/>
      <c r="BL12" s="2957"/>
      <c r="BM12" s="2957"/>
      <c r="BN12" s="2957"/>
      <c r="BO12" s="2957"/>
      <c r="BP12" s="2957"/>
      <c r="BQ12" s="2957"/>
      <c r="BR12" s="2957"/>
      <c r="BS12" s="2957"/>
      <c r="BT12" s="2957"/>
      <c r="BU12" s="2957"/>
      <c r="BV12" s="2957"/>
      <c r="BW12" s="2957"/>
      <c r="BX12" s="2957"/>
      <c r="BY12" s="2957"/>
      <c r="BZ12" s="2957"/>
      <c r="CA12" s="2957"/>
      <c r="CB12" s="2957"/>
      <c r="CC12" s="2957"/>
      <c r="CD12" s="2957"/>
      <c r="CE12" s="2957"/>
      <c r="CF12" s="2957"/>
      <c r="CG12" s="2957"/>
      <c r="CH12" s="2957"/>
      <c r="CI12" s="2957"/>
      <c r="CJ12" s="2957"/>
      <c r="CK12" s="2957"/>
      <c r="CL12" s="2957"/>
      <c r="CM12" s="2957"/>
      <c r="CN12" s="2957"/>
      <c r="CO12" s="2957"/>
      <c r="CP12" s="2957"/>
      <c r="CQ12" s="2957"/>
      <c r="CR12" s="2957"/>
      <c r="CS12" s="2957"/>
      <c r="CT12" s="2957"/>
      <c r="CU12" s="2957"/>
      <c r="CV12" s="2957"/>
      <c r="CW12" s="2957"/>
      <c r="CX12" s="2957"/>
      <c r="CY12" s="2957"/>
      <c r="CZ12" s="2957"/>
      <c r="DA12" s="2957"/>
      <c r="DB12" s="2957"/>
      <c r="DC12" s="2957"/>
      <c r="DD12" s="2957"/>
      <c r="DE12" s="2957"/>
      <c r="DF12" s="2957"/>
      <c r="DG12" s="2957"/>
      <c r="DH12" s="2957"/>
      <c r="DI12" s="2957"/>
      <c r="DJ12" s="2957"/>
      <c r="DK12" s="2957"/>
      <c r="DL12" s="2957"/>
      <c r="DM12" s="2957"/>
      <c r="DN12" s="2957"/>
      <c r="DO12" s="2957"/>
      <c r="DP12" s="2957"/>
      <c r="DQ12" s="2957"/>
      <c r="DR12" s="2957"/>
      <c r="DS12" s="2957"/>
      <c r="DT12" s="2957"/>
      <c r="DU12" s="2957"/>
      <c r="DV12" s="2957"/>
      <c r="DW12" s="2957"/>
      <c r="DX12" s="2957"/>
      <c r="DY12" s="2957"/>
      <c r="DZ12" s="2957"/>
      <c r="EA12" s="2957"/>
      <c r="EB12" s="2957"/>
      <c r="EC12" s="2957"/>
      <c r="ED12" s="2957"/>
      <c r="EE12" s="2957"/>
      <c r="EF12" s="2957"/>
      <c r="EG12" s="2957"/>
      <c r="EH12" s="2957"/>
      <c r="EI12" s="2957"/>
      <c r="EJ12" s="2957"/>
      <c r="EK12" s="2957"/>
      <c r="EL12" s="2957"/>
      <c r="EM12" s="2957"/>
      <c r="EN12" s="2957"/>
      <c r="EO12" s="2957"/>
      <c r="EP12" s="2957"/>
      <c r="EQ12" s="2957"/>
      <c r="ER12" s="2957"/>
      <c r="ES12" s="2957"/>
      <c r="ET12" s="2957"/>
      <c r="EU12" s="2957"/>
      <c r="EV12" s="2957"/>
      <c r="EW12" s="2957"/>
      <c r="EX12" s="2957"/>
      <c r="EY12" s="2957"/>
      <c r="EZ12" s="2957"/>
      <c r="FA12" s="2957"/>
      <c r="FB12" s="2957"/>
      <c r="FC12" s="2957"/>
      <c r="FD12" s="2957"/>
      <c r="FE12" s="2957"/>
      <c r="FF12" s="2957"/>
      <c r="FG12" s="2957"/>
      <c r="FH12" s="2957"/>
      <c r="FI12" s="2957"/>
      <c r="FJ12" s="2957"/>
      <c r="FK12" s="2957"/>
      <c r="FL12" s="2957"/>
      <c r="FM12" s="2957"/>
      <c r="FN12" s="2957"/>
      <c r="FO12" s="2957"/>
      <c r="FP12" s="2957"/>
      <c r="FQ12" s="2957"/>
      <c r="FR12" s="2957"/>
      <c r="FS12" s="2957"/>
      <c r="FT12" s="2957"/>
      <c r="FU12" s="2957"/>
      <c r="FV12" s="2957"/>
      <c r="FW12" s="2957"/>
      <c r="FX12" s="2957"/>
      <c r="FY12" s="2957"/>
      <c r="FZ12" s="2957"/>
      <c r="GA12" s="2957"/>
      <c r="GB12" s="2957"/>
      <c r="GC12" s="2957"/>
      <c r="GD12" s="2957"/>
      <c r="GE12" s="2957"/>
      <c r="GF12" s="2957"/>
      <c r="GG12" s="2957"/>
      <c r="GH12" s="2957"/>
      <c r="GI12" s="2957"/>
      <c r="GJ12" s="2957"/>
      <c r="GK12" s="2957"/>
      <c r="GL12" s="2957"/>
      <c r="GM12" s="2957"/>
      <c r="GN12" s="2957"/>
      <c r="GO12" s="2957"/>
      <c r="GP12" s="2957"/>
      <c r="GQ12" s="2957"/>
      <c r="GR12" s="2957"/>
      <c r="GS12" s="2957"/>
      <c r="GT12" s="2957"/>
      <c r="GU12" s="2957"/>
      <c r="GV12" s="2957"/>
      <c r="GW12" s="2957"/>
      <c r="GX12" s="2957"/>
      <c r="GY12" s="2957"/>
      <c r="GZ12" s="2957"/>
      <c r="HA12" s="2957"/>
      <c r="HB12" s="2957"/>
      <c r="HC12" s="2957"/>
      <c r="HD12" s="2957"/>
      <c r="HE12" s="2957"/>
      <c r="HF12" s="2957"/>
      <c r="HG12" s="2957"/>
      <c r="HH12" s="2957"/>
      <c r="HI12" s="2957"/>
      <c r="HJ12" s="2957"/>
      <c r="HK12" s="2957"/>
      <c r="HL12" s="2957"/>
      <c r="HM12" s="2957"/>
      <c r="HN12" s="2957"/>
      <c r="HO12" s="2957"/>
      <c r="HP12" s="2957"/>
      <c r="HQ12" s="2957"/>
      <c r="HR12" s="2957"/>
      <c r="HS12" s="2957"/>
      <c r="HT12" s="2957"/>
      <c r="HU12" s="2957"/>
      <c r="HV12" s="2957"/>
      <c r="HW12" s="2957"/>
      <c r="HX12" s="2957"/>
      <c r="HY12" s="2957"/>
      <c r="HZ12" s="2957"/>
      <c r="IA12" s="2957"/>
      <c r="IB12" s="2957"/>
      <c r="IC12" s="2957"/>
      <c r="ID12" s="2957"/>
      <c r="IE12" s="2957"/>
      <c r="IF12" s="2957"/>
      <c r="IG12" s="2957"/>
      <c r="IH12" s="2957"/>
      <c r="II12" s="2957"/>
      <c r="IJ12" s="2957"/>
      <c r="IK12" s="2957"/>
      <c r="IL12" s="2957"/>
      <c r="IM12" s="2957"/>
      <c r="IN12" s="2957"/>
      <c r="IO12" s="2957"/>
      <c r="IP12" s="2957"/>
      <c r="IQ12" s="2957"/>
      <c r="IR12" s="2957"/>
      <c r="IS12" s="2957"/>
      <c r="IT12" s="2957"/>
      <c r="IU12" s="2957"/>
      <c r="IV12" s="2957"/>
    </row>
    <row r="13" spans="1:257" ht="14.25">
      <c r="A13" s="2958"/>
      <c r="B13" s="2959" t="s">
        <v>2816</v>
      </c>
      <c r="C13" s="2960">
        <v>42301</v>
      </c>
      <c r="D13" s="2961">
        <v>4.3499999999999996</v>
      </c>
      <c r="E13" s="2961">
        <v>4.3499999999999996</v>
      </c>
      <c r="F13" s="2961">
        <v>4.75</v>
      </c>
      <c r="G13" s="2961">
        <v>4.75</v>
      </c>
      <c r="H13" s="2961">
        <v>4.9000000000000004</v>
      </c>
      <c r="I13" s="2961">
        <v>2.75</v>
      </c>
      <c r="J13" s="2961">
        <v>3.25</v>
      </c>
      <c r="K13" s="2958"/>
      <c r="L13" s="2959" t="s">
        <v>2816</v>
      </c>
      <c r="M13" s="2962">
        <v>42301</v>
      </c>
      <c r="N13" s="2961">
        <v>0.35</v>
      </c>
      <c r="O13" s="2961">
        <v>1.1000000000000001</v>
      </c>
      <c r="P13" s="2961">
        <v>1.3</v>
      </c>
      <c r="Q13" s="2961">
        <v>1.5</v>
      </c>
      <c r="R13" s="2961">
        <v>2.1</v>
      </c>
      <c r="S13" s="2961">
        <v>2.75</v>
      </c>
      <c r="T13" s="2961"/>
      <c r="U13" s="2961"/>
      <c r="V13" s="2961"/>
      <c r="W13" s="2961"/>
      <c r="X13" s="2961"/>
      <c r="Y13" s="2961"/>
      <c r="Z13" s="2961"/>
      <c r="AA13" s="2963"/>
      <c r="AB13" s="2963"/>
      <c r="AC13" s="2963"/>
      <c r="AD13" s="2963"/>
      <c r="AE13" s="2963"/>
      <c r="AF13" s="2963"/>
      <c r="AG13" s="2963"/>
      <c r="AH13" s="2963"/>
      <c r="AI13" s="2963"/>
      <c r="AJ13" s="2963"/>
      <c r="AK13" s="2963"/>
      <c r="AL13" s="2963"/>
      <c r="AM13" s="2963"/>
      <c r="AN13" s="2963"/>
      <c r="AO13" s="2963"/>
      <c r="AP13" s="2963"/>
      <c r="AQ13" s="2963"/>
      <c r="AR13" s="2963"/>
      <c r="AS13" s="2963"/>
      <c r="AT13" s="2963"/>
      <c r="AU13" s="2963"/>
      <c r="AV13" s="2963"/>
      <c r="AW13" s="2963"/>
      <c r="AX13" s="2963"/>
      <c r="AY13" s="2963"/>
      <c r="AZ13" s="2963"/>
      <c r="BA13" s="2963"/>
      <c r="BB13" s="2963"/>
      <c r="BC13" s="2963"/>
      <c r="BD13" s="2963"/>
      <c r="BE13" s="2963"/>
      <c r="BF13" s="2963"/>
      <c r="BG13" s="2963"/>
      <c r="BH13" s="2963"/>
      <c r="BI13" s="2963"/>
      <c r="BJ13" s="2963"/>
      <c r="BK13" s="2963"/>
      <c r="BL13" s="2963"/>
      <c r="BM13" s="2963"/>
      <c r="BN13" s="2963"/>
      <c r="BO13" s="2963"/>
      <c r="BP13" s="2963"/>
      <c r="BQ13" s="2963"/>
      <c r="BR13" s="2963"/>
      <c r="BS13" s="2963"/>
      <c r="BT13" s="2963"/>
      <c r="BU13" s="2963"/>
      <c r="BV13" s="2963"/>
      <c r="BW13" s="2963"/>
      <c r="BX13" s="2963"/>
      <c r="BY13" s="2963"/>
      <c r="BZ13" s="2963"/>
      <c r="CA13" s="2963"/>
      <c r="CB13" s="2963"/>
      <c r="CC13" s="2963"/>
      <c r="CD13" s="2963"/>
      <c r="CE13" s="2963"/>
      <c r="CF13" s="2963"/>
      <c r="CG13" s="2963"/>
      <c r="CH13" s="2963"/>
      <c r="CI13" s="2963"/>
      <c r="CJ13" s="2963"/>
      <c r="CK13" s="2963"/>
      <c r="CL13" s="2963"/>
      <c r="CM13" s="2963"/>
      <c r="CN13" s="2963"/>
      <c r="CO13" s="2963"/>
      <c r="CP13" s="2963"/>
      <c r="CQ13" s="2963"/>
      <c r="CR13" s="2963"/>
      <c r="CS13" s="2963"/>
      <c r="CT13" s="2963"/>
      <c r="CU13" s="2963"/>
      <c r="CV13" s="2963"/>
      <c r="CW13" s="2963"/>
      <c r="CX13" s="2963"/>
      <c r="CY13" s="2963"/>
      <c r="CZ13" s="2963"/>
      <c r="DA13" s="2963"/>
      <c r="DB13" s="2963"/>
      <c r="DC13" s="2963"/>
      <c r="DD13" s="2963"/>
      <c r="DE13" s="2963"/>
      <c r="DF13" s="2963"/>
      <c r="DG13" s="2963"/>
      <c r="DH13" s="2963"/>
      <c r="DI13" s="2963"/>
      <c r="DJ13" s="2963"/>
      <c r="DK13" s="2963"/>
      <c r="DL13" s="2963"/>
      <c r="DM13" s="2963"/>
      <c r="DN13" s="2963"/>
      <c r="DO13" s="2963"/>
      <c r="DP13" s="2963"/>
      <c r="DQ13" s="2963"/>
      <c r="DR13" s="2963"/>
      <c r="DS13" s="2963"/>
      <c r="DT13" s="2963"/>
      <c r="DU13" s="2963"/>
      <c r="DV13" s="2963"/>
      <c r="DW13" s="2963"/>
      <c r="DX13" s="2963"/>
      <c r="DY13" s="2963"/>
      <c r="DZ13" s="2963"/>
      <c r="EA13" s="2963"/>
      <c r="EB13" s="2963"/>
      <c r="EC13" s="2963"/>
      <c r="ED13" s="2963"/>
      <c r="EE13" s="2963"/>
      <c r="EF13" s="2963"/>
      <c r="EG13" s="2963"/>
      <c r="EH13" s="2963"/>
      <c r="EI13" s="2963"/>
      <c r="EJ13" s="2963"/>
      <c r="EK13" s="2963"/>
      <c r="EL13" s="2963"/>
      <c r="EM13" s="2963"/>
      <c r="EN13" s="2963"/>
      <c r="EO13" s="2963"/>
      <c r="EP13" s="2963"/>
      <c r="EQ13" s="2963"/>
      <c r="ER13" s="2963"/>
      <c r="ES13" s="2963"/>
      <c r="ET13" s="2963"/>
      <c r="EU13" s="2963"/>
      <c r="EV13" s="2963"/>
      <c r="EW13" s="2963"/>
      <c r="EX13" s="2963"/>
      <c r="EY13" s="2963"/>
      <c r="EZ13" s="2963"/>
      <c r="FA13" s="2963"/>
      <c r="FB13" s="2963"/>
      <c r="FC13" s="2963"/>
      <c r="FD13" s="2963"/>
      <c r="FE13" s="2963"/>
      <c r="FF13" s="2963"/>
      <c r="FG13" s="2963"/>
      <c r="FH13" s="2963"/>
      <c r="FI13" s="2963"/>
      <c r="FJ13" s="2963"/>
      <c r="FK13" s="2963"/>
      <c r="FL13" s="2963"/>
      <c r="FM13" s="2963"/>
      <c r="FN13" s="2963"/>
      <c r="FO13" s="2963"/>
      <c r="FP13" s="2963"/>
      <c r="FQ13" s="2963"/>
      <c r="FR13" s="2963"/>
      <c r="FS13" s="2963"/>
      <c r="FT13" s="2963"/>
      <c r="FU13" s="2963"/>
      <c r="FV13" s="2963"/>
      <c r="FW13" s="2963"/>
      <c r="FX13" s="2963"/>
      <c r="FY13" s="2963"/>
      <c r="FZ13" s="2963"/>
      <c r="GA13" s="2963"/>
      <c r="GB13" s="2963"/>
      <c r="GC13" s="2963"/>
      <c r="GD13" s="2963"/>
      <c r="GE13" s="2963"/>
      <c r="GF13" s="2963"/>
      <c r="GG13" s="2963"/>
      <c r="GH13" s="2963"/>
      <c r="GI13" s="2963"/>
      <c r="GJ13" s="2963"/>
      <c r="GK13" s="2963"/>
      <c r="GL13" s="2963"/>
      <c r="GM13" s="2963"/>
      <c r="GN13" s="2963"/>
      <c r="GO13" s="2963"/>
      <c r="GP13" s="2963"/>
      <c r="GQ13" s="2963"/>
      <c r="GR13" s="2963"/>
      <c r="GS13" s="2963"/>
      <c r="GT13" s="2963"/>
      <c r="GU13" s="2963"/>
      <c r="GV13" s="2963"/>
      <c r="GW13" s="2963"/>
      <c r="GX13" s="2963"/>
      <c r="GY13" s="2963"/>
      <c r="GZ13" s="2963"/>
      <c r="HA13" s="2963"/>
      <c r="HB13" s="2963"/>
      <c r="HC13" s="2963"/>
      <c r="HD13" s="2963"/>
      <c r="HE13" s="2963"/>
      <c r="HF13" s="2963"/>
      <c r="HG13" s="2963"/>
      <c r="HH13" s="2963"/>
      <c r="HI13" s="2963"/>
      <c r="HJ13" s="2963"/>
      <c r="HK13" s="2963"/>
      <c r="HL13" s="2963"/>
      <c r="HM13" s="2963"/>
      <c r="HN13" s="2963"/>
      <c r="HO13" s="2963"/>
      <c r="HP13" s="2963"/>
      <c r="HQ13" s="2963"/>
      <c r="HR13" s="2963"/>
      <c r="HS13" s="2963"/>
      <c r="HT13" s="2963"/>
      <c r="HU13" s="2963"/>
      <c r="HV13" s="2963"/>
      <c r="HW13" s="2963"/>
      <c r="HX13" s="2963"/>
      <c r="HY13" s="2963"/>
      <c r="HZ13" s="2963"/>
      <c r="IA13" s="2963"/>
      <c r="IB13" s="2963"/>
      <c r="IC13" s="2963"/>
      <c r="ID13" s="2963"/>
      <c r="IE13" s="2963"/>
      <c r="IF13" s="2963"/>
      <c r="IG13" s="2963"/>
      <c r="IH13" s="2963"/>
      <c r="II13" s="2963"/>
      <c r="IJ13" s="2963"/>
      <c r="IK13" s="2963"/>
      <c r="IL13" s="2963"/>
      <c r="IM13" s="2963"/>
      <c r="IN13" s="2963"/>
      <c r="IO13" s="2963"/>
      <c r="IP13" s="2963"/>
      <c r="IQ13" s="2963"/>
      <c r="IR13" s="2963"/>
      <c r="IS13" s="2963"/>
      <c r="IT13" s="2963"/>
      <c r="IU13" s="2963"/>
      <c r="IV13" s="2963"/>
      <c r="IW13" s="2964"/>
    </row>
    <row r="14" spans="1:257">
      <c r="B14" s="2965"/>
      <c r="C14" s="2966">
        <v>42242</v>
      </c>
      <c r="D14" s="2965">
        <v>4.5999999999999996</v>
      </c>
      <c r="E14" s="2965">
        <v>4.5999999999999996</v>
      </c>
      <c r="F14" s="2965">
        <v>5</v>
      </c>
      <c r="G14" s="2965">
        <v>5</v>
      </c>
      <c r="H14" s="2965">
        <v>5.15</v>
      </c>
      <c r="I14" s="2965">
        <v>2.75</v>
      </c>
      <c r="J14" s="2965">
        <v>3.25</v>
      </c>
      <c r="L14" s="2965"/>
      <c r="M14" s="2966">
        <v>42242</v>
      </c>
      <c r="N14" s="2965">
        <v>0.35</v>
      </c>
      <c r="O14" s="2965">
        <v>1.35</v>
      </c>
      <c r="P14" s="2965">
        <v>1.55</v>
      </c>
      <c r="Q14" s="2965">
        <v>1.75</v>
      </c>
      <c r="R14" s="2965">
        <v>2.35</v>
      </c>
      <c r="S14" s="2965">
        <v>3</v>
      </c>
      <c r="T14" s="2965"/>
      <c r="U14" s="2965"/>
      <c r="V14" s="2965"/>
      <c r="W14" s="2965"/>
      <c r="X14" s="2965"/>
      <c r="Y14" s="2965"/>
      <c r="Z14" s="2965"/>
    </row>
    <row r="15" spans="1:257">
      <c r="B15" s="2965"/>
      <c r="C15" s="2966">
        <v>42183</v>
      </c>
      <c r="D15" s="2965">
        <v>4.8499999999999996</v>
      </c>
      <c r="E15" s="2965">
        <v>4.8499999999999996</v>
      </c>
      <c r="F15" s="2965">
        <v>5.25</v>
      </c>
      <c r="G15" s="2965">
        <v>5.25</v>
      </c>
      <c r="H15" s="2965">
        <v>5.4</v>
      </c>
      <c r="I15" s="2965">
        <v>3</v>
      </c>
      <c r="J15" s="2965">
        <v>3.5</v>
      </c>
      <c r="L15" s="2965"/>
      <c r="M15" s="2966">
        <v>42183</v>
      </c>
      <c r="N15" s="2965">
        <v>0.35</v>
      </c>
      <c r="O15" s="2965">
        <v>1.6</v>
      </c>
      <c r="P15" s="2965">
        <v>1.8</v>
      </c>
      <c r="Q15" s="2965">
        <v>2</v>
      </c>
      <c r="R15" s="2965">
        <v>2.6</v>
      </c>
      <c r="S15" s="2965">
        <v>3.25</v>
      </c>
      <c r="T15" s="2965"/>
      <c r="U15" s="2965"/>
      <c r="V15" s="2965"/>
      <c r="W15" s="2965"/>
      <c r="X15" s="2965"/>
      <c r="Y15" s="2965"/>
      <c r="Z15" s="2965"/>
    </row>
    <row r="16" spans="1:257">
      <c r="B16" s="2965"/>
      <c r="C16" s="2966">
        <v>42135</v>
      </c>
      <c r="D16" s="2965">
        <v>5.0999999999999996</v>
      </c>
      <c r="E16" s="2965">
        <v>5.0999999999999996</v>
      </c>
      <c r="F16" s="2965">
        <v>5.5</v>
      </c>
      <c r="G16" s="2965">
        <v>5.5</v>
      </c>
      <c r="H16" s="2965">
        <v>5.65</v>
      </c>
      <c r="I16" s="2965">
        <v>3.25</v>
      </c>
      <c r="J16" s="2965">
        <v>3.75</v>
      </c>
      <c r="L16" s="2965"/>
      <c r="M16" s="2966">
        <v>42135</v>
      </c>
      <c r="N16" s="2965">
        <v>0.35</v>
      </c>
      <c r="O16" s="2965">
        <v>1.85</v>
      </c>
      <c r="P16" s="2965">
        <v>2.0499999999999998</v>
      </c>
      <c r="Q16" s="2965">
        <v>2.25</v>
      </c>
      <c r="R16" s="2965">
        <v>2.85</v>
      </c>
      <c r="S16" s="2965">
        <v>3.5</v>
      </c>
      <c r="T16" s="2965"/>
      <c r="U16" s="2965"/>
      <c r="V16" s="2965"/>
      <c r="W16" s="2965"/>
      <c r="X16" s="2965"/>
      <c r="Y16" s="2965"/>
      <c r="Z16" s="2965"/>
    </row>
    <row r="17" spans="2:26">
      <c r="B17" s="2965"/>
      <c r="C17" s="2966">
        <v>42064</v>
      </c>
      <c r="D17" s="2965">
        <v>5.35</v>
      </c>
      <c r="E17" s="2965">
        <v>5.35</v>
      </c>
      <c r="F17" s="2965">
        <v>5.75</v>
      </c>
      <c r="G17" s="2965">
        <v>5.75</v>
      </c>
      <c r="H17" s="2965">
        <v>5.9</v>
      </c>
      <c r="I17" s="2965"/>
      <c r="J17" s="2965"/>
      <c r="L17" s="2965"/>
      <c r="M17" s="2966">
        <v>42064</v>
      </c>
      <c r="N17" s="2965">
        <v>0.35</v>
      </c>
      <c r="O17" s="2965">
        <v>2.1</v>
      </c>
      <c r="P17" s="2965">
        <v>2.2999999999999998</v>
      </c>
      <c r="Q17" s="2965">
        <v>2.5</v>
      </c>
      <c r="R17" s="2965">
        <v>3.1</v>
      </c>
      <c r="S17" s="2965">
        <v>3.75</v>
      </c>
      <c r="T17" s="2965">
        <v>4.5</v>
      </c>
      <c r="U17" s="2965">
        <v>2.35</v>
      </c>
      <c r="V17" s="2965">
        <v>2.5499999999999998</v>
      </c>
      <c r="W17" s="2965">
        <v>2.75</v>
      </c>
      <c r="X17" s="2965"/>
      <c r="Y17" s="2965">
        <v>0.8</v>
      </c>
      <c r="Z17" s="2965">
        <v>1.35</v>
      </c>
    </row>
    <row r="18" spans="2:26" ht="15">
      <c r="B18" s="2965"/>
      <c r="C18" s="2966">
        <v>41965</v>
      </c>
      <c r="D18" s="2965">
        <v>5.6</v>
      </c>
      <c r="E18" s="2965">
        <v>5.6</v>
      </c>
      <c r="F18" s="2965">
        <v>6</v>
      </c>
      <c r="G18" s="2965">
        <v>6</v>
      </c>
      <c r="H18" s="2965">
        <v>6.15</v>
      </c>
      <c r="I18" s="2965"/>
      <c r="J18" s="2965"/>
      <c r="L18" s="2965"/>
      <c r="M18" s="2966">
        <v>41965</v>
      </c>
      <c r="N18" s="2965">
        <v>0.35</v>
      </c>
      <c r="O18" s="2965">
        <v>2.35</v>
      </c>
      <c r="P18" s="2965">
        <v>2.5499999999999998</v>
      </c>
      <c r="Q18" s="2965">
        <v>2.75</v>
      </c>
      <c r="R18" s="2965">
        <v>3.35</v>
      </c>
      <c r="S18" s="2965">
        <v>4</v>
      </c>
      <c r="T18" s="2965">
        <v>4.75</v>
      </c>
      <c r="U18" s="2967">
        <v>2.35</v>
      </c>
      <c r="V18" s="2967">
        <v>2.5499999999999998</v>
      </c>
      <c r="W18" s="2967">
        <v>2.75</v>
      </c>
      <c r="X18" s="2965"/>
      <c r="Y18" s="2967">
        <v>0.8</v>
      </c>
      <c r="Z18" s="2967">
        <v>1.35</v>
      </c>
    </row>
    <row r="19" spans="2:26">
      <c r="B19" s="2965"/>
      <c r="C19" s="2966">
        <v>41096</v>
      </c>
      <c r="D19" s="2965">
        <v>5.6</v>
      </c>
      <c r="E19" s="2965">
        <v>6</v>
      </c>
      <c r="F19" s="2965">
        <v>6.15</v>
      </c>
      <c r="G19" s="2965">
        <v>6.4</v>
      </c>
      <c r="H19" s="2965">
        <v>6.55</v>
      </c>
      <c r="I19" s="2965">
        <v>4</v>
      </c>
      <c r="J19" s="2965">
        <v>4.5</v>
      </c>
      <c r="L19" s="2965"/>
      <c r="M19" s="2966">
        <v>41096</v>
      </c>
      <c r="N19" s="2965">
        <v>0.35</v>
      </c>
      <c r="O19" s="2965">
        <v>2.6</v>
      </c>
      <c r="P19" s="2965">
        <v>2.8</v>
      </c>
      <c r="Q19" s="2965">
        <v>3</v>
      </c>
      <c r="R19" s="2965">
        <v>3.75</v>
      </c>
      <c r="S19" s="2965">
        <v>4.25</v>
      </c>
      <c r="T19" s="2965">
        <v>4.75</v>
      </c>
      <c r="U19" s="2965">
        <v>2.85</v>
      </c>
      <c r="V19" s="2965">
        <v>2.9</v>
      </c>
      <c r="W19" s="2965">
        <v>3</v>
      </c>
      <c r="X19" s="2965">
        <v>1.1499999999999999</v>
      </c>
      <c r="Y19" s="2965">
        <v>0.8</v>
      </c>
      <c r="Z19" s="2965">
        <v>1.35</v>
      </c>
    </row>
    <row r="20" spans="2:26">
      <c r="B20" s="2965"/>
      <c r="C20" s="2966">
        <v>41068</v>
      </c>
      <c r="D20" s="2965">
        <v>5.85</v>
      </c>
      <c r="E20" s="2965">
        <v>6.31</v>
      </c>
      <c r="F20" s="2965">
        <v>6.4</v>
      </c>
      <c r="G20" s="2965">
        <v>6.65</v>
      </c>
      <c r="H20" s="2965">
        <v>6.8</v>
      </c>
      <c r="I20" s="2965">
        <v>4.2</v>
      </c>
      <c r="J20" s="2965">
        <v>4.7</v>
      </c>
      <c r="L20" s="2965"/>
      <c r="M20" s="2966">
        <v>41068</v>
      </c>
      <c r="N20" s="2965">
        <v>0.4</v>
      </c>
      <c r="O20" s="2965">
        <v>2.85</v>
      </c>
      <c r="P20" s="2965">
        <v>3.05</v>
      </c>
      <c r="Q20" s="2965">
        <v>3.25</v>
      </c>
      <c r="R20" s="2965">
        <v>4.0999999999999996</v>
      </c>
      <c r="S20" s="2965">
        <v>4.6500000000000004</v>
      </c>
      <c r="T20" s="2965">
        <v>5.0999999999999996</v>
      </c>
      <c r="U20" s="2965">
        <v>3.1</v>
      </c>
      <c r="V20" s="2965">
        <v>3.15</v>
      </c>
      <c r="W20" s="2965">
        <v>3.25</v>
      </c>
      <c r="X20" s="2965">
        <v>1.31</v>
      </c>
      <c r="Y20" s="2965">
        <v>0.94</v>
      </c>
      <c r="Z20" s="2965">
        <v>1.49</v>
      </c>
    </row>
    <row r="21" spans="2:26">
      <c r="B21" s="2965"/>
      <c r="C21" s="2966">
        <v>40731</v>
      </c>
      <c r="D21" s="2965">
        <v>6.1</v>
      </c>
      <c r="E21" s="2965">
        <v>6.56</v>
      </c>
      <c r="F21" s="2965">
        <v>6.65</v>
      </c>
      <c r="G21" s="2965">
        <v>6.9</v>
      </c>
      <c r="H21" s="2965">
        <v>7.05</v>
      </c>
      <c r="I21" s="2965">
        <v>4.45</v>
      </c>
      <c r="J21" s="2965">
        <v>4.9000000000000004</v>
      </c>
      <c r="L21" s="2965"/>
      <c r="M21" s="2966">
        <v>40731</v>
      </c>
      <c r="N21" s="2965">
        <v>0.5</v>
      </c>
      <c r="O21" s="2965">
        <v>3.1</v>
      </c>
      <c r="P21" s="2965">
        <v>3.3</v>
      </c>
      <c r="Q21" s="2965">
        <v>3.5</v>
      </c>
      <c r="R21" s="2965">
        <v>4.4000000000000004</v>
      </c>
      <c r="S21" s="2965">
        <v>5</v>
      </c>
      <c r="T21" s="2965">
        <v>5.5</v>
      </c>
      <c r="U21" s="2965">
        <v>3.1</v>
      </c>
      <c r="V21" s="2965">
        <v>3.3</v>
      </c>
      <c r="W21" s="2965">
        <v>3.5</v>
      </c>
      <c r="X21" s="2965">
        <v>1.31</v>
      </c>
      <c r="Y21" s="2965">
        <v>0.95</v>
      </c>
      <c r="Z21" s="2965">
        <v>1.49</v>
      </c>
    </row>
    <row r="22" spans="2:26">
      <c r="B22" s="2965"/>
      <c r="C22" s="2966">
        <v>40639</v>
      </c>
      <c r="D22" s="2965">
        <v>5.85</v>
      </c>
      <c r="E22" s="2965">
        <v>6.31</v>
      </c>
      <c r="F22" s="2965">
        <v>6.4</v>
      </c>
      <c r="G22" s="2965">
        <v>6.65</v>
      </c>
      <c r="H22" s="2965">
        <v>6.8</v>
      </c>
      <c r="I22" s="2965">
        <v>4.2</v>
      </c>
      <c r="J22" s="2965">
        <v>4.7</v>
      </c>
      <c r="L22" s="2965"/>
      <c r="M22" s="2966">
        <v>40639</v>
      </c>
      <c r="N22" s="2965">
        <v>0.5</v>
      </c>
      <c r="O22" s="2965">
        <v>2.85</v>
      </c>
      <c r="P22" s="2965">
        <v>3.05</v>
      </c>
      <c r="Q22" s="2965">
        <v>3.25</v>
      </c>
      <c r="R22" s="2965">
        <v>4.1500000000000004</v>
      </c>
      <c r="S22" s="2965">
        <v>4.75</v>
      </c>
      <c r="T22" s="2965">
        <v>5.25</v>
      </c>
      <c r="U22" s="2965">
        <v>2.85</v>
      </c>
      <c r="V22" s="2965">
        <v>3.05</v>
      </c>
      <c r="W22" s="2965">
        <v>3.25</v>
      </c>
      <c r="X22" s="2965">
        <v>1.31</v>
      </c>
      <c r="Y22" s="2965">
        <v>0.95</v>
      </c>
      <c r="Z22" s="2965">
        <v>1.49</v>
      </c>
    </row>
    <row r="23" spans="2:26">
      <c r="B23" s="2965"/>
      <c r="C23" s="2966">
        <v>40583</v>
      </c>
      <c r="D23" s="2965">
        <v>5.6</v>
      </c>
      <c r="E23" s="2965">
        <v>6.06</v>
      </c>
      <c r="F23" s="2965">
        <v>6.1</v>
      </c>
      <c r="G23" s="2965">
        <v>6.45</v>
      </c>
      <c r="H23" s="2965">
        <v>6.6</v>
      </c>
      <c r="I23" s="2965">
        <v>4</v>
      </c>
      <c r="J23" s="2965">
        <v>4.5</v>
      </c>
      <c r="L23" s="2965"/>
      <c r="M23" s="2966">
        <v>40583</v>
      </c>
      <c r="N23" s="2965">
        <v>0.4</v>
      </c>
      <c r="O23" s="2965">
        <v>2.6</v>
      </c>
      <c r="P23" s="2965">
        <v>2.8</v>
      </c>
      <c r="Q23" s="2965">
        <v>3</v>
      </c>
      <c r="R23" s="2965">
        <v>3.9</v>
      </c>
      <c r="S23" s="2965">
        <v>4.5</v>
      </c>
      <c r="T23" s="2965">
        <v>5</v>
      </c>
      <c r="U23" s="2965">
        <v>2.6</v>
      </c>
      <c r="V23" s="2965">
        <v>2.8</v>
      </c>
      <c r="W23" s="2965">
        <v>3</v>
      </c>
      <c r="X23" s="2965">
        <v>1.21</v>
      </c>
      <c r="Y23" s="2965">
        <v>0.85</v>
      </c>
      <c r="Z23" s="2965">
        <v>1.39</v>
      </c>
    </row>
    <row r="24" spans="2:26">
      <c r="B24" s="2965"/>
      <c r="C24" s="2966">
        <v>40538</v>
      </c>
      <c r="D24" s="2965">
        <v>5.35</v>
      </c>
      <c r="E24" s="2965">
        <v>5.81</v>
      </c>
      <c r="F24" s="2965">
        <v>5.85</v>
      </c>
      <c r="G24" s="2965">
        <v>6.22</v>
      </c>
      <c r="H24" s="2965">
        <v>6.4</v>
      </c>
      <c r="I24" s="2965">
        <v>3.75</v>
      </c>
      <c r="J24" s="2965">
        <v>4.3</v>
      </c>
      <c r="L24" s="2965"/>
      <c r="M24" s="2966">
        <v>40538</v>
      </c>
      <c r="N24" s="2965">
        <v>0.36</v>
      </c>
      <c r="O24" s="2965">
        <v>2.25</v>
      </c>
      <c r="P24" s="2965">
        <v>2.5</v>
      </c>
      <c r="Q24" s="2965">
        <v>2.75</v>
      </c>
      <c r="R24" s="2965">
        <v>3.55</v>
      </c>
      <c r="S24" s="2965">
        <v>4.1500000000000004</v>
      </c>
      <c r="T24" s="2965">
        <v>4.55</v>
      </c>
      <c r="U24" s="2965">
        <v>2.16</v>
      </c>
      <c r="V24" s="2965">
        <v>2.5</v>
      </c>
      <c r="W24" s="2965">
        <v>2.85</v>
      </c>
      <c r="X24" s="2965">
        <v>1.17</v>
      </c>
      <c r="Y24" s="2965">
        <v>0.81</v>
      </c>
      <c r="Z24" s="2965">
        <v>1.35</v>
      </c>
    </row>
    <row r="25" spans="2:26">
      <c r="B25" s="2965"/>
      <c r="C25" s="2966">
        <v>40471</v>
      </c>
      <c r="D25" s="2965">
        <v>5.0999999999999996</v>
      </c>
      <c r="E25" s="2965">
        <v>5.56</v>
      </c>
      <c r="F25" s="2965">
        <v>5.6</v>
      </c>
      <c r="G25" s="2965">
        <v>5.96</v>
      </c>
      <c r="H25" s="2965">
        <v>6.14</v>
      </c>
      <c r="I25" s="2965">
        <v>3.5</v>
      </c>
      <c r="J25" s="2965">
        <v>4.05</v>
      </c>
      <c r="L25" s="2965"/>
      <c r="M25" s="2966">
        <v>40471</v>
      </c>
      <c r="N25" s="2965">
        <v>0.36</v>
      </c>
      <c r="O25" s="2965">
        <v>1.91</v>
      </c>
      <c r="P25" s="2965">
        <v>2.2000000000000002</v>
      </c>
      <c r="Q25" s="2965">
        <v>2.5</v>
      </c>
      <c r="R25" s="2965">
        <v>3.25</v>
      </c>
      <c r="S25" s="2965">
        <v>3.85</v>
      </c>
      <c r="T25" s="2965">
        <v>4.2</v>
      </c>
      <c r="U25" s="2965">
        <v>1.91</v>
      </c>
      <c r="V25" s="2965">
        <v>2.2000000000000002</v>
      </c>
      <c r="W25" s="2965">
        <v>2.5</v>
      </c>
      <c r="X25" s="2965">
        <v>1.17</v>
      </c>
      <c r="Y25" s="2965">
        <v>0.81</v>
      </c>
      <c r="Z25" s="2965">
        <v>1.35</v>
      </c>
    </row>
    <row r="26" spans="2:26">
      <c r="B26" s="2965"/>
      <c r="C26" s="2966">
        <v>39805</v>
      </c>
      <c r="D26" s="2965">
        <v>4.8600000000000003</v>
      </c>
      <c r="E26" s="2965">
        <v>5.31</v>
      </c>
      <c r="F26" s="2965">
        <v>5.4</v>
      </c>
      <c r="G26" s="2965">
        <v>5.76</v>
      </c>
      <c r="H26" s="2965">
        <v>5.94</v>
      </c>
      <c r="I26" s="2965">
        <v>3.33</v>
      </c>
      <c r="J26" s="2965">
        <v>3.87</v>
      </c>
      <c r="L26" s="2965"/>
      <c r="M26" s="2966">
        <v>39805</v>
      </c>
      <c r="N26" s="2965">
        <v>0.36</v>
      </c>
      <c r="O26" s="2965">
        <v>1.71</v>
      </c>
      <c r="P26" s="2965">
        <v>1.98</v>
      </c>
      <c r="Q26" s="2965">
        <v>2.25</v>
      </c>
      <c r="R26" s="2965">
        <v>2.79</v>
      </c>
      <c r="S26" s="2965">
        <v>3.33</v>
      </c>
      <c r="T26" s="2965">
        <v>3.6</v>
      </c>
      <c r="U26" s="2965">
        <v>1.71</v>
      </c>
      <c r="V26" s="2965">
        <v>1.98</v>
      </c>
      <c r="W26" s="2965">
        <v>2.25</v>
      </c>
      <c r="X26" s="2965">
        <v>1.17</v>
      </c>
      <c r="Y26" s="2965">
        <v>0.81</v>
      </c>
      <c r="Z26" s="2965">
        <v>1.35</v>
      </c>
    </row>
    <row r="27" spans="2:26">
      <c r="B27" s="2965"/>
      <c r="C27" s="2966">
        <v>39779</v>
      </c>
      <c r="D27" s="2965">
        <v>5.04</v>
      </c>
      <c r="E27" s="2965">
        <v>5.58</v>
      </c>
      <c r="F27" s="2965">
        <v>5.67</v>
      </c>
      <c r="G27" s="2965">
        <v>5.94</v>
      </c>
      <c r="H27" s="2965">
        <v>6.12</v>
      </c>
      <c r="I27" s="2965">
        <v>3.51</v>
      </c>
      <c r="J27" s="2965">
        <v>4.05</v>
      </c>
      <c r="L27" s="2965"/>
      <c r="M27" s="2966">
        <v>39779</v>
      </c>
      <c r="N27" s="2965">
        <v>0.36</v>
      </c>
      <c r="O27" s="2965">
        <v>1.98</v>
      </c>
      <c r="P27" s="2965">
        <v>2.25</v>
      </c>
      <c r="Q27" s="2965">
        <v>2.52</v>
      </c>
      <c r="R27" s="2965">
        <v>3.06</v>
      </c>
      <c r="S27" s="2965">
        <v>3.6</v>
      </c>
      <c r="T27" s="2965">
        <v>3.87</v>
      </c>
      <c r="U27" s="2965">
        <v>1.98</v>
      </c>
      <c r="V27" s="2965">
        <v>2.25</v>
      </c>
      <c r="W27" s="2965">
        <v>2.52</v>
      </c>
      <c r="X27" s="2965">
        <v>1.17</v>
      </c>
      <c r="Y27" s="2965">
        <v>0.81</v>
      </c>
      <c r="Z27" s="2965">
        <v>1.35</v>
      </c>
    </row>
    <row r="28" spans="2:26">
      <c r="B28" s="2965"/>
      <c r="C28" s="2966">
        <v>39751</v>
      </c>
      <c r="D28" s="2965">
        <v>6.03</v>
      </c>
      <c r="E28" s="2965">
        <v>6.66</v>
      </c>
      <c r="F28" s="2965">
        <v>6.75</v>
      </c>
      <c r="G28" s="2965">
        <v>7.02</v>
      </c>
      <c r="H28" s="2965">
        <v>7.2</v>
      </c>
      <c r="I28" s="2965">
        <v>4.05</v>
      </c>
      <c r="J28" s="2965">
        <v>4.59</v>
      </c>
      <c r="L28" s="2965"/>
      <c r="M28" s="2966">
        <v>39751</v>
      </c>
      <c r="N28" s="2965">
        <v>0.72</v>
      </c>
      <c r="O28" s="2965">
        <v>2.88</v>
      </c>
      <c r="P28" s="2965">
        <v>3.24</v>
      </c>
      <c r="Q28" s="2965">
        <v>3.6</v>
      </c>
      <c r="R28" s="2965">
        <v>4.1399999999999997</v>
      </c>
      <c r="S28" s="2965">
        <v>4.7699999999999996</v>
      </c>
      <c r="T28" s="2965">
        <v>5.13</v>
      </c>
      <c r="U28" s="2965">
        <v>2.88</v>
      </c>
      <c r="V28" s="2965">
        <v>3.24</v>
      </c>
      <c r="W28" s="2965">
        <v>3.6</v>
      </c>
      <c r="X28" s="2965">
        <v>1.53</v>
      </c>
      <c r="Y28" s="2965">
        <v>1.17</v>
      </c>
      <c r="Z28" s="2965">
        <v>1.71</v>
      </c>
    </row>
    <row r="29" spans="2:26">
      <c r="B29" s="2965"/>
      <c r="C29" s="2968">
        <v>39748</v>
      </c>
      <c r="D29" s="2965">
        <v>6.12</v>
      </c>
      <c r="E29" s="2965">
        <v>6.93</v>
      </c>
      <c r="F29" s="2965">
        <v>7.02</v>
      </c>
      <c r="G29" s="2965">
        <v>7.29</v>
      </c>
      <c r="H29" s="2965">
        <v>7.47</v>
      </c>
      <c r="I29" s="2965">
        <v>4.05</v>
      </c>
      <c r="J29" s="2965">
        <v>4.59</v>
      </c>
      <c r="L29" s="2965"/>
      <c r="M29" s="2968">
        <v>39736</v>
      </c>
      <c r="N29" s="2965">
        <v>0.72</v>
      </c>
      <c r="O29" s="2965">
        <v>3.15</v>
      </c>
      <c r="P29" s="2965">
        <v>3.51</v>
      </c>
      <c r="Q29" s="2965">
        <v>3.87</v>
      </c>
      <c r="R29" s="2965">
        <v>4.41</v>
      </c>
      <c r="S29" s="2965">
        <v>5.13</v>
      </c>
      <c r="T29" s="2965">
        <v>5.58</v>
      </c>
      <c r="U29" s="2965">
        <v>3.15</v>
      </c>
      <c r="V29" s="2965">
        <v>3.51</v>
      </c>
      <c r="W29" s="2965">
        <v>3.87</v>
      </c>
      <c r="X29" s="2965">
        <v>1.53</v>
      </c>
      <c r="Y29" s="2965">
        <v>1.17</v>
      </c>
      <c r="Z29" s="2965">
        <v>1.71</v>
      </c>
    </row>
    <row r="30" spans="2:26">
      <c r="B30" s="2965"/>
      <c r="C30" s="2966">
        <v>39730</v>
      </c>
      <c r="D30" s="2965">
        <v>6.12</v>
      </c>
      <c r="E30" s="2965">
        <v>6.93</v>
      </c>
      <c r="F30" s="2965">
        <v>7.02</v>
      </c>
      <c r="G30" s="2965">
        <v>7.29</v>
      </c>
      <c r="H30" s="2965">
        <v>7.47</v>
      </c>
      <c r="I30" s="2965">
        <v>4.32</v>
      </c>
      <c r="J30" s="2965">
        <v>4.8600000000000003</v>
      </c>
      <c r="L30" s="2965"/>
      <c r="M30" s="2966">
        <v>39730</v>
      </c>
      <c r="N30" s="2965">
        <v>0.72</v>
      </c>
      <c r="O30" s="2965">
        <v>3.15</v>
      </c>
      <c r="P30" s="2965">
        <v>3.51</v>
      </c>
      <c r="Q30" s="2965">
        <v>3.87</v>
      </c>
      <c r="R30" s="2965">
        <v>4.41</v>
      </c>
      <c r="S30" s="2965">
        <v>5.13</v>
      </c>
      <c r="T30" s="2965">
        <v>5.58</v>
      </c>
      <c r="U30" s="2965">
        <v>3.15</v>
      </c>
      <c r="V30" s="2965">
        <v>3.51</v>
      </c>
      <c r="W30" s="2965">
        <v>3.87</v>
      </c>
      <c r="X30" s="2965">
        <v>1.53</v>
      </c>
      <c r="Y30" s="2965">
        <v>1.17</v>
      </c>
      <c r="Z30" s="2965">
        <v>1.71</v>
      </c>
    </row>
    <row r="31" spans="2:26">
      <c r="B31" s="2965"/>
      <c r="C31" s="2966">
        <v>39707</v>
      </c>
      <c r="D31" s="2965">
        <v>6.21</v>
      </c>
      <c r="E31" s="2965">
        <v>7.2</v>
      </c>
      <c r="F31" s="2965">
        <v>7.29</v>
      </c>
      <c r="G31" s="2965">
        <v>7.56</v>
      </c>
      <c r="H31" s="2965">
        <v>7.74</v>
      </c>
      <c r="I31" s="2965">
        <v>4.59</v>
      </c>
      <c r="J31" s="2965">
        <v>5.13</v>
      </c>
      <c r="L31" s="2965"/>
      <c r="M31" s="2966">
        <v>39437</v>
      </c>
      <c r="N31" s="2965">
        <v>0.72</v>
      </c>
      <c r="O31" s="2965">
        <v>3.33</v>
      </c>
      <c r="P31" s="2965">
        <v>3.78</v>
      </c>
      <c r="Q31" s="2965">
        <v>4.1399999999999997</v>
      </c>
      <c r="R31" s="2965">
        <v>4.68</v>
      </c>
      <c r="S31" s="2965">
        <v>5.4</v>
      </c>
      <c r="T31" s="2965">
        <v>5.85</v>
      </c>
      <c r="U31" s="2965">
        <v>3.33</v>
      </c>
      <c r="V31" s="2965">
        <v>3.78</v>
      </c>
      <c r="W31" s="2965">
        <v>4.1399999999999997</v>
      </c>
      <c r="X31" s="2965">
        <v>1.53</v>
      </c>
      <c r="Y31" s="2965">
        <v>1.17</v>
      </c>
      <c r="Z31" s="2965">
        <v>1.71</v>
      </c>
    </row>
    <row r="32" spans="2:26">
      <c r="B32" s="2965"/>
      <c r="C32" s="2966">
        <v>39437</v>
      </c>
      <c r="D32" s="2965">
        <v>6.57</v>
      </c>
      <c r="E32" s="2965">
        <v>7.47</v>
      </c>
      <c r="F32" s="2965">
        <v>7.56</v>
      </c>
      <c r="G32" s="2965">
        <v>7.74</v>
      </c>
      <c r="H32" s="2965">
        <v>7.83</v>
      </c>
      <c r="I32" s="2965">
        <v>4.7699999999999996</v>
      </c>
      <c r="J32" s="2965">
        <v>5.22</v>
      </c>
      <c r="L32" s="2965"/>
      <c r="M32" s="2966">
        <v>39340</v>
      </c>
      <c r="N32" s="2965">
        <v>0.81</v>
      </c>
      <c r="O32" s="2965">
        <v>2.88</v>
      </c>
      <c r="P32" s="2965">
        <v>3.42</v>
      </c>
      <c r="Q32" s="2965">
        <v>3.87</v>
      </c>
      <c r="R32" s="2965">
        <v>4.5</v>
      </c>
      <c r="S32" s="2965">
        <v>5.22</v>
      </c>
      <c r="T32" s="2965">
        <v>5.76</v>
      </c>
      <c r="U32" s="2965">
        <v>2.88</v>
      </c>
      <c r="V32" s="2965">
        <v>3.42</v>
      </c>
      <c r="W32" s="2965">
        <v>3.87</v>
      </c>
      <c r="X32" s="2965">
        <v>1.53</v>
      </c>
      <c r="Y32" s="2965">
        <v>1.17</v>
      </c>
      <c r="Z32" s="2965">
        <v>1.71</v>
      </c>
    </row>
    <row r="33" spans="2:26">
      <c r="B33" s="2965"/>
      <c r="C33" s="2966">
        <v>39340</v>
      </c>
      <c r="D33" s="2965">
        <v>6.48</v>
      </c>
      <c r="E33" s="2965">
        <v>7.29</v>
      </c>
      <c r="F33" s="2965">
        <v>7.47</v>
      </c>
      <c r="G33" s="2965">
        <v>7.65</v>
      </c>
      <c r="H33" s="2965">
        <v>7.83</v>
      </c>
      <c r="I33" s="2965">
        <v>4.7699999999999996</v>
      </c>
      <c r="J33" s="2965">
        <v>5.22</v>
      </c>
      <c r="L33" s="2965"/>
      <c r="M33" s="2966">
        <v>39316</v>
      </c>
      <c r="N33" s="2965">
        <v>0.81</v>
      </c>
      <c r="O33" s="2965">
        <v>2.61</v>
      </c>
      <c r="P33" s="2965">
        <v>3.15</v>
      </c>
      <c r="Q33" s="2965">
        <v>3.6</v>
      </c>
      <c r="R33" s="2965">
        <v>4.2300000000000004</v>
      </c>
      <c r="S33" s="2965">
        <v>4.95</v>
      </c>
      <c r="T33" s="2965">
        <v>5.49</v>
      </c>
      <c r="U33" s="2965">
        <v>2.61</v>
      </c>
      <c r="V33" s="2965">
        <v>3.15</v>
      </c>
      <c r="W33" s="2965">
        <v>3.6</v>
      </c>
      <c r="X33" s="2965">
        <v>1.53</v>
      </c>
      <c r="Y33" s="2965">
        <v>1.17</v>
      </c>
      <c r="Z33" s="2965">
        <v>1.71</v>
      </c>
    </row>
    <row r="34" spans="2:26">
      <c r="B34" s="2965"/>
      <c r="C34" s="2966">
        <v>39316</v>
      </c>
      <c r="D34" s="2965">
        <v>6.21</v>
      </c>
      <c r="E34" s="2965">
        <v>7.02</v>
      </c>
      <c r="F34" s="2965">
        <v>7.2</v>
      </c>
      <c r="G34" s="2965">
        <v>7.38</v>
      </c>
      <c r="H34" s="2965">
        <v>7.56</v>
      </c>
      <c r="I34" s="2965">
        <v>4.59</v>
      </c>
      <c r="J34" s="2965">
        <v>5.04</v>
      </c>
      <c r="L34" s="2965"/>
      <c r="M34" s="2966">
        <v>39284</v>
      </c>
      <c r="N34" s="2965">
        <v>0.81</v>
      </c>
      <c r="O34" s="2965">
        <v>2.34</v>
      </c>
      <c r="P34" s="2965">
        <v>2.88</v>
      </c>
      <c r="Q34" s="2965">
        <v>3.33</v>
      </c>
      <c r="R34" s="2965">
        <v>3.96</v>
      </c>
      <c r="S34" s="2965">
        <v>4.68</v>
      </c>
      <c r="T34" s="2965">
        <v>5.22</v>
      </c>
      <c r="U34" s="2965">
        <v>2.34</v>
      </c>
      <c r="V34" s="2965">
        <v>2.88</v>
      </c>
      <c r="W34" s="2965">
        <v>3.33</v>
      </c>
      <c r="X34" s="2965">
        <v>1.53</v>
      </c>
      <c r="Y34" s="2965">
        <v>1.17</v>
      </c>
      <c r="Z34" s="2965">
        <v>1.71</v>
      </c>
    </row>
    <row r="35" spans="2:26">
      <c r="B35" s="2965"/>
      <c r="C35" s="2966">
        <v>39284</v>
      </c>
      <c r="D35" s="2965">
        <v>6.03</v>
      </c>
      <c r="E35" s="2965">
        <v>6.84</v>
      </c>
      <c r="F35" s="2965">
        <v>7.02</v>
      </c>
      <c r="G35" s="2965">
        <v>7.2</v>
      </c>
      <c r="H35" s="2965">
        <v>7.38</v>
      </c>
      <c r="I35" s="2965">
        <v>4.5</v>
      </c>
      <c r="J35" s="2965">
        <v>4.95</v>
      </c>
      <c r="L35" s="2965"/>
      <c r="M35" s="2966">
        <v>39221</v>
      </c>
      <c r="N35" s="2965">
        <v>0.72</v>
      </c>
      <c r="O35" s="2965">
        <v>2.0699999999999998</v>
      </c>
      <c r="P35" s="2965">
        <v>2.61</v>
      </c>
      <c r="Q35" s="2965">
        <v>3.06</v>
      </c>
      <c r="R35" s="2965">
        <v>3.69</v>
      </c>
      <c r="S35" s="2965">
        <v>4.41</v>
      </c>
      <c r="T35" s="2965">
        <v>4.95</v>
      </c>
      <c r="U35" s="2965">
        <v>2.0699999999999998</v>
      </c>
      <c r="V35" s="2965">
        <v>2.61</v>
      </c>
      <c r="W35" s="2965">
        <v>3.06</v>
      </c>
      <c r="X35" s="2965">
        <v>1.44</v>
      </c>
      <c r="Y35" s="2965">
        <v>1.08</v>
      </c>
      <c r="Z35" s="2965">
        <v>1.62</v>
      </c>
    </row>
    <row r="36" spans="2:26">
      <c r="B36" s="2965"/>
      <c r="C36" s="2966">
        <v>39221</v>
      </c>
      <c r="D36" s="2965">
        <v>5.85</v>
      </c>
      <c r="E36" s="2965">
        <v>6.57</v>
      </c>
      <c r="F36" s="2965">
        <v>6.75</v>
      </c>
      <c r="G36" s="2965">
        <v>6.93</v>
      </c>
      <c r="H36" s="2965">
        <v>7.2</v>
      </c>
      <c r="I36" s="2965">
        <v>4.41</v>
      </c>
      <c r="J36" s="2965">
        <v>4.8600000000000003</v>
      </c>
      <c r="L36" s="2965"/>
      <c r="M36" s="2966">
        <v>39159</v>
      </c>
      <c r="N36" s="2965">
        <v>0.72</v>
      </c>
      <c r="O36" s="2965">
        <v>1.98</v>
      </c>
      <c r="P36" s="2965">
        <v>2.4300000000000002</v>
      </c>
      <c r="Q36" s="2965">
        <v>2.79</v>
      </c>
      <c r="R36" s="2965">
        <v>3.33</v>
      </c>
      <c r="S36" s="2965">
        <v>3.96</v>
      </c>
      <c r="T36" s="2965">
        <v>4.41</v>
      </c>
      <c r="U36" s="2965">
        <v>1.98</v>
      </c>
      <c r="V36" s="2965">
        <v>2.4300000000000002</v>
      </c>
      <c r="W36" s="2965">
        <v>2.79</v>
      </c>
      <c r="X36" s="2965">
        <v>1.44</v>
      </c>
      <c r="Y36" s="2965">
        <v>1.08</v>
      </c>
      <c r="Z36" s="2965">
        <v>1.62</v>
      </c>
    </row>
    <row r="37" spans="2:26">
      <c r="B37" s="2965"/>
      <c r="C37" s="2966">
        <v>39159</v>
      </c>
      <c r="D37" s="2965">
        <v>5.67</v>
      </c>
      <c r="E37" s="2965">
        <v>6.39</v>
      </c>
      <c r="F37" s="2965">
        <v>6.57</v>
      </c>
      <c r="G37" s="2965">
        <v>6.75</v>
      </c>
      <c r="H37" s="2965">
        <v>7.11</v>
      </c>
      <c r="I37" s="2965">
        <v>4.32</v>
      </c>
      <c r="J37" s="2965">
        <v>4.7699999999999996</v>
      </c>
      <c r="L37" s="2965"/>
      <c r="M37" s="2966">
        <v>38948</v>
      </c>
      <c r="N37" s="2965">
        <v>0.72</v>
      </c>
      <c r="O37" s="2965">
        <v>1.8</v>
      </c>
      <c r="P37" s="2965">
        <v>2.25</v>
      </c>
      <c r="Q37" s="2965">
        <v>2.52</v>
      </c>
      <c r="R37" s="2965">
        <v>3.06</v>
      </c>
      <c r="S37" s="2965">
        <v>3.69</v>
      </c>
      <c r="T37" s="2965">
        <v>4.1399999999999997</v>
      </c>
      <c r="U37" s="2965">
        <v>1.8</v>
      </c>
      <c r="V37" s="2965">
        <v>2.25</v>
      </c>
      <c r="W37" s="2965">
        <v>2.52</v>
      </c>
      <c r="X37" s="2965">
        <v>1.44</v>
      </c>
      <c r="Y37" s="2965">
        <v>1.08</v>
      </c>
      <c r="Z37" s="2965">
        <v>1.62</v>
      </c>
    </row>
    <row r="38" spans="2:26">
      <c r="B38" s="2965"/>
      <c r="C38" s="2966">
        <v>38948</v>
      </c>
      <c r="D38" s="2965">
        <v>5.58</v>
      </c>
      <c r="E38" s="2965">
        <v>6.12</v>
      </c>
      <c r="F38" s="2965">
        <v>6.3</v>
      </c>
      <c r="G38" s="2965">
        <v>6.48</v>
      </c>
      <c r="H38" s="2965">
        <v>6.84</v>
      </c>
      <c r="I38" s="2965">
        <v>4.1399999999999997</v>
      </c>
      <c r="J38" s="2965">
        <v>4.59</v>
      </c>
      <c r="L38" s="2965"/>
      <c r="M38" s="2966">
        <v>38289</v>
      </c>
      <c r="N38" s="2965">
        <v>0.72</v>
      </c>
      <c r="O38" s="2965">
        <v>1.71</v>
      </c>
      <c r="P38" s="2965">
        <v>2.0699999999999998</v>
      </c>
      <c r="Q38" s="2965">
        <v>2.25</v>
      </c>
      <c r="R38" s="2965">
        <v>2.7</v>
      </c>
      <c r="S38" s="2965">
        <v>3.24</v>
      </c>
      <c r="T38" s="2965">
        <v>3.6</v>
      </c>
      <c r="U38" s="2965">
        <v>1.71</v>
      </c>
      <c r="V38" s="2965">
        <v>2.0699999999999998</v>
      </c>
      <c r="W38" s="2965">
        <v>2.25</v>
      </c>
      <c r="X38" s="2965">
        <v>1.44</v>
      </c>
      <c r="Y38" s="2965">
        <v>1.08</v>
      </c>
      <c r="Z38" s="2965">
        <v>1.62</v>
      </c>
    </row>
    <row r="39" spans="2:26">
      <c r="B39" s="2965"/>
      <c r="C39" s="2966">
        <v>38835</v>
      </c>
      <c r="D39" s="2965">
        <v>5.4</v>
      </c>
      <c r="E39" s="2965">
        <v>5.85</v>
      </c>
      <c r="F39" s="2965">
        <v>6.03</v>
      </c>
      <c r="G39" s="2965">
        <v>6.12</v>
      </c>
      <c r="H39" s="2965">
        <v>6.39</v>
      </c>
      <c r="I39" s="2965">
        <v>4.1399999999999997</v>
      </c>
      <c r="J39" s="2965">
        <v>4.59</v>
      </c>
      <c r="L39" s="2965"/>
      <c r="M39" s="2966">
        <v>37308</v>
      </c>
      <c r="N39" s="2965">
        <v>0.72</v>
      </c>
      <c r="O39" s="2965">
        <v>1.71</v>
      </c>
      <c r="P39" s="2965">
        <v>1.89</v>
      </c>
      <c r="Q39" s="2965">
        <v>1.98</v>
      </c>
      <c r="R39" s="2965">
        <v>2.25</v>
      </c>
      <c r="S39" s="2965">
        <v>2.52</v>
      </c>
      <c r="T39" s="2965">
        <v>2.79</v>
      </c>
      <c r="U39" s="2965">
        <v>1.71</v>
      </c>
      <c r="V39" s="2965">
        <v>1.89</v>
      </c>
      <c r="W39" s="2965">
        <v>1.98</v>
      </c>
      <c r="X39" s="2965">
        <v>1.44</v>
      </c>
      <c r="Y39" s="2965">
        <v>1.08</v>
      </c>
      <c r="Z39" s="2965">
        <v>1.62</v>
      </c>
    </row>
    <row r="40" spans="2:26">
      <c r="B40" s="2965"/>
      <c r="C40" s="2966">
        <v>38428</v>
      </c>
      <c r="D40" s="2965">
        <v>5.22</v>
      </c>
      <c r="E40" s="2965">
        <v>5.58</v>
      </c>
      <c r="F40" s="2965">
        <v>5.76</v>
      </c>
      <c r="G40" s="2965">
        <v>5.85</v>
      </c>
      <c r="H40" s="2965">
        <v>6.12</v>
      </c>
      <c r="I40" s="2965">
        <v>3.96</v>
      </c>
      <c r="J40" s="2965">
        <v>4.41</v>
      </c>
      <c r="L40" s="2965"/>
      <c r="M40" s="2966">
        <v>36321</v>
      </c>
      <c r="N40" s="2965">
        <v>0.99</v>
      </c>
      <c r="O40" s="2965">
        <v>1.98</v>
      </c>
      <c r="P40" s="2965">
        <v>2.16</v>
      </c>
      <c r="Q40" s="2965">
        <v>2.25</v>
      </c>
      <c r="R40" s="2965">
        <v>2.4300000000000002</v>
      </c>
      <c r="S40" s="2965">
        <v>2.7</v>
      </c>
      <c r="T40" s="2965">
        <v>2.88</v>
      </c>
      <c r="U40" s="2965">
        <v>1.98</v>
      </c>
      <c r="V40" s="2965">
        <v>2.16</v>
      </c>
      <c r="W40" s="2965">
        <v>2.25</v>
      </c>
      <c r="X40" s="2965">
        <v>1.71</v>
      </c>
      <c r="Y40" s="2965">
        <v>1.35</v>
      </c>
      <c r="Z40" s="2965">
        <v>1.89</v>
      </c>
    </row>
    <row r="41" spans="2:26">
      <c r="B41" s="2965"/>
      <c r="C41" s="2966">
        <v>38289</v>
      </c>
      <c r="D41" s="2965">
        <v>5.22</v>
      </c>
      <c r="E41" s="2965">
        <v>5.58</v>
      </c>
      <c r="F41" s="2965">
        <v>5.76</v>
      </c>
      <c r="G41" s="2965">
        <v>5.85</v>
      </c>
      <c r="H41" s="2965">
        <v>6.12</v>
      </c>
      <c r="I41" s="2965">
        <v>3.78</v>
      </c>
      <c r="J41" s="2965">
        <v>4.2300000000000004</v>
      </c>
      <c r="L41" s="2965"/>
      <c r="M41" s="2966">
        <v>36136</v>
      </c>
      <c r="N41" s="2965">
        <v>1.44</v>
      </c>
      <c r="O41" s="2965">
        <v>2.79</v>
      </c>
      <c r="P41" s="2965">
        <v>3.33</v>
      </c>
      <c r="Q41" s="2965">
        <v>3.78</v>
      </c>
      <c r="R41" s="2965">
        <v>3.96</v>
      </c>
      <c r="S41" s="2965">
        <v>4.1399999999999997</v>
      </c>
      <c r="T41" s="2965">
        <v>4.5</v>
      </c>
      <c r="U41" s="2965">
        <v>3.33</v>
      </c>
      <c r="V41" s="2965">
        <v>3.78</v>
      </c>
      <c r="W41" s="2965">
        <v>4.1399999999999997</v>
      </c>
      <c r="X41" s="2965">
        <v>2.16</v>
      </c>
      <c r="Y41" s="2965">
        <v>1.8</v>
      </c>
      <c r="Z41" s="2965">
        <v>2.34</v>
      </c>
    </row>
    <row r="42" spans="2:26">
      <c r="B42" s="2965"/>
      <c r="C42" s="2966">
        <v>37308</v>
      </c>
      <c r="D42" s="2965">
        <v>5.04</v>
      </c>
      <c r="E42" s="2965">
        <v>5.31</v>
      </c>
      <c r="F42" s="2965">
        <v>5.49</v>
      </c>
      <c r="G42" s="2965">
        <v>5.58</v>
      </c>
      <c r="H42" s="2965">
        <v>5.76</v>
      </c>
      <c r="I42" s="2965">
        <v>3.6</v>
      </c>
      <c r="J42" s="2965">
        <v>4.05</v>
      </c>
      <c r="L42" s="2965"/>
      <c r="M42" s="2966">
        <v>35977</v>
      </c>
      <c r="N42" s="2965">
        <v>1.44</v>
      </c>
      <c r="O42" s="2965">
        <v>2.79</v>
      </c>
      <c r="P42" s="2965">
        <v>3.96</v>
      </c>
      <c r="Q42" s="2965">
        <v>4.7699999999999996</v>
      </c>
      <c r="R42" s="2965">
        <v>4.8600000000000003</v>
      </c>
      <c r="S42" s="2965">
        <v>4.95</v>
      </c>
      <c r="T42" s="2965">
        <v>5.22</v>
      </c>
      <c r="U42" s="2965">
        <v>3.96</v>
      </c>
      <c r="V42" s="2965">
        <v>4.7699999999999996</v>
      </c>
      <c r="W42" s="2965">
        <v>4.95</v>
      </c>
      <c r="X42" s="2965" t="s">
        <v>2817</v>
      </c>
      <c r="Y42" s="2965" t="s">
        <v>2817</v>
      </c>
      <c r="Z42" s="2965" t="s">
        <v>2817</v>
      </c>
    </row>
    <row r="43" spans="2:26">
      <c r="B43" s="2965"/>
      <c r="C43" s="2966">
        <v>36321</v>
      </c>
      <c r="D43" s="2965">
        <v>5.58</v>
      </c>
      <c r="E43" s="2965">
        <v>5.85</v>
      </c>
      <c r="F43" s="2965">
        <v>5.94</v>
      </c>
      <c r="G43" s="2965">
        <v>6.03</v>
      </c>
      <c r="H43" s="2965">
        <v>6.21</v>
      </c>
      <c r="I43" s="2965">
        <v>4.1399999999999997</v>
      </c>
      <c r="J43" s="2965">
        <v>4.59</v>
      </c>
      <c r="L43" s="2965"/>
      <c r="M43" s="2966">
        <v>35879</v>
      </c>
      <c r="N43" s="2965">
        <v>1.71</v>
      </c>
      <c r="O43" s="2965">
        <v>2.88</v>
      </c>
      <c r="P43" s="2965">
        <v>4.1399999999999997</v>
      </c>
      <c r="Q43" s="2965">
        <v>5.22</v>
      </c>
      <c r="R43" s="2965">
        <v>5.58</v>
      </c>
      <c r="S43" s="2965">
        <v>6.21</v>
      </c>
      <c r="T43" s="2965">
        <v>6.66</v>
      </c>
      <c r="U43" s="2965">
        <v>4.1399999999999997</v>
      </c>
      <c r="V43" s="2965">
        <v>5.22</v>
      </c>
      <c r="W43" s="2965">
        <v>6.21</v>
      </c>
      <c r="X43" s="2965" t="s">
        <v>2817</v>
      </c>
      <c r="Y43" s="2965" t="s">
        <v>2817</v>
      </c>
      <c r="Z43" s="2965" t="s">
        <v>2817</v>
      </c>
    </row>
    <row r="44" spans="2:26">
      <c r="B44" s="2965"/>
      <c r="C44" s="2966">
        <v>36136</v>
      </c>
      <c r="D44" s="2965">
        <v>6.12</v>
      </c>
      <c r="E44" s="2965">
        <v>6.39</v>
      </c>
      <c r="F44" s="2965">
        <v>6.66</v>
      </c>
      <c r="G44" s="2965">
        <v>7.2</v>
      </c>
      <c r="H44" s="2965">
        <v>7.56</v>
      </c>
      <c r="I44" s="2965">
        <v>0</v>
      </c>
      <c r="J44" s="2965">
        <v>0</v>
      </c>
      <c r="L44" s="2965"/>
      <c r="M44" s="2966">
        <v>35726</v>
      </c>
      <c r="N44" s="2965">
        <v>1.71</v>
      </c>
      <c r="O44" s="2965">
        <v>2.88</v>
      </c>
      <c r="P44" s="2965">
        <v>4.1399999999999997</v>
      </c>
      <c r="Q44" s="2965">
        <v>5.67</v>
      </c>
      <c r="R44" s="2965">
        <v>5.94</v>
      </c>
      <c r="S44" s="2965">
        <v>6.21</v>
      </c>
      <c r="T44" s="2965">
        <v>6.66</v>
      </c>
      <c r="U44" s="2965">
        <v>4.1399999999999997</v>
      </c>
      <c r="V44" s="2965">
        <v>5.67</v>
      </c>
      <c r="W44" s="2965">
        <v>6.21</v>
      </c>
      <c r="X44" s="2965" t="s">
        <v>2817</v>
      </c>
      <c r="Y44" s="2965" t="s">
        <v>2817</v>
      </c>
      <c r="Z44" s="2965" t="s">
        <v>2817</v>
      </c>
    </row>
    <row r="45" spans="2:26">
      <c r="B45" s="2965"/>
      <c r="C45" s="2966">
        <v>35977</v>
      </c>
      <c r="D45" s="2965">
        <v>6.57</v>
      </c>
      <c r="E45" s="2965">
        <v>6.93</v>
      </c>
      <c r="F45" s="2965">
        <v>7.11</v>
      </c>
      <c r="G45" s="2965">
        <v>7.65</v>
      </c>
      <c r="H45" s="2965">
        <v>8.01</v>
      </c>
      <c r="I45" s="2965">
        <v>0</v>
      </c>
      <c r="J45" s="2965">
        <v>0</v>
      </c>
      <c r="L45" s="2965"/>
      <c r="M45" s="2966">
        <v>35300</v>
      </c>
      <c r="N45" s="2965">
        <v>1.98</v>
      </c>
      <c r="O45" s="2965">
        <v>3.33</v>
      </c>
      <c r="P45" s="2965">
        <v>5.4</v>
      </c>
      <c r="Q45" s="2965">
        <v>7.47</v>
      </c>
      <c r="R45" s="2965">
        <v>7.92</v>
      </c>
      <c r="S45" s="2965">
        <v>8.2799999999999994</v>
      </c>
      <c r="T45" s="2965">
        <v>9</v>
      </c>
      <c r="U45" s="2965">
        <v>5.4</v>
      </c>
      <c r="V45" s="2965">
        <v>7.47</v>
      </c>
      <c r="W45" s="2965">
        <v>8.2799999999999994</v>
      </c>
      <c r="X45" s="2965" t="s">
        <v>2817</v>
      </c>
      <c r="Y45" s="2965" t="s">
        <v>2817</v>
      </c>
      <c r="Z45" s="2965" t="s">
        <v>2817</v>
      </c>
    </row>
    <row r="46" spans="2:26">
      <c r="B46" s="2965"/>
      <c r="C46" s="2966">
        <v>35879</v>
      </c>
      <c r="D46" s="2965">
        <v>7.02</v>
      </c>
      <c r="E46" s="2965">
        <v>7.92</v>
      </c>
      <c r="F46" s="2965">
        <v>9</v>
      </c>
      <c r="G46" s="2965">
        <v>9.7200000000000006</v>
      </c>
      <c r="H46" s="2965">
        <v>10.35</v>
      </c>
      <c r="I46" s="2965">
        <v>0</v>
      </c>
      <c r="J46" s="2965">
        <v>0</v>
      </c>
      <c r="L46" s="2965"/>
      <c r="M46" s="2966">
        <v>35186</v>
      </c>
      <c r="N46" s="2965">
        <v>2.97</v>
      </c>
      <c r="O46" s="2965">
        <v>4.8600000000000003</v>
      </c>
      <c r="P46" s="2965">
        <v>7.2</v>
      </c>
      <c r="Q46" s="2965">
        <v>9.18</v>
      </c>
      <c r="R46" s="2965">
        <v>9.9</v>
      </c>
      <c r="S46" s="2965">
        <v>10.8</v>
      </c>
      <c r="T46" s="2965">
        <v>12.06</v>
      </c>
      <c r="U46" s="2965">
        <v>7.2</v>
      </c>
      <c r="V46" s="2965">
        <v>9.18</v>
      </c>
      <c r="W46" s="2965">
        <v>10.8</v>
      </c>
      <c r="X46" s="2965" t="s">
        <v>2817</v>
      </c>
      <c r="Y46" s="2965" t="s">
        <v>2817</v>
      </c>
      <c r="Z46" s="2965" t="s">
        <v>2817</v>
      </c>
    </row>
    <row r="47" spans="2:26">
      <c r="B47" s="2965"/>
      <c r="C47" s="2966">
        <v>35726</v>
      </c>
      <c r="D47" s="2965">
        <v>7.65</v>
      </c>
      <c r="E47" s="2965">
        <v>8.64</v>
      </c>
      <c r="F47" s="2965">
        <v>9.36</v>
      </c>
      <c r="G47" s="2965">
        <v>9.9</v>
      </c>
      <c r="H47" s="2965">
        <v>10.53</v>
      </c>
      <c r="I47" s="2965">
        <v>0</v>
      </c>
      <c r="J47" s="2965">
        <v>0</v>
      </c>
      <c r="L47" s="2965"/>
      <c r="M47" s="2966">
        <v>34161</v>
      </c>
      <c r="N47" s="2965">
        <v>3.15</v>
      </c>
      <c r="O47" s="2965">
        <v>6.66</v>
      </c>
      <c r="P47" s="2965">
        <v>9</v>
      </c>
      <c r="Q47" s="2965">
        <v>10.98</v>
      </c>
      <c r="R47" s="2965">
        <v>11.7</v>
      </c>
      <c r="S47" s="2965">
        <v>12.24</v>
      </c>
      <c r="T47" s="2965">
        <v>13.86</v>
      </c>
      <c r="U47" s="2965">
        <v>9</v>
      </c>
      <c r="V47" s="2965">
        <v>10.98</v>
      </c>
      <c r="W47" s="2965">
        <v>12.24</v>
      </c>
      <c r="X47" s="2965" t="s">
        <v>2817</v>
      </c>
      <c r="Y47" s="2965" t="s">
        <v>2817</v>
      </c>
      <c r="Z47" s="2965" t="s">
        <v>2817</v>
      </c>
    </row>
    <row r="48" spans="2:26">
      <c r="B48" s="2965"/>
      <c r="C48" s="2966">
        <v>35300</v>
      </c>
      <c r="D48" s="2965">
        <v>9.18</v>
      </c>
      <c r="E48" s="2965">
        <v>10.08</v>
      </c>
      <c r="F48" s="2965">
        <v>10.98</v>
      </c>
      <c r="G48" s="2965">
        <v>11.7</v>
      </c>
      <c r="H48" s="2965">
        <v>12.42</v>
      </c>
      <c r="I48" s="2965">
        <v>0</v>
      </c>
      <c r="J48" s="2965">
        <v>0</v>
      </c>
      <c r="L48" s="2965"/>
      <c r="M48" s="2966">
        <v>34104</v>
      </c>
      <c r="N48" s="2965">
        <v>2.16</v>
      </c>
      <c r="O48" s="2965">
        <v>4.8600000000000003</v>
      </c>
      <c r="P48" s="2965">
        <v>7.2</v>
      </c>
      <c r="Q48" s="2965">
        <v>9.18</v>
      </c>
      <c r="R48" s="2965">
        <v>9.9</v>
      </c>
      <c r="S48" s="2965">
        <v>10.8</v>
      </c>
      <c r="T48" s="2965">
        <v>12.06</v>
      </c>
      <c r="U48" s="2965">
        <v>7.2</v>
      </c>
      <c r="V48" s="2965">
        <v>9.18</v>
      </c>
      <c r="W48" s="2965">
        <v>10.8</v>
      </c>
      <c r="X48" s="2965" t="s">
        <v>2817</v>
      </c>
      <c r="Y48" s="2965" t="s">
        <v>2817</v>
      </c>
      <c r="Z48" s="2965" t="s">
        <v>2817</v>
      </c>
    </row>
    <row r="49" spans="2:26">
      <c r="B49" s="2965"/>
      <c r="C49" s="2966">
        <v>35186</v>
      </c>
      <c r="D49" s="2965">
        <v>9.7200000000000006</v>
      </c>
      <c r="E49" s="2965">
        <v>10.98</v>
      </c>
      <c r="F49" s="2965">
        <v>13.14</v>
      </c>
      <c r="G49" s="2965">
        <v>14.94</v>
      </c>
      <c r="H49" s="2965">
        <v>15.12</v>
      </c>
      <c r="I49" s="2965">
        <v>0</v>
      </c>
      <c r="J49" s="2965">
        <v>0</v>
      </c>
      <c r="L49" s="2965"/>
      <c r="M49" s="2966">
        <v>33349</v>
      </c>
      <c r="N49" s="2965">
        <v>1.8</v>
      </c>
      <c r="O49" s="2965">
        <v>3.24</v>
      </c>
      <c r="P49" s="2965">
        <v>5.4</v>
      </c>
      <c r="Q49" s="2965">
        <v>7.56</v>
      </c>
      <c r="R49" s="2965">
        <v>7.92</v>
      </c>
      <c r="S49" s="2965">
        <v>8.2799999999999994</v>
      </c>
      <c r="T49" s="2965">
        <v>9</v>
      </c>
      <c r="U49" s="2965">
        <v>6.12</v>
      </c>
      <c r="V49" s="2965">
        <v>6.84</v>
      </c>
      <c r="W49" s="2965">
        <v>7.56</v>
      </c>
      <c r="X49" s="2965" t="s">
        <v>2817</v>
      </c>
      <c r="Y49" s="2965" t="s">
        <v>2817</v>
      </c>
      <c r="Z49" s="2965" t="s">
        <v>2817</v>
      </c>
    </row>
    <row r="50" spans="2:26">
      <c r="B50" s="2965"/>
      <c r="C50" s="2966">
        <v>34881</v>
      </c>
      <c r="D50" s="2965">
        <v>10.08</v>
      </c>
      <c r="E50" s="2965">
        <v>12.06</v>
      </c>
      <c r="F50" s="2965">
        <v>13.5</v>
      </c>
      <c r="G50" s="2965">
        <v>15.12</v>
      </c>
      <c r="H50" s="2965">
        <v>15.3</v>
      </c>
      <c r="I50" s="2965">
        <v>0</v>
      </c>
      <c r="J50" s="2965">
        <v>0</v>
      </c>
      <c r="L50" s="2965"/>
      <c r="M50" s="2966">
        <v>33106</v>
      </c>
      <c r="N50" s="2965">
        <v>2.16</v>
      </c>
      <c r="O50" s="2965">
        <v>4.32</v>
      </c>
      <c r="P50" s="2965">
        <v>6.48</v>
      </c>
      <c r="Q50" s="2965">
        <v>8.64</v>
      </c>
      <c r="R50" s="2965">
        <v>9.36</v>
      </c>
      <c r="S50" s="2965">
        <v>10.08</v>
      </c>
      <c r="T50" s="2965">
        <v>11.52</v>
      </c>
      <c r="U50" s="2965">
        <v>7.2</v>
      </c>
      <c r="V50" s="2965">
        <v>8.64</v>
      </c>
      <c r="W50" s="2965">
        <v>10.08</v>
      </c>
      <c r="X50" s="2965" t="s">
        <v>2817</v>
      </c>
      <c r="Y50" s="2965" t="s">
        <v>2817</v>
      </c>
      <c r="Z50" s="2965" t="s">
        <v>2817</v>
      </c>
    </row>
    <row r="51" spans="2:26">
      <c r="B51" s="2965"/>
      <c r="C51" s="2966">
        <v>34700</v>
      </c>
      <c r="D51" s="2965">
        <v>9</v>
      </c>
      <c r="E51" s="2965">
        <v>10.98</v>
      </c>
      <c r="F51" s="2965">
        <v>12.96</v>
      </c>
      <c r="G51" s="2965">
        <v>14.58</v>
      </c>
      <c r="H51" s="2965">
        <v>14.76</v>
      </c>
      <c r="I51" s="2965">
        <v>0</v>
      </c>
      <c r="J51" s="2965">
        <v>0</v>
      </c>
      <c r="L51" s="2965"/>
      <c r="M51" s="2966">
        <v>32978</v>
      </c>
      <c r="N51" s="2965">
        <v>2.88</v>
      </c>
      <c r="O51" s="2965">
        <v>6.3</v>
      </c>
      <c r="P51" s="2965">
        <v>7.74</v>
      </c>
      <c r="Q51" s="2965">
        <v>10.08</v>
      </c>
      <c r="R51" s="2965">
        <v>10.98</v>
      </c>
      <c r="S51" s="2965">
        <v>11.88</v>
      </c>
      <c r="T51" s="2965">
        <v>13.68</v>
      </c>
      <c r="U51" s="2965" t="s">
        <v>2817</v>
      </c>
      <c r="V51" s="2965" t="s">
        <v>2817</v>
      </c>
      <c r="W51" s="2965" t="s">
        <v>2817</v>
      </c>
      <c r="X51" s="2965" t="s">
        <v>2817</v>
      </c>
      <c r="Y51" s="2965" t="s">
        <v>2817</v>
      </c>
      <c r="Z51" s="2965" t="s">
        <v>2817</v>
      </c>
    </row>
    <row r="52" spans="2:26">
      <c r="B52" s="2965"/>
      <c r="C52" s="2966">
        <v>34161</v>
      </c>
      <c r="D52" s="2965">
        <v>9</v>
      </c>
      <c r="E52" s="2965">
        <v>10.98</v>
      </c>
      <c r="F52" s="2965">
        <v>12.24</v>
      </c>
      <c r="G52" s="2965">
        <v>13.86</v>
      </c>
      <c r="H52" s="2965">
        <v>14.04</v>
      </c>
      <c r="I52" s="2965">
        <v>0</v>
      </c>
      <c r="J52" s="2965">
        <v>0</v>
      </c>
      <c r="L52" s="2965"/>
      <c r="M52" s="2966"/>
      <c r="N52" s="2965"/>
      <c r="O52" s="2965"/>
      <c r="P52" s="2965"/>
      <c r="Q52" s="2965"/>
      <c r="R52" s="2965"/>
      <c r="S52" s="2965"/>
      <c r="T52" s="2965"/>
      <c r="U52" s="2965"/>
      <c r="V52" s="2965"/>
      <c r="W52" s="2965"/>
      <c r="X52" s="2965"/>
      <c r="Y52" s="2965"/>
      <c r="Z52" s="2965"/>
    </row>
    <row r="53" spans="2:26">
      <c r="B53" s="2965"/>
      <c r="C53" s="2966">
        <v>34104</v>
      </c>
      <c r="D53" s="2965">
        <v>8.82</v>
      </c>
      <c r="E53" s="2965">
        <v>9.36</v>
      </c>
      <c r="F53" s="2965">
        <v>10.8</v>
      </c>
      <c r="G53" s="2965">
        <v>12.06</v>
      </c>
      <c r="H53" s="2965">
        <v>12.24</v>
      </c>
      <c r="I53" s="2965">
        <v>0</v>
      </c>
      <c r="J53" s="2965">
        <v>0</v>
      </c>
      <c r="L53" s="2965"/>
      <c r="M53" s="2966"/>
      <c r="N53" s="2965"/>
      <c r="O53" s="2965"/>
      <c r="P53" s="2965"/>
      <c r="Q53" s="2965"/>
      <c r="R53" s="2965"/>
      <c r="S53" s="2965"/>
      <c r="T53" s="2965"/>
      <c r="U53" s="2965"/>
      <c r="V53" s="2965"/>
      <c r="W53" s="2965"/>
      <c r="X53" s="2965"/>
      <c r="Y53" s="2965"/>
      <c r="Z53" s="2965"/>
    </row>
    <row r="54" spans="2:26">
      <c r="B54" s="2965"/>
      <c r="C54" s="2966">
        <v>33349</v>
      </c>
      <c r="D54" s="2965">
        <v>8.1</v>
      </c>
      <c r="E54" s="2965">
        <v>8.64</v>
      </c>
      <c r="F54" s="2965">
        <v>9</v>
      </c>
      <c r="G54" s="2965">
        <v>9.5399999999999991</v>
      </c>
      <c r="H54" s="2965">
        <v>9.7200000000000006</v>
      </c>
      <c r="I54" s="2965">
        <v>0</v>
      </c>
      <c r="J54" s="2965">
        <v>0</v>
      </c>
      <c r="L54" s="2965"/>
      <c r="M54" s="2966"/>
      <c r="N54" s="2965"/>
      <c r="O54" s="2965"/>
      <c r="P54" s="2965"/>
      <c r="Q54" s="2965"/>
      <c r="R54" s="2965"/>
      <c r="S54" s="2965"/>
      <c r="T54" s="2965"/>
      <c r="U54" s="2965"/>
      <c r="V54" s="2965"/>
      <c r="W54" s="2965"/>
      <c r="X54" s="2965"/>
      <c r="Y54" s="2965"/>
      <c r="Z54" s="2965"/>
    </row>
    <row r="55" spans="2:26">
      <c r="B55" s="2965"/>
      <c r="C55" s="2966">
        <v>33318</v>
      </c>
      <c r="D55" s="2965">
        <v>9</v>
      </c>
      <c r="E55" s="2965">
        <v>10.08</v>
      </c>
      <c r="F55" s="2965">
        <v>10.8</v>
      </c>
      <c r="G55" s="2965">
        <v>11.52</v>
      </c>
      <c r="H55" s="2965">
        <v>11.88</v>
      </c>
      <c r="I55" s="2965" t="s">
        <v>2817</v>
      </c>
      <c r="J55" s="2965" t="s">
        <v>2817</v>
      </c>
      <c r="L55" s="2965"/>
      <c r="M55" s="2966"/>
      <c r="N55" s="2965"/>
      <c r="O55" s="2965"/>
      <c r="P55" s="2965"/>
      <c r="Q55" s="2965"/>
      <c r="R55" s="2965"/>
      <c r="S55" s="2965"/>
      <c r="T55" s="2965"/>
      <c r="U55" s="2965"/>
      <c r="V55" s="2965"/>
      <c r="W55" s="2965"/>
      <c r="X55" s="2965"/>
      <c r="Y55" s="2965"/>
      <c r="Z55" s="2965"/>
    </row>
    <row r="56" spans="2:26">
      <c r="B56" s="2965"/>
      <c r="C56" s="2966">
        <v>33106</v>
      </c>
      <c r="D56" s="2965">
        <v>8.64</v>
      </c>
      <c r="E56" s="2965">
        <v>9.36</v>
      </c>
      <c r="F56" s="2965">
        <v>10.08</v>
      </c>
      <c r="G56" s="2965">
        <v>10.8</v>
      </c>
      <c r="H56" s="2965">
        <v>11.16</v>
      </c>
      <c r="I56" s="2965">
        <v>0</v>
      </c>
      <c r="J56" s="2965">
        <v>0</v>
      </c>
      <c r="L56" s="2965"/>
      <c r="M56" s="2966"/>
      <c r="N56" s="2965"/>
      <c r="O56" s="2965"/>
      <c r="P56" s="2965"/>
      <c r="Q56" s="2965"/>
      <c r="R56" s="2965"/>
      <c r="S56" s="2965"/>
      <c r="T56" s="2965"/>
      <c r="U56" s="2965"/>
      <c r="V56" s="2965"/>
      <c r="W56" s="2965"/>
      <c r="X56" s="2965"/>
      <c r="Y56" s="2965"/>
      <c r="Z56" s="2965"/>
    </row>
    <row r="57" spans="2:26">
      <c r="B57" s="2965"/>
      <c r="C57" s="2966">
        <v>32540</v>
      </c>
      <c r="D57" s="2965">
        <v>11.34</v>
      </c>
      <c r="E57" s="2965">
        <v>11.34</v>
      </c>
      <c r="F57" s="2965">
        <v>12.78</v>
      </c>
      <c r="G57" s="2965">
        <v>14.4</v>
      </c>
      <c r="H57" s="2965">
        <v>19.260000000000002</v>
      </c>
      <c r="I57" s="2965">
        <v>0</v>
      </c>
      <c r="J57" s="2965">
        <v>0</v>
      </c>
      <c r="L57" s="2965"/>
      <c r="M57" s="2966"/>
      <c r="N57" s="2965"/>
      <c r="O57" s="2965"/>
      <c r="P57" s="2965"/>
      <c r="Q57" s="2965"/>
      <c r="R57" s="2965"/>
      <c r="S57" s="2965"/>
      <c r="T57" s="2965"/>
      <c r="U57" s="2965"/>
      <c r="V57" s="2965"/>
      <c r="W57" s="2965"/>
      <c r="X57" s="2965"/>
      <c r="Y57" s="2965"/>
      <c r="Z57" s="2965"/>
    </row>
    <row r="58" spans="2:26">
      <c r="B58" s="2965"/>
      <c r="C58" s="2966"/>
      <c r="D58" s="2965"/>
      <c r="E58" s="2965"/>
      <c r="F58" s="2965"/>
      <c r="G58" s="2965"/>
      <c r="H58" s="2965"/>
      <c r="I58" s="2965"/>
      <c r="J58" s="2965"/>
    </row>
    <row r="59" spans="2:26">
      <c r="B59" s="2969"/>
      <c r="C59" s="2970"/>
      <c r="D59" s="2969"/>
      <c r="E59" s="2969"/>
      <c r="F59" s="2969"/>
      <c r="G59" s="2969"/>
      <c r="H59" s="2969"/>
      <c r="I59" s="2969"/>
      <c r="J59" s="2969"/>
    </row>
    <row r="60" spans="2:26">
      <c r="B60" s="2969"/>
      <c r="C60" s="2970"/>
      <c r="D60" s="2969"/>
      <c r="E60" s="2969"/>
      <c r="F60" s="2969"/>
      <c r="G60" s="2969"/>
      <c r="H60" s="2969"/>
      <c r="I60" s="2969"/>
      <c r="J60" s="2969"/>
    </row>
    <row r="61" spans="2:26">
      <c r="B61" s="2969"/>
      <c r="C61" s="2970"/>
      <c r="D61" s="2969"/>
      <c r="E61" s="2969"/>
      <c r="F61" s="2969"/>
      <c r="G61" s="2969"/>
      <c r="H61" s="2969"/>
      <c r="I61" s="2969"/>
      <c r="J61" s="2969"/>
    </row>
    <row r="62" spans="2:26">
      <c r="B62" s="2916"/>
      <c r="C62" s="2916"/>
      <c r="D62" s="2916"/>
      <c r="E62" s="2916"/>
      <c r="F62" s="2916"/>
      <c r="G62" s="2916"/>
      <c r="H62" s="2916"/>
      <c r="I62" s="2916"/>
      <c r="J62" s="2916"/>
    </row>
    <row r="63" spans="2:26">
      <c r="B63" s="2916"/>
      <c r="C63" s="2916"/>
      <c r="D63" s="2916"/>
      <c r="E63" s="2916"/>
      <c r="F63" s="2916"/>
      <c r="G63" s="2916"/>
      <c r="H63" s="2916"/>
      <c r="I63" s="2916"/>
      <c r="J63" s="2916"/>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2038</v>
      </c>
      <c r="B1" s="3210"/>
      <c r="C1" s="3210"/>
      <c r="D1" s="3210"/>
      <c r="E1" s="3210"/>
      <c r="F1" s="3210"/>
      <c r="G1" s="3210"/>
      <c r="H1" s="3210"/>
      <c r="I1" s="3210"/>
      <c r="J1" s="3210"/>
      <c r="K1" s="3210"/>
      <c r="L1" s="3210"/>
      <c r="M1" s="3210"/>
      <c r="N1" s="3210"/>
      <c r="O1" s="3210"/>
      <c r="P1" s="3210"/>
      <c r="Q1" s="3210"/>
      <c r="R1" s="3210"/>
    </row>
    <row r="2" spans="1:18">
      <c r="A2" s="1805" t="s">
        <v>2040</v>
      </c>
      <c r="B2" s="1805"/>
      <c r="C2" s="1805"/>
      <c r="D2" s="1805"/>
      <c r="E2" s="1805"/>
      <c r="F2" s="1805"/>
      <c r="G2" s="1805"/>
      <c r="H2" s="1805"/>
      <c r="I2" s="1806"/>
      <c r="J2" s="1806"/>
      <c r="K2" s="1807" t="str">
        <f>"估价期日："&amp;TEXT(项目基本情况!D3,"yyyy年m月d日;;")</f>
        <v>估价期日：2019年2月14日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1" t="s">
        <v>2029</v>
      </c>
      <c r="B3" s="3211" t="s">
        <v>2730</v>
      </c>
      <c r="C3" s="3212" t="s">
        <v>2030</v>
      </c>
      <c r="D3" s="3211" t="s">
        <v>2734</v>
      </c>
      <c r="E3" s="3214" t="s">
        <v>2031</v>
      </c>
      <c r="F3" s="3214"/>
      <c r="G3" s="3214"/>
      <c r="H3" s="3214" t="s">
        <v>2032</v>
      </c>
      <c r="I3" s="3214"/>
      <c r="J3" s="3214"/>
      <c r="K3" s="3212" t="s">
        <v>2033</v>
      </c>
      <c r="L3" s="3212" t="s">
        <v>2034</v>
      </c>
      <c r="M3" s="3211" t="s">
        <v>2731</v>
      </c>
      <c r="N3" s="3213" t="str">
        <f>"（分摊）"&amp;项目基本情况!B16&amp;"国有建设用地使用权面积/㎡"</f>
        <v>（分摊）出让国有建设用地使用权面积/㎡</v>
      </c>
      <c r="O3" s="3211" t="s">
        <v>2063</v>
      </c>
      <c r="P3" s="3212" t="s">
        <v>2043</v>
      </c>
      <c r="Q3" s="3212" t="s">
        <v>2064</v>
      </c>
      <c r="R3" s="3212" t="s">
        <v>2035</v>
      </c>
    </row>
    <row r="4" spans="1:18" ht="36.75" customHeight="1">
      <c r="A4" s="3211"/>
      <c r="B4" s="3211"/>
      <c r="C4" s="3212"/>
      <c r="D4" s="3211"/>
      <c r="E4" s="2625" t="s">
        <v>2042</v>
      </c>
      <c r="F4" s="2625" t="s">
        <v>2743</v>
      </c>
      <c r="G4" s="2625" t="s">
        <v>2036</v>
      </c>
      <c r="H4" s="2625" t="s">
        <v>2037</v>
      </c>
      <c r="I4" s="2625" t="s">
        <v>2744</v>
      </c>
      <c r="J4" s="2625" t="s">
        <v>2036</v>
      </c>
      <c r="K4" s="3212"/>
      <c r="L4" s="3212"/>
      <c r="M4" s="3211"/>
      <c r="N4" s="3213"/>
      <c r="O4" s="3211"/>
      <c r="P4" s="3212"/>
      <c r="Q4" s="3212"/>
      <c r="R4" s="3212"/>
    </row>
    <row r="5" spans="1:18" ht="135" customHeight="1">
      <c r="A5" s="1941" t="s">
        <v>2654</v>
      </c>
      <c r="B5" s="2842" t="s">
        <v>2652</v>
      </c>
      <c r="C5" s="2624">
        <v>22</v>
      </c>
      <c r="D5" s="2623" t="s">
        <v>2653</v>
      </c>
      <c r="E5" s="1808">
        <f>项目基本情况!B12</f>
        <v>0</v>
      </c>
      <c r="F5" s="2623">
        <v>258</v>
      </c>
      <c r="G5" s="1808">
        <f>项目基本情况!B13</f>
        <v>0</v>
      </c>
      <c r="H5" s="2623">
        <v>1.5</v>
      </c>
      <c r="I5" s="2623">
        <v>1.5</v>
      </c>
      <c r="J5" s="2623">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19600</v>
      </c>
      <c r="O5" s="1808">
        <f>项目基本情况!C21</f>
        <v>86130.880000000005</v>
      </c>
      <c r="P5" s="1808">
        <f ca="1">结果表!E42</f>
        <v>44593</v>
      </c>
      <c r="Q5" s="1808">
        <f ca="1">结果表!D42</f>
        <v>10148</v>
      </c>
      <c r="R5" s="1809">
        <f ca="1">结果表!C42</f>
        <v>87403</v>
      </c>
    </row>
    <row r="6" spans="1:18">
      <c r="A6" s="3207" t="str">
        <f>IF(项目基本情况!B9="市场价格","——","抵押价格")</f>
        <v>——</v>
      </c>
      <c r="B6" s="3208"/>
      <c r="C6" s="3208"/>
      <c r="D6" s="3208"/>
      <c r="E6" s="3208"/>
      <c r="F6" s="3208"/>
      <c r="G6" s="3208"/>
      <c r="H6" s="3208"/>
      <c r="I6" s="3208"/>
      <c r="J6" s="3208"/>
      <c r="K6" s="3208"/>
      <c r="L6" s="3208"/>
      <c r="M6" s="3208"/>
      <c r="N6" s="3208"/>
      <c r="O6" s="3208"/>
      <c r="P6" s="3208"/>
      <c r="Q6" s="3209"/>
      <c r="R6" s="1810" t="str">
        <f>结果表!O39</f>
        <v>——</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0"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5" t="s">
        <v>2065</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2066</v>
      </c>
      <c r="B5" s="3218"/>
      <c r="C5" s="3218"/>
      <c r="D5" s="3218"/>
    </row>
    <row r="6" spans="1:4">
      <c r="A6" s="3215" t="s">
        <v>2044</v>
      </c>
      <c r="B6" s="3215"/>
      <c r="C6" s="3215"/>
      <c r="D6" s="3215"/>
    </row>
    <row r="7" spans="1:4" ht="33" customHeight="1">
      <c r="A7" s="3215" t="s">
        <v>2575</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5"/>
      <c r="C8" s="3215"/>
      <c r="D8" s="3215"/>
    </row>
    <row r="9" spans="1:4" ht="33.75" customHeight="1">
      <c r="A9" s="3215" t="str">
        <f>IF(项目基本情况!B8="抵押","3.抵押双方在办理抵押登记手续时，应使用本公司出具的正式《土地估价报告》，特提请报告使用者注意。","——")</f>
        <v>——</v>
      </c>
      <c r="B9" s="3215"/>
      <c r="C9" s="3215"/>
      <c r="D9" s="3215"/>
    </row>
    <row r="10" spans="1:4">
      <c r="A10" s="3215" t="str">
        <f>IF(项目基本情况!B8="抵押","4.估价师所知悉的法定优先受偿款情况为：","——")</f>
        <v>——</v>
      </c>
      <c r="B10" s="3215"/>
      <c r="C10" s="3215"/>
      <c r="D10" s="3215"/>
    </row>
    <row r="11" spans="1:4" ht="37.5" customHeight="1">
      <c r="A11" s="3217" t="str">
        <f>IF(项目基本情况!B8="抵押","（1）"&amp;CONCATENATE(项目基本情况!L24,项目基本情况!L25,项目基本情况!L26),"——")</f>
        <v>——</v>
      </c>
      <c r="B11" s="3217"/>
      <c r="C11" s="3217"/>
      <c r="D11" s="3217"/>
    </row>
    <row r="12" spans="1:4" ht="168" customHeight="1">
      <c r="A12" s="3218" t="s">
        <v>2068</v>
      </c>
      <c r="B12" s="3218"/>
      <c r="C12" s="3218"/>
      <c r="D12" s="3218"/>
    </row>
    <row r="13" spans="1:4">
      <c r="A13" s="3216" t="s">
        <v>2745</v>
      </c>
      <c r="B13" s="3216"/>
      <c r="C13" s="3216"/>
      <c r="D13" s="3216"/>
    </row>
    <row r="14" spans="1:4">
      <c r="A14" s="3217" t="str">
        <f>IF(项目基本情况!B8="抵押","综上，"&amp;结果表!K47,"——")</f>
        <v>——</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2701</v>
      </c>
      <c r="B17" s="3215"/>
      <c r="C17" s="3215"/>
      <c r="D17" s="3215"/>
    </row>
    <row r="18" spans="1:4">
      <c r="A18" s="3215" t="s">
        <v>2693</v>
      </c>
      <c r="B18" s="3215"/>
      <c r="C18" s="3215"/>
      <c r="D18" s="3215"/>
    </row>
    <row r="19" spans="1:4">
      <c r="A19" s="2843" t="s">
        <v>2694</v>
      </c>
      <c r="B19" s="2843" t="s">
        <v>2695</v>
      </c>
      <c r="C19" s="2843" t="s">
        <v>2696</v>
      </c>
      <c r="D19" s="2843" t="s">
        <v>2697</v>
      </c>
    </row>
    <row r="20" spans="1:4">
      <c r="A20" s="2843" t="str">
        <f>项目基本情况!B4</f>
        <v>王鹏</v>
      </c>
      <c r="B20" s="2843">
        <f ca="1">项目基本情况!C4</f>
        <v>2002110030</v>
      </c>
      <c r="C20" s="2845"/>
      <c r="D20" s="1798" t="s">
        <v>2702</v>
      </c>
    </row>
    <row r="21" spans="1:4">
      <c r="A21" s="2843" t="str">
        <f>项目基本情况!D4</f>
        <v>郑燚</v>
      </c>
      <c r="B21" s="2843">
        <f ca="1">项目基本情况!E4</f>
        <v>2014110011</v>
      </c>
      <c r="C21" s="2845"/>
      <c r="D21" s="1798" t="s">
        <v>2703</v>
      </c>
    </row>
    <row r="23" spans="1:4">
      <c r="A23" s="3215" t="s">
        <v>2698</v>
      </c>
      <c r="B23" s="3215"/>
      <c r="C23" s="3215"/>
      <c r="D23" s="3215"/>
    </row>
    <row r="24" spans="1:4">
      <c r="A24" s="2843" t="s">
        <v>2694</v>
      </c>
      <c r="B24" s="2843" t="s">
        <v>2699</v>
      </c>
      <c r="C24" s="2843" t="s">
        <v>2696</v>
      </c>
      <c r="D24" s="2843" t="s">
        <v>2697</v>
      </c>
    </row>
    <row r="25" spans="1:4">
      <c r="A25" s="2846" t="s">
        <v>2700</v>
      </c>
      <c r="B25" s="2843" t="s">
        <v>951</v>
      </c>
      <c r="C25" s="2845"/>
      <c r="D25" s="1798" t="s">
        <v>2703</v>
      </c>
    </row>
    <row r="29" spans="1:4">
      <c r="D29" s="2844" t="s">
        <v>2039</v>
      </c>
    </row>
    <row r="30" spans="1:4">
      <c r="D30" s="284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27" t="s">
        <v>53</v>
      </c>
      <c r="B15" s="3228" t="s">
        <v>845</v>
      </c>
      <c r="C15" s="3224"/>
    </row>
    <row r="16" spans="1:7" ht="14.25">
      <c r="A16" s="3227"/>
      <c r="B16" s="3225" t="s">
        <v>54</v>
      </c>
      <c r="C16" s="1169" t="s">
        <v>53</v>
      </c>
    </row>
    <row r="17" spans="1:3" ht="14.25">
      <c r="A17" s="3227"/>
      <c r="B17" s="3225"/>
      <c r="C17" s="1169" t="s">
        <v>55</v>
      </c>
    </row>
    <row r="18" spans="1:3" ht="14.25">
      <c r="A18" s="3227"/>
      <c r="B18" s="3225"/>
      <c r="C18" s="1169" t="s">
        <v>56</v>
      </c>
    </row>
    <row r="19" spans="1:3" ht="14.25">
      <c r="A19" s="3227"/>
      <c r="B19" s="3223" t="s">
        <v>57</v>
      </c>
      <c r="C19" s="3224"/>
    </row>
    <row r="20" spans="1:3" ht="14.25">
      <c r="A20" s="1170" t="s">
        <v>58</v>
      </c>
      <c r="B20" s="1171"/>
      <c r="C20" s="1172"/>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3" t="s">
        <v>836</v>
      </c>
    </row>
    <row r="25" spans="1:3" ht="14.25">
      <c r="A25" s="3226"/>
      <c r="B25" s="3230"/>
      <c r="C25" s="1173" t="s">
        <v>837</v>
      </c>
    </row>
    <row r="26" spans="1:3" ht="14.25">
      <c r="A26" s="3226"/>
      <c r="B26" s="3230"/>
      <c r="C26" s="1173" t="s">
        <v>838</v>
      </c>
    </row>
    <row r="27" spans="1:3" ht="14.25">
      <c r="A27" s="3226"/>
      <c r="B27" s="3230"/>
      <c r="C27" s="1173" t="s">
        <v>839</v>
      </c>
    </row>
    <row r="28" spans="1:3" ht="14.25">
      <c r="A28" s="3226"/>
      <c r="B28" s="3230"/>
      <c r="C28" s="1173" t="s">
        <v>840</v>
      </c>
    </row>
    <row r="29" spans="1:3" ht="14.25">
      <c r="A29" s="3226"/>
      <c r="B29" s="3230"/>
      <c r="C29" s="1173" t="s">
        <v>841</v>
      </c>
    </row>
    <row r="30" spans="1:3" ht="14.25">
      <c r="A30" s="3226"/>
      <c r="B30" s="3230"/>
      <c r="C30" s="1173" t="s">
        <v>842</v>
      </c>
    </row>
    <row r="31" spans="1:3" ht="14.25">
      <c r="A31" s="3226"/>
      <c r="B31" s="3230"/>
      <c r="C31" s="1173" t="s">
        <v>843</v>
      </c>
    </row>
    <row r="32" spans="1:3" ht="14.25">
      <c r="A32" s="3226"/>
      <c r="B32" s="3230"/>
      <c r="C32" s="1173" t="s">
        <v>1646</v>
      </c>
    </row>
    <row r="33" spans="1:3" ht="14.25">
      <c r="A33" s="3226"/>
      <c r="B33" s="3220" t="s">
        <v>1652</v>
      </c>
      <c r="C33" s="1173" t="s">
        <v>1647</v>
      </c>
    </row>
    <row r="34" spans="1:3" ht="14.25">
      <c r="A34" s="3226"/>
      <c r="B34" s="3221"/>
      <c r="C34" s="1178" t="s">
        <v>1648</v>
      </c>
    </row>
    <row r="35" spans="1:3" ht="14.25">
      <c r="A35" s="3226"/>
      <c r="B35" s="3221"/>
      <c r="C35" s="1179" t="s">
        <v>1649</v>
      </c>
    </row>
    <row r="36" spans="1:3" ht="14.25">
      <c r="A36" s="3226"/>
      <c r="B36" s="3221"/>
      <c r="C36" s="1179" t="s">
        <v>1650</v>
      </c>
    </row>
    <row r="37" spans="1:3" ht="14.25">
      <c r="A37" s="3226"/>
      <c r="B37" s="3222"/>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1907</v>
      </c>
      <c r="B2" s="3149">
        <f ca="1">TODAY()</f>
        <v>43535</v>
      </c>
      <c r="C2" s="3150" t="s">
        <v>1908</v>
      </c>
      <c r="D2" s="3150"/>
    </row>
    <row r="3" spans="1:6" ht="20.25" customHeight="1">
      <c r="A3" s="3152" t="s">
        <v>1909</v>
      </c>
      <c r="B3" s="3153" t="s">
        <v>1910</v>
      </c>
      <c r="C3" s="3153" t="s">
        <v>1911</v>
      </c>
      <c r="D3" s="3154" t="s">
        <v>1912</v>
      </c>
      <c r="E3" s="3153" t="s">
        <v>1913</v>
      </c>
      <c r="F3" s="3153" t="s">
        <v>1911</v>
      </c>
    </row>
    <row r="4" spans="1:6" ht="20.25" customHeight="1">
      <c r="A4" s="3153" t="s">
        <v>1914</v>
      </c>
      <c r="B4" s="3153">
        <f ca="1">IF(C4&lt;B2,"已过期",1119970066)</f>
        <v>1119970066</v>
      </c>
      <c r="C4" s="3155">
        <v>43849</v>
      </c>
      <c r="D4" s="3153" t="s">
        <v>1914</v>
      </c>
      <c r="E4" s="3153">
        <f ca="1">IF(F4&lt;B2,"已过期",96010014)</f>
        <v>96010014</v>
      </c>
      <c r="F4" s="3156">
        <v>47118</v>
      </c>
    </row>
    <row r="5" spans="1:6" ht="20.25" customHeight="1">
      <c r="A5" s="3153" t="s">
        <v>1915</v>
      </c>
      <c r="B5" s="3153">
        <f ca="1">IF(C5&lt;B2,"已过期",1119970074)</f>
        <v>1119970074</v>
      </c>
      <c r="C5" s="3155">
        <v>43849</v>
      </c>
      <c r="D5" s="3153" t="s">
        <v>1915</v>
      </c>
      <c r="E5" s="3153">
        <f ca="1">IF(F5&lt;B2,"已过期",2002110027)</f>
        <v>2002110027</v>
      </c>
      <c r="F5" s="3156">
        <v>46752</v>
      </c>
    </row>
    <row r="6" spans="1:6" ht="20.25" customHeight="1">
      <c r="A6" s="3153" t="s">
        <v>1916</v>
      </c>
      <c r="B6" s="3153">
        <f ca="1">IF(C6&lt;B2,"已过期",1119970111)</f>
        <v>1119970111</v>
      </c>
      <c r="C6" s="3155">
        <v>43849</v>
      </c>
      <c r="D6" s="3153" t="s">
        <v>1916</v>
      </c>
      <c r="E6" s="3153">
        <f ca="1">IF(F6&lt;B2,"已过期",94010078)</f>
        <v>94010078</v>
      </c>
      <c r="F6" s="3156">
        <v>46387</v>
      </c>
    </row>
    <row r="7" spans="1:6" ht="20.25" customHeight="1">
      <c r="A7" s="3153" t="s">
        <v>1917</v>
      </c>
      <c r="B7" s="3153">
        <f ca="1">IF(C7&lt;B2,"已过期",1120050019)</f>
        <v>1120050019</v>
      </c>
      <c r="C7" s="3155">
        <v>44395</v>
      </c>
      <c r="D7" s="3153" t="s">
        <v>1917</v>
      </c>
      <c r="E7" s="3153">
        <f ca="1">IF(F7&lt;B2,"已过期",2002110030)</f>
        <v>2002110030</v>
      </c>
      <c r="F7" s="3156">
        <v>46387</v>
      </c>
    </row>
    <row r="8" spans="1:6" ht="20.25" customHeight="1">
      <c r="A8" s="3153" t="s">
        <v>1918</v>
      </c>
      <c r="B8" s="3153">
        <f ca="1">IF(C8&lt;B2,"已过期",1120000080)</f>
        <v>1120000080</v>
      </c>
      <c r="C8" s="3155">
        <v>43849</v>
      </c>
      <c r="D8" s="3153" t="s">
        <v>1918</v>
      </c>
      <c r="E8" s="3153">
        <f ca="1">IF(F8&lt;B2,"已过期",2000110082)</f>
        <v>2000110082</v>
      </c>
      <c r="F8" s="3156">
        <v>46387</v>
      </c>
    </row>
    <row r="9" spans="1:6" ht="20.25" customHeight="1">
      <c r="A9" s="3153" t="s">
        <v>1919</v>
      </c>
      <c r="B9" s="3153">
        <f ca="1">IF(C9&lt;B2,"已过期",1419970001)</f>
        <v>1419970001</v>
      </c>
      <c r="C9" s="3155">
        <v>43867</v>
      </c>
      <c r="D9" s="3153" t="s">
        <v>1919</v>
      </c>
      <c r="E9" s="3153">
        <f ca="1">IF(F9&lt;B2,"已过期",2002110125)</f>
        <v>2002110125</v>
      </c>
      <c r="F9" s="3156">
        <v>47118</v>
      </c>
    </row>
    <row r="10" spans="1:6" ht="20.25" customHeight="1">
      <c r="A10" s="3153" t="s">
        <v>1920</v>
      </c>
      <c r="B10" s="3153" t="str">
        <f ca="1">IF(C10&lt;B2,"已过期",1120060040)</f>
        <v>已过期</v>
      </c>
      <c r="C10" s="3155">
        <v>43483</v>
      </c>
      <c r="D10" s="3153" t="s">
        <v>1920</v>
      </c>
      <c r="E10" s="3153">
        <f ca="1">IF(F10&lt;B2,"已过期",2004110096)</f>
        <v>2004110096</v>
      </c>
      <c r="F10" s="3156">
        <v>47118</v>
      </c>
    </row>
    <row r="11" spans="1:6" ht="20.25" customHeight="1">
      <c r="A11" s="3153" t="s">
        <v>1921</v>
      </c>
      <c r="B11" s="3153">
        <f ca="1">IF(C11&lt;B2,"已过期",1120100036)</f>
        <v>1120100036</v>
      </c>
      <c r="C11" s="3155">
        <v>43622</v>
      </c>
      <c r="D11" s="3153" t="s">
        <v>1921</v>
      </c>
      <c r="E11" s="3153">
        <f ca="1">IF(F11&lt;B2,"已过期",2010110070)</f>
        <v>2010110070</v>
      </c>
      <c r="F11" s="3156">
        <v>47907</v>
      </c>
    </row>
    <row r="12" spans="1:6" ht="20.25" customHeight="1">
      <c r="A12" s="3153"/>
      <c r="B12" s="3153"/>
      <c r="C12" s="3155"/>
      <c r="D12" s="3153"/>
      <c r="E12" s="3153"/>
      <c r="F12" s="3156"/>
    </row>
    <row r="13" spans="1:6" ht="20.25" customHeight="1">
      <c r="A13" s="3153" t="s">
        <v>1922</v>
      </c>
      <c r="B13" s="3153">
        <f ca="1">IF(C13&lt;B2,"已过期",1120070131)</f>
        <v>1120070131</v>
      </c>
      <c r="C13" s="3155">
        <v>43814</v>
      </c>
      <c r="D13" s="3153" t="s">
        <v>1922</v>
      </c>
      <c r="E13" s="3153">
        <f ca="1">IF(F13&lt;B2,"已过期",2014110011)</f>
        <v>2014110011</v>
      </c>
      <c r="F13" s="3156">
        <v>49302</v>
      </c>
    </row>
    <row r="14" spans="1:6" ht="20.25" customHeight="1">
      <c r="A14" s="3153" t="s">
        <v>2982</v>
      </c>
      <c r="B14" s="3153">
        <f ca="1">IF(C14&lt;B2,"已过期",1120040230)</f>
        <v>1120040230</v>
      </c>
      <c r="C14" s="3157">
        <v>43835</v>
      </c>
      <c r="D14" s="3158" t="s">
        <v>2983</v>
      </c>
      <c r="E14" s="3153">
        <f ca="1">IF(F14&lt;B2,"已过期",98030020)</f>
        <v>98030020</v>
      </c>
      <c r="F14" s="3156">
        <v>47118</v>
      </c>
    </row>
    <row r="15" spans="1:6" ht="20.25" customHeight="1">
      <c r="A15" s="3153" t="s">
        <v>2574</v>
      </c>
      <c r="B15" s="3153">
        <f ca="1">IF(C15&lt;B2,"已过期",1120070085)</f>
        <v>1120070085</v>
      </c>
      <c r="C15" s="3157">
        <v>43814</v>
      </c>
      <c r="D15" s="3153" t="s">
        <v>2984</v>
      </c>
      <c r="E15" s="3153">
        <f ca="1">IF(F15&lt;B2,"已过期",2004110128)</f>
        <v>2004110128</v>
      </c>
      <c r="F15" s="3159">
        <v>47118</v>
      </c>
    </row>
    <row r="16" spans="1:6" ht="20.25" customHeight="1">
      <c r="A16" s="3153" t="s">
        <v>1923</v>
      </c>
      <c r="B16" s="3153">
        <f ca="1">IF(C16&lt;B2,"已过期",1120140022)</f>
        <v>1120140022</v>
      </c>
      <c r="C16" s="3155">
        <v>44029</v>
      </c>
      <c r="D16" s="3153" t="s">
        <v>2985</v>
      </c>
      <c r="E16" s="3153">
        <f ca="1">IF(F16&lt;B2,"已过期",2008110059)</f>
        <v>2008110059</v>
      </c>
      <c r="F16" s="3156">
        <v>47177</v>
      </c>
    </row>
    <row r="17" spans="1:7" ht="20.25" customHeight="1">
      <c r="A17" s="3153"/>
      <c r="B17" s="3153"/>
      <c r="C17" s="3155"/>
      <c r="D17" s="3158" t="s">
        <v>2986</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1924</v>
      </c>
      <c r="E21" s="3153">
        <f ca="1">IF(F21&lt;B2,"已过期",2011110090)</f>
        <v>2011110090</v>
      </c>
      <c r="F21" s="3156">
        <v>48302</v>
      </c>
    </row>
    <row r="22" spans="1:7" ht="20.25" customHeight="1">
      <c r="A22" s="3153" t="s">
        <v>1925</v>
      </c>
      <c r="B22" s="3153">
        <f ca="1">IF(C22&lt;B2,"已过期",1120020033)</f>
        <v>1120020033</v>
      </c>
      <c r="C22" s="3155">
        <v>44339</v>
      </c>
      <c r="D22" s="3153" t="s">
        <v>1925</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2053</v>
      </c>
      <c r="B24" s="3152" t="s">
        <v>2053</v>
      </c>
      <c r="C24" s="3155"/>
      <c r="D24" s="3160" t="s">
        <v>2053</v>
      </c>
      <c r="E24" s="3152" t="s">
        <v>2053</v>
      </c>
      <c r="F24" s="3159"/>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3148" customFormat="1" ht="20.25" customHeight="1">
      <c r="A27" s="3162" t="s">
        <v>1929</v>
      </c>
      <c r="B27" s="3163" t="s">
        <v>1930</v>
      </c>
      <c r="C27" s="3163" t="s">
        <v>1931</v>
      </c>
      <c r="D27" s="3153" t="s">
        <v>1929</v>
      </c>
      <c r="E27" s="3163" t="s">
        <v>1930</v>
      </c>
      <c r="F27" s="3163" t="s">
        <v>1931</v>
      </c>
    </row>
    <row r="28" spans="1:7" s="3148" customFormat="1" ht="20.25" customHeight="1">
      <c r="A28" s="3164" t="s">
        <v>1932</v>
      </c>
      <c r="B28" s="3164" t="s">
        <v>1933</v>
      </c>
      <c r="C28" s="3156">
        <v>43725</v>
      </c>
      <c r="D28" s="3164" t="s">
        <v>1934</v>
      </c>
      <c r="E28" s="3164" t="s">
        <v>1935</v>
      </c>
      <c r="F28" s="3165">
        <v>44377</v>
      </c>
    </row>
    <row r="29" spans="1:7" s="3148" customFormat="1" ht="20.25" customHeight="1">
      <c r="A29" s="3164"/>
      <c r="B29" s="3164"/>
      <c r="C29" s="3166"/>
      <c r="D29" s="3164" t="s">
        <v>1936</v>
      </c>
      <c r="E29" s="3167" t="s">
        <v>2944</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9" t="s">
        <v>2545</v>
      </c>
      <c r="R1" s="2558" t="s">
        <v>2539</v>
      </c>
      <c r="S1" s="6" t="s">
        <v>146</v>
      </c>
      <c r="T1" s="7" t="s">
        <v>147</v>
      </c>
      <c r="U1" s="6" t="s">
        <v>148</v>
      </c>
      <c r="V1" s="6" t="s">
        <v>149</v>
      </c>
      <c r="W1" s="1001"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2540</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875</v>
      </c>
    </row>
    <row r="4" spans="1:23">
      <c r="A4" s="8" t="s">
        <v>87</v>
      </c>
      <c r="B4" s="8" t="s">
        <v>152</v>
      </c>
      <c r="C4" s="1549"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877</v>
      </c>
    </row>
    <row r="6" spans="1:23">
      <c r="A6" s="8" t="s">
        <v>99</v>
      </c>
      <c r="B6" s="1146" t="s">
        <v>1640</v>
      </c>
      <c r="C6" s="1551" t="s">
        <v>1713</v>
      </c>
      <c r="F6" s="9" t="s">
        <v>71</v>
      </c>
      <c r="H6" s="9" t="s">
        <v>72</v>
      </c>
      <c r="I6" s="9" t="s">
        <v>100</v>
      </c>
      <c r="K6" s="9" t="s">
        <v>101</v>
      </c>
      <c r="L6" s="9" t="s">
        <v>101</v>
      </c>
      <c r="M6" s="9" t="s">
        <v>101</v>
      </c>
      <c r="N6" s="9" t="s">
        <v>101</v>
      </c>
      <c r="O6" s="9" t="s">
        <v>101</v>
      </c>
      <c r="P6" s="1003" t="s">
        <v>880</v>
      </c>
      <c r="Q6" s="9" t="s">
        <v>101</v>
      </c>
      <c r="R6" s="1003" t="s">
        <v>2544</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085" t="s">
        <v>2956</v>
      </c>
      <c r="C18" s="1552"/>
    </row>
    <row r="19" spans="1:3">
      <c r="A19" s="8" t="s">
        <v>120</v>
      </c>
      <c r="B19" s="3085" t="s">
        <v>2964</v>
      </c>
      <c r="C19" s="1552"/>
    </row>
    <row r="20" spans="1:3">
      <c r="A20" s="8" t="s">
        <v>121</v>
      </c>
      <c r="B20" s="3085" t="s">
        <v>3328</v>
      </c>
      <c r="C20" s="1552"/>
    </row>
    <row r="21" spans="1:3">
      <c r="A21" s="8" t="s">
        <v>122</v>
      </c>
      <c r="B21" s="3085" t="s">
        <v>3331</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3" t="s">
        <v>1942</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一区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33"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c r="D53" s="1765"/>
      <c r="E53" s="1765"/>
    </row>
    <row r="54" spans="1:5">
      <c r="A54" s="3233"/>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3"/>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3"/>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3"/>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Sheet2</vt:lpstr>
      <vt:lpstr>Sheet3</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不动产收益法</vt:lpstr>
      <vt:lpstr>不动产收益法写字楼</vt:lpstr>
      <vt:lpstr>不动产收益法车库</vt:lpstr>
      <vt:lpstr>不动产比较法-工业</vt:lpstr>
      <vt:lpstr>不动产比较法-车位</vt:lpstr>
      <vt:lpstr>不动产比较法-仓储</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2019-03-11T05:04:56Z</dcterms:modified>
</cp:coreProperties>
</file>