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基准地价修正" sheetId="43" r:id="rId20"/>
    <sheet name="成本法" sheetId="68" r:id="rId21"/>
    <sheet name="比较法-商业" sheetId="33" state="hidden" r:id="rId22"/>
    <sheet name="比较案例" sheetId="80" state="hidden" r:id="rId23"/>
    <sheet name="比较法-租金" sheetId="82" state="hidden" r:id="rId24"/>
    <sheet name="成本法 (元)" sheetId="69" state="hidden" r:id="rId25"/>
    <sheet name="假设开发法" sheetId="12" state="hidden" r:id="rId26"/>
    <sheet name="收益法-酒店模型" sheetId="77" state="hidden" r:id="rId27"/>
    <sheet name="收益法（汇总）" sheetId="70" r:id="rId28"/>
    <sheet name="收益法" sheetId="15" r:id="rId29"/>
    <sheet name="收益法办" sheetId="83" r:id="rId30"/>
    <sheet name="收益法仓" sheetId="84" r:id="rId31"/>
    <sheet name="收益法车" sheetId="85" r:id="rId32"/>
    <sheet name="比较法-住宅" sheetId="2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收益法 (元)" sheetId="67"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1" sheetId="81" state="hidden" r:id="rId51"/>
  </sheets>
  <externalReferences>
    <externalReference r:id="rId52"/>
  </externalReferences>
  <definedNames>
    <definedName name="_xlnm._FilterDatabase" localSheetId="18"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1" hidden="1">'比较法-商业'!$A$1:$L$49</definedName>
    <definedName name="_xlnm._FilterDatabase" localSheetId="32" hidden="1">'比较法-住宅'!$A$1:$L$49</definedName>
    <definedName name="_xlnm._FilterDatabase" localSheetId="23" hidden="1">'比较法-租金'!$A$1:$L$49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1">'比较法-商业'!$A$1:$K$54,'比较法-商业'!$A$57:$M$131</definedName>
    <definedName name="_xlnm.Print_Area" localSheetId="32">'比较法-住宅'!$A$1:$K$54,'比较法-住宅'!$A$57:$M$131</definedName>
    <definedName name="_xlnm.Print_Area" localSheetId="23">'比较法-租金'!$A$1:$K$54,'比较法-租金'!$A$57:$M$131</definedName>
    <definedName name="_xlnm.Print_Area" localSheetId="20">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19">基准地价修正!$A$1:$J$44,基准地价修正!$A$47:$H$101,基准地价修正!$R$1:$V$16</definedName>
    <definedName name="_xlnm.Print_Area" localSheetId="25">假设开发法!$A$1:$K$32</definedName>
    <definedName name="_xlnm.Print_Area" localSheetId="17">结果表!$A$1:$I$127</definedName>
    <definedName name="_xlnm.Print_Area" localSheetId="28">收益法!$A$1:$F$43,收益法!$H$3:$M$29,收益法!$A$46:$F$71,收益法!$I$46:$N$65</definedName>
    <definedName name="_xlnm.Print_Area" localSheetId="38">'收益法 (元)'!$A$1:$F$43,'收益法 (元)'!$H$3:$M$29,'收益法 (元)'!$A$45:$F$71,'收益法 (元)'!$I$46:$N$65</definedName>
    <definedName name="_xlnm.Print_Area" localSheetId="27">'收益法（汇总）'!$A$1:$F$13</definedName>
    <definedName name="_xlnm.Print_Area" localSheetId="29">收益法办!$A$1:$F$43,收益法办!$H$3:$M$29,收益法办!$A$46:$F$71,收益法办!$I$46:$N$65</definedName>
    <definedName name="_xlnm.Print_Area" localSheetId="30">收益法仓!$A$1:$F$43,收益法仓!$H$3:$M$29,收益法仓!$A$46:$F$71,收益法仓!$I$46:$N$65</definedName>
    <definedName name="_xlnm.Print_Area" localSheetId="31">收益法车!$A$1:$F$43,收益法车!$H$3:$M$29,收益法车!$A$46:$F$71,收益法车!$I$46:$N$65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'比较法-租金'!$B$116:$M$116</definedName>
    <definedName name="商业层高">'比较法-商业'!$B$116:$M$116</definedName>
    <definedName name="商业成新度" localSheetId="23">'比较法-租金'!$B$109:$M$109</definedName>
    <definedName name="商业成新度">'比较法-商业'!$B$109:$M$109</definedName>
    <definedName name="商业繁华度">定义!$L$1:$L$6</definedName>
    <definedName name="商业公共部分装修" localSheetId="23">'比较法-租金'!$B$107:$M$107</definedName>
    <definedName name="商业公共部分装修">'比较法-商业'!$B$107:$M$107</definedName>
    <definedName name="商业基础设施水平" localSheetId="23">'比较法-租金'!$B$112:$M$112</definedName>
    <definedName name="商业基础设施水平">'比较法-商业'!$B$112:$M$112</definedName>
    <definedName name="商业建筑结构" localSheetId="23">'比较法-租金'!$B$105:$M$105</definedName>
    <definedName name="商业建筑结构">'比较法-商业'!$B$105:$M$105</definedName>
    <definedName name="商业交易情况" localSheetId="23">'比较法-租金'!$A$61:$M$61</definedName>
    <definedName name="商业交易情况">'比较法-商业'!$A$61:$M$61</definedName>
    <definedName name="商业街名称">修正!$C$71:$C$138</definedName>
    <definedName name="商业进深比" localSheetId="23">'比较法-租金'!$B$120:$M$120</definedName>
    <definedName name="商业进深比">'比较法-商业'!$B$120:$M$120</definedName>
    <definedName name="商业类型" localSheetId="23">'比较法-租金'!$B$100:$M$100</definedName>
    <definedName name="商业类型">'比较法-商业'!$B$100:$M$100</definedName>
    <definedName name="商业临街状况" localSheetId="23">'比较法-租金'!$B$86:$M$86</definedName>
    <definedName name="商业临街状况">'比较法-商业'!$B$86:$M$86</definedName>
    <definedName name="商业楼层" localSheetId="23">'比较法-租金'!$B$92:$M$92</definedName>
    <definedName name="商业楼层">'比较法-商业'!$B$92:$M$92</definedName>
    <definedName name="商业内部装修" localSheetId="23">'比较法-租金'!$B$122:$M$122</definedName>
    <definedName name="商业内部装修">'比较法-商业'!$B$122:$M$122</definedName>
    <definedName name="商业人流量" localSheetId="23">'比较法-租金'!$B$90:$M$90</definedName>
    <definedName name="商业人流量">'比较法-商业'!$B$90:$M$90</definedName>
    <definedName name="商业业态" localSheetId="23">'比较法-租金'!$B$114:$M$114</definedName>
    <definedName name="商业业态">'比较法-商业'!$B$114:$M$114</definedName>
    <definedName name="商业用途" localSheetId="23">'比较法-租金'!$B$63:$M$63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14" i="74"/>
  <c r="I8" i="1" l="1"/>
  <c r="I9" i="1" s="1"/>
  <c r="I7" i="1"/>
  <c r="H36" i="6"/>
  <c r="F36" i="6"/>
  <c r="F35" i="6"/>
  <c r="W9" i="1"/>
  <c r="W7" i="1"/>
  <c r="W8" i="1" s="1"/>
  <c r="F41" i="6" l="1"/>
  <c r="V9" i="1"/>
  <c r="V8" i="1"/>
  <c r="V7" i="1"/>
  <c r="D3" i="34"/>
  <c r="AM9" i="1" l="1"/>
  <c r="AM8" i="1"/>
  <c r="AM7" i="1"/>
  <c r="AK9" i="1"/>
  <c r="AK8" i="1"/>
  <c r="AK7" i="1"/>
  <c r="G48" i="34"/>
  <c r="I48" i="34" s="1"/>
  <c r="D27" i="9" l="1"/>
  <c r="L23" i="9"/>
  <c r="L22" i="9"/>
  <c r="Q72" i="85" l="1"/>
  <c r="Q59" i="85"/>
  <c r="K59" i="85"/>
  <c r="P74" i="85" s="1"/>
  <c r="F59" i="85"/>
  <c r="Q58" i="85"/>
  <c r="Q51" i="85"/>
  <c r="J50" i="85"/>
  <c r="J51" i="85" s="1"/>
  <c r="M47" i="85"/>
  <c r="D46" i="85"/>
  <c r="F34" i="85"/>
  <c r="F62" i="85" s="1"/>
  <c r="F33" i="85"/>
  <c r="F61" i="85" s="1"/>
  <c r="F32" i="85"/>
  <c r="F60" i="85" s="1"/>
  <c r="F31" i="85"/>
  <c r="F28" i="85"/>
  <c r="C28" i="85" s="1"/>
  <c r="F23" i="85"/>
  <c r="D24" i="85" s="1"/>
  <c r="F21" i="85"/>
  <c r="M20" i="85"/>
  <c r="F20" i="85"/>
  <c r="M19" i="85"/>
  <c r="M18" i="85"/>
  <c r="F18" i="85"/>
  <c r="M17" i="85"/>
  <c r="F17" i="85"/>
  <c r="F15" i="85"/>
  <c r="G1" i="85"/>
  <c r="P74" i="84"/>
  <c r="Q72" i="84"/>
  <c r="Q59" i="84"/>
  <c r="K59" i="84"/>
  <c r="P61" i="84" s="1"/>
  <c r="F59" i="84"/>
  <c r="Q58" i="84"/>
  <c r="Q51" i="84"/>
  <c r="J51" i="84"/>
  <c r="J50" i="84"/>
  <c r="M47" i="84"/>
  <c r="D46" i="84"/>
  <c r="F34" i="84"/>
  <c r="F33" i="84"/>
  <c r="F61" i="84" s="1"/>
  <c r="F32" i="84"/>
  <c r="F60" i="84" s="1"/>
  <c r="F31" i="84"/>
  <c r="F28" i="84"/>
  <c r="C28" i="84"/>
  <c r="F23" i="84"/>
  <c r="D24" i="84" s="1"/>
  <c r="D23" i="84"/>
  <c r="D22" i="84"/>
  <c r="F21" i="84"/>
  <c r="M20" i="84"/>
  <c r="F20" i="84"/>
  <c r="M19" i="84"/>
  <c r="M18" i="84"/>
  <c r="F18" i="84"/>
  <c r="M17" i="84"/>
  <c r="F17" i="84"/>
  <c r="F15" i="84"/>
  <c r="G1" i="84"/>
  <c r="Q72" i="83"/>
  <c r="Q59" i="83"/>
  <c r="K59" i="83"/>
  <c r="P74" i="83" s="1"/>
  <c r="F59" i="83"/>
  <c r="Q58" i="83"/>
  <c r="Q51" i="83"/>
  <c r="J50"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U21" i="1"/>
  <c r="V21" i="1"/>
  <c r="U20" i="1"/>
  <c r="U19" i="1"/>
  <c r="Y9" i="1"/>
  <c r="Y8" i="1"/>
  <c r="Y7" i="1"/>
  <c r="D33" i="43"/>
  <c r="B21" i="1"/>
  <c r="N14" i="1"/>
  <c r="N9" i="1"/>
  <c r="N8" i="1"/>
  <c r="N7" i="1"/>
  <c r="N6" i="1"/>
  <c r="L7" i="1"/>
  <c r="L8" i="1" s="1"/>
  <c r="G44" i="43"/>
  <c r="D42" i="43"/>
  <c r="D41" i="43"/>
  <c r="D37" i="43"/>
  <c r="G22" i="6"/>
  <c r="G21" i="6"/>
  <c r="G19" i="6"/>
  <c r="F20" i="6"/>
  <c r="F19" i="6"/>
  <c r="L48" i="84"/>
  <c r="M23" i="85"/>
  <c r="L47" i="84"/>
  <c r="M28" i="84"/>
  <c r="F40" i="84"/>
  <c r="F7" i="84"/>
  <c r="F6" i="85"/>
  <c r="M22" i="84"/>
  <c r="C76" i="84"/>
  <c r="F9" i="84"/>
  <c r="F8" i="84"/>
  <c r="F42" i="84"/>
  <c r="F26" i="85"/>
  <c r="M24" i="84"/>
  <c r="C76" i="85"/>
  <c r="F43" i="84"/>
  <c r="J15" i="85"/>
  <c r="C76" i="83"/>
  <c r="M9" i="85"/>
  <c r="F37" i="85"/>
  <c r="M27" i="85"/>
  <c r="L9" i="1" l="1"/>
  <c r="L14" i="1" s="1"/>
  <c r="F50" i="84"/>
  <c r="M7" i="84"/>
  <c r="Q71" i="85"/>
  <c r="F65" i="85"/>
  <c r="F51" i="84"/>
  <c r="C49" i="84" s="1"/>
  <c r="Q71" i="84"/>
  <c r="F68" i="84"/>
  <c r="M59" i="84"/>
  <c r="L59" i="84"/>
  <c r="N59" i="84"/>
  <c r="L58" i="84"/>
  <c r="L57" i="84"/>
  <c r="L56" i="84"/>
  <c r="F71" i="84"/>
  <c r="J57" i="84"/>
  <c r="J55" i="84" s="1"/>
  <c r="J58" i="84" s="1"/>
  <c r="Q50" i="84" s="1"/>
  <c r="C27" i="85"/>
  <c r="P61" i="85"/>
  <c r="F62" i="84"/>
  <c r="I54" i="84"/>
  <c r="L60" i="84"/>
  <c r="D22" i="85"/>
  <c r="D23" i="85"/>
  <c r="J53" i="84"/>
  <c r="Q71" i="83"/>
  <c r="P61" i="83"/>
  <c r="D22" i="83"/>
  <c r="D23" i="83"/>
  <c r="E20" i="81"/>
  <c r="E21" i="81"/>
  <c r="E22" i="81"/>
  <c r="E23" i="81"/>
  <c r="E19" i="81"/>
  <c r="D20" i="81"/>
  <c r="D21" i="81"/>
  <c r="D22" i="81"/>
  <c r="D23" i="81"/>
  <c r="D19" i="81"/>
  <c r="I12" i="81"/>
  <c r="C12" i="81"/>
  <c r="F12" i="81"/>
  <c r="I11" i="81"/>
  <c r="I10" i="81"/>
  <c r="I3" i="81"/>
  <c r="I4" i="81"/>
  <c r="I5" i="81"/>
  <c r="I6" i="81"/>
  <c r="I7" i="81"/>
  <c r="I8" i="81"/>
  <c r="I9" i="81"/>
  <c r="I2" i="81"/>
  <c r="M8" i="84"/>
  <c r="F9" i="85"/>
  <c r="F43" i="85"/>
  <c r="F38" i="85"/>
  <c r="F7" i="85"/>
  <c r="F6" i="83"/>
  <c r="F13" i="83"/>
  <c r="M24" i="85"/>
  <c r="M6" i="84"/>
  <c r="F9" i="83"/>
  <c r="J15" i="84"/>
  <c r="L48" i="85"/>
  <c r="M22" i="85"/>
  <c r="L47" i="83"/>
  <c r="M27" i="83"/>
  <c r="M23" i="84"/>
  <c r="F42" i="83"/>
  <c r="M8" i="83"/>
  <c r="F13" i="85"/>
  <c r="M6" i="85"/>
  <c r="M29" i="84"/>
  <c r="M26" i="84"/>
  <c r="F8" i="83"/>
  <c r="M9" i="83"/>
  <c r="M8" i="85"/>
  <c r="F16" i="84"/>
  <c r="M26" i="83"/>
  <c r="F40" i="83"/>
  <c r="M29" i="85"/>
  <c r="F38" i="84"/>
  <c r="J15" i="83"/>
  <c r="M29" i="83"/>
  <c r="F43" i="83"/>
  <c r="M27" i="84"/>
  <c r="F16" i="85"/>
  <c r="M22" i="83"/>
  <c r="F8" i="85"/>
  <c r="M26" i="85"/>
  <c r="F38" i="83"/>
  <c r="F36" i="83"/>
  <c r="M9" i="84"/>
  <c r="F26" i="84"/>
  <c r="F7" i="83"/>
  <c r="F26" i="83"/>
  <c r="F40" i="85"/>
  <c r="F42" i="85"/>
  <c r="F37" i="84"/>
  <c r="F13" i="84"/>
  <c r="F36" i="85"/>
  <c r="C17" i="84"/>
  <c r="M28" i="83"/>
  <c r="F16" i="83"/>
  <c r="F6" i="84"/>
  <c r="M28" i="85"/>
  <c r="M24" i="83"/>
  <c r="M23" i="83"/>
  <c r="L47" i="85"/>
  <c r="F36" i="84"/>
  <c r="L48" i="83"/>
  <c r="F37" i="83"/>
  <c r="M6" i="83"/>
  <c r="F50" i="85" l="1"/>
  <c r="M7" i="85"/>
  <c r="J6" i="84"/>
  <c r="J6" i="85"/>
  <c r="F68" i="85"/>
  <c r="C27" i="84"/>
  <c r="F64" i="84"/>
  <c r="F66" i="84"/>
  <c r="F66" i="85"/>
  <c r="L57" i="85"/>
  <c r="L56" i="85"/>
  <c r="L60" i="85"/>
  <c r="I54" i="85"/>
  <c r="J53" i="85"/>
  <c r="J57" i="85"/>
  <c r="J55" i="85" s="1"/>
  <c r="J58" i="85" s="1"/>
  <c r="Q50" i="85" s="1"/>
  <c r="F51" i="85"/>
  <c r="C49" i="85" s="1"/>
  <c r="C6" i="85"/>
  <c r="F65" i="84"/>
  <c r="F64" i="85"/>
  <c r="N59" i="85"/>
  <c r="L58" i="85"/>
  <c r="M59" i="85"/>
  <c r="L59" i="85"/>
  <c r="C6" i="84"/>
  <c r="F71" i="85"/>
  <c r="Q73" i="84"/>
  <c r="Q60" i="84"/>
  <c r="Q66" i="84"/>
  <c r="Q57" i="84"/>
  <c r="Q52" i="84"/>
  <c r="F1" i="84"/>
  <c r="Q61" i="84"/>
  <c r="Q74" i="84"/>
  <c r="C61" i="84"/>
  <c r="C27" i="83"/>
  <c r="F65" i="83"/>
  <c r="F68" i="83"/>
  <c r="C6" i="83"/>
  <c r="N59" i="83"/>
  <c r="L58" i="83"/>
  <c r="M59" i="83"/>
  <c r="L59" i="83"/>
  <c r="F66" i="83"/>
  <c r="F71" i="83"/>
  <c r="F50" i="83"/>
  <c r="M7" i="83"/>
  <c r="J6" i="83" s="1"/>
  <c r="F64" i="83"/>
  <c r="L57" i="83"/>
  <c r="L56" i="83"/>
  <c r="I54" i="83"/>
  <c r="J57" i="83"/>
  <c r="J55" i="83" s="1"/>
  <c r="J58" i="83" s="1"/>
  <c r="Q50" i="83" s="1"/>
  <c r="L60" i="83"/>
  <c r="J53" i="83"/>
  <c r="F51" i="83"/>
  <c r="C49" i="83" s="1"/>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C17" i="83"/>
  <c r="D2" i="82"/>
  <c r="C17" i="85"/>
  <c r="C61" i="85" l="1"/>
  <c r="J18" i="85"/>
  <c r="J19" i="85"/>
  <c r="Q61" i="85"/>
  <c r="Q74" i="85"/>
  <c r="J18" i="84"/>
  <c r="J19" i="84"/>
  <c r="C32" i="84"/>
  <c r="C33" i="84"/>
  <c r="Q66" i="85"/>
  <c r="Q57" i="85"/>
  <c r="Q73" i="85"/>
  <c r="Q60" i="85"/>
  <c r="C32" i="85"/>
  <c r="C33" i="85"/>
  <c r="F1" i="85"/>
  <c r="Q52" i="85"/>
  <c r="J19" i="83"/>
  <c r="J18" i="83"/>
  <c r="Q73" i="83"/>
  <c r="Q60" i="83"/>
  <c r="F1" i="83"/>
  <c r="Q52" i="83"/>
  <c r="C61" i="83"/>
  <c r="Q66" i="83"/>
  <c r="Q57" i="83"/>
  <c r="Q61" i="83"/>
  <c r="Q74" i="83"/>
  <c r="C32" i="83"/>
  <c r="C33" i="83"/>
  <c r="S10" i="82"/>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U2" i="43"/>
  <c r="U3" i="43" s="1"/>
  <c r="N19" i="1"/>
  <c r="N21" i="1" l="1"/>
  <c r="I29" i="79"/>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S508" i="31" s="1"/>
  <c r="R509" i="31"/>
  <c r="R510" i="31"/>
  <c r="R511" i="31"/>
  <c r="R512" i="31"/>
  <c r="S512" i="31" s="1"/>
  <c r="R513" i="31"/>
  <c r="R514" i="31"/>
  <c r="R515" i="3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6" i="31"/>
  <c r="S314" i="31"/>
  <c r="S310" i="31"/>
  <c r="S308" i="31"/>
  <c r="S306" i="31"/>
  <c r="S302" i="31"/>
  <c r="S300" i="31"/>
  <c r="S298" i="31"/>
  <c r="S294" i="31"/>
  <c r="S292" i="31"/>
  <c r="S290" i="31"/>
  <c r="S286" i="31"/>
  <c r="S284" i="31"/>
  <c r="S282" i="31"/>
  <c r="S278" i="31"/>
  <c r="S276" i="31"/>
  <c r="S274" i="31"/>
  <c r="S270" i="31"/>
  <c r="S268"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19" i="31"/>
  <c r="S118" i="31"/>
  <c r="S117" i="31"/>
  <c r="S115" i="31"/>
  <c r="S114" i="31"/>
  <c r="S113"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97" i="31"/>
  <c r="S95" i="31"/>
  <c r="S94" i="31"/>
  <c r="S93" i="31"/>
  <c r="S91" i="31"/>
  <c r="S90" i="31"/>
  <c r="S89" i="31"/>
  <c r="S87" i="31"/>
  <c r="S86" i="31"/>
  <c r="S85" i="31"/>
  <c r="S83" i="31"/>
  <c r="S82" i="31"/>
  <c r="S81" i="31"/>
  <c r="S79" i="31"/>
  <c r="S78" i="31"/>
  <c r="S31" i="31"/>
  <c r="S30" i="31"/>
  <c r="S98" i="31"/>
  <c r="S99" i="31"/>
  <c r="S101" i="31"/>
  <c r="S102" i="31"/>
  <c r="S103" i="31"/>
  <c r="S105" i="31"/>
  <c r="S106" i="31"/>
  <c r="S107" i="31"/>
  <c r="S109" i="31"/>
  <c r="S110" i="31"/>
  <c r="S111" i="31"/>
  <c r="S445" i="31"/>
  <c r="S446" i="31"/>
  <c r="S447" i="31"/>
  <c r="S448"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F28" i="6" s="1"/>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D3" i="73"/>
  <c r="C16" i="83"/>
  <c r="F20" i="31"/>
  <c r="E12" i="76"/>
  <c r="B13" i="76"/>
  <c r="C16" i="84"/>
  <c r="B11" i="76"/>
  <c r="E9" i="76"/>
  <c r="E10" i="76"/>
  <c r="E13" i="76"/>
  <c r="F6" i="73"/>
  <c r="B12" i="76"/>
  <c r="D6" i="73"/>
  <c r="C16" i="85"/>
  <c r="D4" i="73"/>
  <c r="B10" i="76"/>
  <c r="B7" i="76"/>
  <c r="F7" i="73"/>
  <c r="D7" i="73"/>
  <c r="B8" i="76"/>
  <c r="D5" i="73"/>
  <c r="E2" i="68"/>
  <c r="E7" i="76"/>
  <c r="B9" i="76"/>
  <c r="F5" i="73"/>
  <c r="F3" i="73"/>
  <c r="AO13" i="1"/>
  <c r="E2" i="69"/>
  <c r="E11" i="76"/>
  <c r="F4" i="73"/>
  <c r="E8" i="76"/>
  <c r="O7" i="1" l="1"/>
  <c r="P7" i="1" s="1"/>
  <c r="D22" i="15"/>
  <c r="D23" i="15"/>
  <c r="G1" i="67"/>
  <c r="K1" i="12"/>
  <c r="G1" i="69"/>
  <c r="G1" i="68"/>
  <c r="F3" i="35"/>
  <c r="G1" i="15"/>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J7" i="82" s="1"/>
  <c r="E7" i="82"/>
  <c r="F7" i="82" s="1"/>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26" i="3"/>
  <c r="E509" i="3"/>
  <c r="E574" i="3"/>
  <c r="E201" i="3"/>
  <c r="E311" i="3"/>
  <c r="E390" i="3"/>
  <c r="AR6" i="3"/>
  <c r="E570" i="3"/>
  <c r="M6" i="3"/>
  <c r="AB6" i="3"/>
  <c r="E439" i="3"/>
  <c r="E338" i="3"/>
  <c r="E231" i="3"/>
  <c r="E215" i="3"/>
  <c r="E298" i="3"/>
  <c r="E185" i="3"/>
  <c r="E237" i="3"/>
  <c r="E278" i="3"/>
  <c r="E563" i="3"/>
  <c r="E172" i="3"/>
  <c r="E213" i="3"/>
  <c r="E503" i="3"/>
  <c r="E535" i="3"/>
  <c r="E180" i="3"/>
  <c r="E135" i="3"/>
  <c r="E254" i="3"/>
  <c r="E159" i="3"/>
  <c r="E263" i="3"/>
  <c r="E423" i="3"/>
  <c r="E402" i="3"/>
  <c r="E495" i="3"/>
  <c r="E353" i="3"/>
  <c r="E124" i="3"/>
  <c r="X6" i="3"/>
  <c r="AA6"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B13" i="70"/>
  <c r="C36" i="68"/>
  <c r="D9" i="68"/>
  <c r="F13" i="67"/>
  <c r="M6" i="67"/>
  <c r="F40" i="15"/>
  <c r="M28" i="15"/>
  <c r="L47" i="15"/>
  <c r="M22" i="67"/>
  <c r="M8" i="67"/>
  <c r="F8" i="15"/>
  <c r="C36" i="69"/>
  <c r="F36" i="67"/>
  <c r="C76" i="15"/>
  <c r="F43" i="15"/>
  <c r="F37" i="67"/>
  <c r="F43" i="67"/>
  <c r="L48" i="15"/>
  <c r="M29" i="67"/>
  <c r="D9" i="69"/>
  <c r="F42" i="15"/>
  <c r="F42" i="67"/>
  <c r="M29" i="15"/>
  <c r="M9" i="15"/>
  <c r="F13" i="15"/>
  <c r="F9" i="67"/>
  <c r="F7" i="67"/>
  <c r="M24" i="15"/>
  <c r="G1" i="73"/>
  <c r="F7" i="15"/>
  <c r="F8" i="67"/>
  <c r="F40" i="67"/>
  <c r="M23" i="15"/>
  <c r="L48" i="67"/>
  <c r="C76" i="67"/>
  <c r="M22" i="15"/>
  <c r="M8" i="15"/>
  <c r="M28" i="67"/>
  <c r="M24" i="67"/>
  <c r="F38" i="15"/>
  <c r="M26" i="15"/>
  <c r="J15" i="67"/>
  <c r="F26" i="15"/>
  <c r="F16" i="67"/>
  <c r="F6" i="67"/>
  <c r="L47" i="67"/>
  <c r="F6" i="15"/>
  <c r="J15" i="15"/>
  <c r="M26" i="67"/>
  <c r="M6" i="15"/>
  <c r="F38" i="67"/>
  <c r="F36" i="15"/>
  <c r="F37" i="15"/>
  <c r="M23" i="67"/>
  <c r="M9" i="67"/>
  <c r="F9" i="15"/>
  <c r="F27" i="69"/>
  <c r="F26" i="67"/>
  <c r="F16" i="15"/>
  <c r="F11" i="85" l="1"/>
  <c r="M11" i="84"/>
  <c r="J10" i="84" s="1"/>
  <c r="J5" i="84" s="1"/>
  <c r="M11" i="85"/>
  <c r="J10" i="85" s="1"/>
  <c r="J5" i="85" s="1"/>
  <c r="F11" i="84"/>
  <c r="F11" i="83"/>
  <c r="M11" i="83"/>
  <c r="J10" i="83" s="1"/>
  <c r="J5" i="83" s="1"/>
  <c r="E399" i="3"/>
  <c r="AI6" i="3"/>
  <c r="E301" i="3"/>
  <c r="E221" i="3"/>
  <c r="E361" i="3"/>
  <c r="E528" i="3"/>
  <c r="E169" i="3"/>
  <c r="E380" i="3"/>
  <c r="E506" i="3"/>
  <c r="S6" i="3"/>
  <c r="E337" i="3"/>
  <c r="E175" i="3"/>
  <c r="E246" i="3"/>
  <c r="AN6" i="3"/>
  <c r="E350" i="3"/>
  <c r="E134" i="3"/>
  <c r="E161" i="3"/>
  <c r="E17" i="3"/>
  <c r="E565" i="3"/>
  <c r="E261" i="3"/>
  <c r="E189" i="3"/>
  <c r="E335" i="3"/>
  <c r="E418" i="3"/>
  <c r="E561" i="3"/>
  <c r="E533" i="3"/>
  <c r="E247" i="3"/>
  <c r="E508" i="3"/>
  <c r="E28" i="6"/>
  <c r="K14" i="1" s="1"/>
  <c r="F65" i="15"/>
  <c r="C27" i="15"/>
  <c r="F71" i="15"/>
  <c r="F66" i="15"/>
  <c r="F51" i="15"/>
  <c r="M7" i="15"/>
  <c r="J6" i="15" s="1"/>
  <c r="J18" i="15" s="1"/>
  <c r="F50" i="15"/>
  <c r="F68" i="15"/>
  <c r="F64" i="15"/>
  <c r="I54" i="15"/>
  <c r="J53" i="15"/>
  <c r="L56" i="15" s="1"/>
  <c r="J57" i="15"/>
  <c r="J55" i="15" s="1"/>
  <c r="J58" i="15" s="1"/>
  <c r="Q50" i="15" s="1"/>
  <c r="C6" i="15"/>
  <c r="N59" i="15"/>
  <c r="L59" i="15"/>
  <c r="Q74" i="15" s="1"/>
  <c r="L58" i="15"/>
  <c r="Q60" i="15" s="1"/>
  <c r="M59" i="15"/>
  <c r="Q71" i="15"/>
  <c r="F68" i="67"/>
  <c r="F71" i="67"/>
  <c r="M7" i="67"/>
  <c r="J6" i="67" s="1"/>
  <c r="F50" i="67"/>
  <c r="C27" i="67"/>
  <c r="F66" i="67"/>
  <c r="C6" i="67"/>
  <c r="C32" i="67" s="1"/>
  <c r="Q71" i="67"/>
  <c r="M59" i="67"/>
  <c r="L59" i="67"/>
  <c r="Q61" i="67" s="1"/>
  <c r="N59" i="67"/>
  <c r="F64" i="67"/>
  <c r="F51" i="67"/>
  <c r="F65" i="67"/>
  <c r="H26" i="43"/>
  <c r="E347" i="3"/>
  <c r="E280" i="3"/>
  <c r="E385" i="3"/>
  <c r="E586" i="3"/>
  <c r="E303" i="3"/>
  <c r="E191" i="3"/>
  <c r="E91" i="3"/>
  <c r="E302" i="3"/>
  <c r="E445" i="3"/>
  <c r="E183" i="3"/>
  <c r="E304" i="3"/>
  <c r="E69" i="3"/>
  <c r="E216" i="3"/>
  <c r="E321" i="3"/>
  <c r="E387" i="3"/>
  <c r="E538" i="3"/>
  <c r="E523" i="3"/>
  <c r="E514" i="3"/>
  <c r="E97" i="3"/>
  <c r="E410" i="3"/>
  <c r="E153" i="3"/>
  <c r="E270" i="3"/>
  <c r="E143" i="3"/>
  <c r="E359" i="3"/>
  <c r="E579" i="3"/>
  <c r="E388" i="3"/>
  <c r="E426" i="3"/>
  <c r="E268" i="3"/>
  <c r="E530" i="3"/>
  <c r="E53"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85" i="3"/>
  <c r="E431" i="3"/>
  <c r="E555" i="3"/>
  <c r="E328" i="3"/>
  <c r="E322" i="3"/>
  <c r="E343" i="3"/>
  <c r="E319" i="3"/>
  <c r="O6" i="3"/>
  <c r="AJ6" i="3"/>
  <c r="E305" i="3"/>
  <c r="E501" i="3"/>
  <c r="E217"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AA7" i="82"/>
  <c r="R48" i="82" s="1"/>
  <c r="AC7" i="82"/>
  <c r="V48" i="82" s="1"/>
  <c r="I48" i="82" s="1"/>
  <c r="W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J18" i="67"/>
  <c r="C32" i="15"/>
  <c r="AE11" i="1"/>
  <c r="F27" i="68"/>
  <c r="AE12" i="1"/>
  <c r="AE10" i="1"/>
  <c r="C16" i="67"/>
  <c r="AE9" i="1"/>
  <c r="AE8" i="1"/>
  <c r="C16" i="15"/>
  <c r="AE7" i="1"/>
  <c r="J5" i="67" l="1"/>
  <c r="C49" i="15"/>
  <c r="J5" i="15"/>
  <c r="J24" i="15" s="1"/>
  <c r="C53" i="84"/>
  <c r="C48" i="84" s="1"/>
  <c r="C10" i="84"/>
  <c r="C5" i="84" s="1"/>
  <c r="F24" i="85"/>
  <c r="F24" i="84"/>
  <c r="J26" i="85"/>
  <c r="J24" i="85"/>
  <c r="J24" i="84"/>
  <c r="J26" i="84"/>
  <c r="C53" i="85"/>
  <c r="C48" i="85" s="1"/>
  <c r="C10" i="85"/>
  <c r="C5" i="85" s="1"/>
  <c r="L36" i="43"/>
  <c r="P36" i="43" s="1"/>
  <c r="F24" i="83"/>
  <c r="J26" i="83"/>
  <c r="J24" i="83"/>
  <c r="C53" i="83"/>
  <c r="C48" i="83" s="1"/>
  <c r="C10" i="83"/>
  <c r="C5" i="83" s="1"/>
  <c r="Q52" i="15"/>
  <c r="Q61" i="15"/>
  <c r="F1" i="15"/>
  <c r="C49" i="67"/>
  <c r="Q73" i="15"/>
  <c r="Q74" i="67"/>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25" i="12"/>
  <c r="F22" i="69"/>
  <c r="F41" i="69" s="1"/>
  <c r="F24" i="67"/>
  <c r="C24" i="67" s="1"/>
  <c r="F22" i="11"/>
  <c r="F22" i="68"/>
  <c r="F24" i="15"/>
  <c r="C24" i="15" s="1"/>
  <c r="AE6" i="1"/>
  <c r="F41" i="15"/>
  <c r="F41" i="83"/>
  <c r="M27" i="15"/>
  <c r="F41" i="67"/>
  <c r="F41" i="85"/>
  <c r="F41" i="84"/>
  <c r="M27" i="67"/>
  <c r="R50" i="34" l="1"/>
  <c r="L37" i="43"/>
  <c r="M36" i="43"/>
  <c r="C48" i="67"/>
  <c r="C60" i="67" s="1"/>
  <c r="O36" i="43"/>
  <c r="Q36" i="43"/>
  <c r="N36" i="43"/>
  <c r="F69" i="85"/>
  <c r="F69" i="84"/>
  <c r="C38" i="85"/>
  <c r="C24" i="84"/>
  <c r="C66" i="85"/>
  <c r="C60" i="85"/>
  <c r="C24" i="85"/>
  <c r="J29" i="84"/>
  <c r="J29" i="85"/>
  <c r="C38" i="84"/>
  <c r="C60" i="84"/>
  <c r="C66" i="84"/>
  <c r="F69" i="83"/>
  <c r="J29" i="83"/>
  <c r="C38" i="83"/>
  <c r="C66" i="83"/>
  <c r="C60" i="83"/>
  <c r="C24" i="83"/>
  <c r="D3" i="37"/>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14" i="12"/>
  <c r="D17" i="12" s="1"/>
  <c r="C17" i="12" s="1"/>
  <c r="F69" i="67"/>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D10" i="68"/>
  <c r="C34" i="69"/>
  <c r="C17" i="67"/>
  <c r="D10" i="69"/>
  <c r="C17" i="15"/>
  <c r="C14" i="67"/>
  <c r="C14" i="84"/>
  <c r="C15" i="84" l="1"/>
  <c r="C18" i="84"/>
  <c r="C38" i="43"/>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V2" i="43" s="1"/>
  <c r="H24" i="6"/>
  <c r="D30" i="6"/>
  <c r="B2" i="82"/>
  <c r="B3" i="82"/>
  <c r="H21" i="6"/>
  <c r="R21" i="6" s="1"/>
  <c r="R8" i="1" s="1"/>
  <c r="G38" i="43"/>
  <c r="I38"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5"/>
  <c r="C14" i="83"/>
  <c r="C14" i="15"/>
  <c r="C19" i="84" l="1"/>
  <c r="C18" i="83"/>
  <c r="C15" i="83"/>
  <c r="C18" i="85"/>
  <c r="C15" i="85"/>
  <c r="C20" i="84"/>
  <c r="C23" i="84"/>
  <c r="E41" i="43"/>
  <c r="E33" i="43"/>
  <c r="C6" i="69"/>
  <c r="C7" i="69" s="1"/>
  <c r="E37" i="43"/>
  <c r="C34" i="43"/>
  <c r="E34" i="43" s="1"/>
  <c r="E42" i="43"/>
  <c r="G42" i="43"/>
  <c r="I42" i="43" s="1"/>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19" i="83" l="1"/>
  <c r="C19" i="85"/>
  <c r="C20" i="85" s="1"/>
  <c r="C26" i="84"/>
  <c r="C29" i="84" s="1"/>
  <c r="C20" i="83"/>
  <c r="C23" i="83" s="1"/>
  <c r="C30" i="43"/>
  <c r="B2" i="43" s="1"/>
  <c r="C6" i="68" s="1"/>
  <c r="C7" i="68" s="1"/>
  <c r="C5" i="68" s="1"/>
  <c r="C23" i="68" s="1"/>
  <c r="C31" i="43"/>
  <c r="C5" i="69"/>
  <c r="C23" i="69" s="1"/>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B6" i="76"/>
  <c r="C26" i="85" l="1"/>
  <c r="C23" i="85"/>
  <c r="C29" i="85" s="1"/>
  <c r="C13" i="85" s="1"/>
  <c r="C13" i="84"/>
  <c r="C57" i="84"/>
  <c r="C64" i="84" s="1"/>
  <c r="J14" i="84"/>
  <c r="Q49" i="84"/>
  <c r="J59" i="84"/>
  <c r="J60" i="84" s="1"/>
  <c r="C36" i="84"/>
  <c r="C26" i="83"/>
  <c r="C29" i="83"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84"/>
  <c r="F35" i="15"/>
  <c r="M21" i="83"/>
  <c r="F35" i="83"/>
  <c r="F35" i="67"/>
  <c r="F35" i="85"/>
  <c r="M21" i="67"/>
  <c r="M21" i="85"/>
  <c r="M21" i="84"/>
  <c r="M21" i="15"/>
  <c r="J14" i="85" l="1"/>
  <c r="C36" i="85"/>
  <c r="Q49" i="85"/>
  <c r="C57" i="85"/>
  <c r="C64" i="85" s="1"/>
  <c r="J59" i="85"/>
  <c r="J60" i="85" s="1"/>
  <c r="Q48" i="85" s="1"/>
  <c r="C36" i="83"/>
  <c r="J59" i="83"/>
  <c r="J60" i="83" s="1"/>
  <c r="J14" i="83"/>
  <c r="C13" i="83"/>
  <c r="C57" i="83"/>
  <c r="C64" i="83" s="1"/>
  <c r="Q49" i="83"/>
  <c r="C56" i="85"/>
  <c r="C65" i="85" s="1"/>
  <c r="C75" i="85"/>
  <c r="Q70" i="85"/>
  <c r="C37" i="85"/>
  <c r="J13" i="84"/>
  <c r="J23" i="84" s="1"/>
  <c r="J22" i="84"/>
  <c r="Q48" i="84"/>
  <c r="L46" i="84"/>
  <c r="C37" i="84"/>
  <c r="C56" i="84"/>
  <c r="C65" i="84" s="1"/>
  <c r="C75" i="84"/>
  <c r="Q70" i="84"/>
  <c r="J22" i="85"/>
  <c r="J13" i="85"/>
  <c r="J23" i="85" s="1"/>
  <c r="J20" i="85"/>
  <c r="J17" i="85" s="1"/>
  <c r="C34" i="85"/>
  <c r="C31" i="85" s="1"/>
  <c r="C30" i="85" s="1"/>
  <c r="C39" i="85" s="1"/>
  <c r="F63" i="85"/>
  <c r="C62" i="85" s="1"/>
  <c r="C59" i="85" s="1"/>
  <c r="C58" i="85" s="1"/>
  <c r="C67" i="85" s="1"/>
  <c r="C68" i="85" s="1"/>
  <c r="J20" i="84"/>
  <c r="J17" i="84" s="1"/>
  <c r="F63" i="84"/>
  <c r="C62" i="84" s="1"/>
  <c r="C59" i="84" s="1"/>
  <c r="C34" i="84"/>
  <c r="C31" i="84" s="1"/>
  <c r="J20" i="83"/>
  <c r="J17" i="83" s="1"/>
  <c r="C34" i="83"/>
  <c r="C31" i="83" s="1"/>
  <c r="F63" i="83"/>
  <c r="C62" i="83" s="1"/>
  <c r="C59" i="83"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30" i="84" l="1"/>
  <c r="C39" i="84" s="1"/>
  <c r="J16" i="84"/>
  <c r="J25" i="84" s="1"/>
  <c r="L46" i="85"/>
  <c r="C58" i="84"/>
  <c r="C67" i="84" s="1"/>
  <c r="C68" i="84" s="1"/>
  <c r="C71" i="84" s="1"/>
  <c r="J16" i="85"/>
  <c r="J25" i="85" s="1"/>
  <c r="Q70" i="83"/>
  <c r="C37" i="83"/>
  <c r="C30" i="83" s="1"/>
  <c r="C39" i="83" s="1"/>
  <c r="Q69" i="83" s="1"/>
  <c r="C56" i="83"/>
  <c r="C65" i="83" s="1"/>
  <c r="C58" i="83" s="1"/>
  <c r="C67" i="83" s="1"/>
  <c r="C68" i="83" s="1"/>
  <c r="C71" i="83" s="1"/>
  <c r="C75" i="83"/>
  <c r="J13" i="83"/>
  <c r="J23" i="83" s="1"/>
  <c r="J22" i="83"/>
  <c r="L46" i="83"/>
  <c r="Q48" i="83"/>
  <c r="C71" i="85"/>
  <c r="Q69" i="84"/>
  <c r="Q68" i="84" s="1"/>
  <c r="C40" i="84"/>
  <c r="C46" i="84" s="1"/>
  <c r="C80" i="84"/>
  <c r="C79" i="84" s="1"/>
  <c r="Q69" i="85"/>
  <c r="Q68" i="85" s="1"/>
  <c r="C40" i="85"/>
  <c r="C80" i="85"/>
  <c r="C79" i="8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5"/>
  <c r="L51" i="83"/>
  <c r="L51" i="84"/>
  <c r="Q68" i="83" l="1"/>
  <c r="C80" i="83"/>
  <c r="C79" i="83" s="1"/>
  <c r="J16" i="83"/>
  <c r="J25" i="83" s="1"/>
  <c r="C40" i="83"/>
  <c r="B2" i="83" s="1"/>
  <c r="B3" i="83" s="1"/>
  <c r="Q67" i="85"/>
  <c r="Q67" i="84"/>
  <c r="Q47" i="85"/>
  <c r="Q53" i="85" s="1"/>
  <c r="B2" i="85"/>
  <c r="B3" i="85" s="1"/>
  <c r="Q65" i="85"/>
  <c r="Q75" i="85" s="1"/>
  <c r="C43" i="85"/>
  <c r="Q56" i="85"/>
  <c r="Q62" i="85" s="1"/>
  <c r="C83" i="85"/>
  <c r="C82" i="85" s="1"/>
  <c r="Q65" i="84"/>
  <c r="Q75" i="84" s="1"/>
  <c r="Q56" i="84"/>
  <c r="Q62" i="84" s="1"/>
  <c r="C43" i="84"/>
  <c r="Q47" i="84"/>
  <c r="Q53" i="84" s="1"/>
  <c r="B2" i="84"/>
  <c r="B3" i="84" s="1"/>
  <c r="C83" i="84"/>
  <c r="C82" i="84" s="1"/>
  <c r="C46" i="85"/>
  <c r="Q67" i="83"/>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47" i="83" l="1"/>
  <c r="Q53" i="83" s="1"/>
  <c r="C46" i="83"/>
  <c r="C43" i="83"/>
  <c r="Q56" i="83"/>
  <c r="Q62" i="83" s="1"/>
  <c r="Q65" i="83"/>
  <c r="Q75" i="83" s="1"/>
  <c r="C83" i="83"/>
  <c r="C82" i="83" s="1"/>
  <c r="D6" i="7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7"/>
  <c r="L51" i="15"/>
  <c r="D2" i="35"/>
  <c r="D2" i="36"/>
  <c r="B3" i="33" l="1"/>
  <c r="M24" i="4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8" i="1"/>
  <c r="D35" i="9"/>
  <c r="AO9" i="1"/>
  <c r="AO7" i="1"/>
  <c r="C19" i="9"/>
  <c r="D34" i="9"/>
  <c r="AO11" i="1"/>
  <c r="C102" i="9" l="1"/>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C103" i="9" l="1"/>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21" i="9" l="1"/>
  <c r="D22" i="9"/>
  <c r="G19" i="9"/>
  <c r="D28" i="9" s="1"/>
  <c r="D29" i="9" s="1"/>
  <c r="D102" i="9"/>
  <c r="B3" i="70"/>
  <c r="C42" i="40"/>
  <c r="C43" i="40"/>
  <c r="E47" i="40"/>
  <c r="F47" i="40" s="1"/>
  <c r="E46" i="40"/>
  <c r="F46" i="40" s="1"/>
  <c r="I47" i="40"/>
  <c r="J47" i="40" s="1"/>
  <c r="D20" i="9"/>
  <c r="G21" i="9" l="1"/>
  <c r="D103" i="9"/>
  <c r="G20" i="9"/>
  <c r="H35" i="6" s="1"/>
  <c r="G35" i="6" s="1"/>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C32" i="9"/>
  <c r="C35" i="9" s="1"/>
  <c r="C34" i="9" s="1"/>
  <c r="E14" i="74"/>
  <c r="F19" i="81" l="1"/>
  <c r="S24" i="31"/>
  <c r="R28" i="31"/>
  <c r="R27" i="31"/>
  <c r="T24" i="31"/>
  <c r="R25" i="31"/>
  <c r="R26" i="31"/>
  <c r="H118" i="9"/>
  <c r="F118" i="9"/>
  <c r="G118" i="9" s="1"/>
  <c r="G4" i="52" s="1"/>
  <c r="B52" i="72" s="1"/>
  <c r="D14" i="74" l="1"/>
  <c r="I118" i="9"/>
  <c r="S28" i="31"/>
  <c r="T28" i="31"/>
  <c r="G23" i="81" s="1"/>
  <c r="F23" i="81"/>
  <c r="T26" i="31"/>
  <c r="G21" i="81" s="1"/>
  <c r="F21" i="81"/>
  <c r="S26" i="31"/>
  <c r="T25" i="31"/>
  <c r="G20" i="81" s="1"/>
  <c r="S25" i="31"/>
  <c r="F20" i="81"/>
  <c r="G19" i="81"/>
  <c r="T27" i="31"/>
  <c r="G22" i="81" s="1"/>
  <c r="F22" i="81"/>
  <c r="S27" i="31"/>
  <c r="D118" i="9"/>
  <c r="H4" i="52"/>
  <c r="H119" i="9"/>
  <c r="H5" i="52" s="1"/>
  <c r="C104" i="9"/>
  <c r="H101" i="9"/>
  <c r="F4" i="52"/>
  <c r="B51" i="72" s="1"/>
  <c r="F119" i="9"/>
  <c r="F5" i="52" s="1"/>
  <c r="B53" i="72" s="1"/>
  <c r="C105" i="9" l="1"/>
  <c r="E118" i="9"/>
  <c r="E4" i="52" s="1"/>
  <c r="B48" i="72" s="1"/>
  <c r="H102" i="9"/>
  <c r="D7" i="53" s="1"/>
  <c r="B21" i="72" s="1"/>
  <c r="I4" i="52"/>
  <c r="B1" i="74"/>
  <c r="S22" i="31"/>
  <c r="R22" i="31" s="1"/>
  <c r="T29" i="31"/>
  <c r="D5" i="53"/>
  <c r="M48" i="9"/>
  <c r="H107" i="9"/>
  <c r="D45" i="9"/>
  <c r="D119" i="9"/>
  <c r="D5" i="52" s="1"/>
  <c r="B49" i="72" s="1"/>
  <c r="D4" i="52"/>
  <c r="B47" i="72" s="1"/>
  <c r="G14" i="74" l="1"/>
  <c r="B6" i="74" s="1"/>
  <c r="D6" i="74" s="1"/>
  <c r="B5" i="74"/>
  <c r="F14" i="74"/>
  <c r="B20" i="31"/>
  <c r="B21" i="31" s="1"/>
  <c r="D122" i="9"/>
  <c r="H108" i="9"/>
  <c r="M49" i="9"/>
  <c r="D13" i="53"/>
  <c r="B20" i="72"/>
  <c r="D6" i="53"/>
  <c r="B22" i="72" s="1"/>
  <c r="D53" i="9"/>
  <c r="C78" i="9"/>
  <c r="C73" i="9" s="1"/>
  <c r="C93" i="9"/>
  <c r="C86" i="9" s="1"/>
  <c r="C64" i="9"/>
  <c r="C63" i="9" s="1"/>
  <c r="C67" i="9" s="1"/>
  <c r="D52" i="9"/>
  <c r="D55" i="9"/>
  <c r="M53" i="9" s="1"/>
  <c r="C72" i="9"/>
  <c r="C85" i="9"/>
  <c r="D5" i="74" l="1"/>
  <c r="C5" i="74"/>
  <c r="C95" i="9"/>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<sst xmlns="http://schemas.openxmlformats.org/spreadsheetml/2006/main" count="9533" uniqueCount="3489">
  <si>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</si>
  <si>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</si>
  <si>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</si>
  <si>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</si>
  <si>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</si>
  <si>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</si>
  <si>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</si>
  <si>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</si>
  <si>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</si>
  <si>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</si>
  <si>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</si>
  <si>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</si>
  <si>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</si>
  <si>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</si>
  <si>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</si>
  <si>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</si>
  <si>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</si>
  <si>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</si>
  <si>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</si>
  <si>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</si>
  <si>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</si>
  <si>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</si>
  <si>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</si>
  <si>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</si>
  <si>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</si>
  <si>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</si>
  <si>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</si>
  <si>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</si>
  <si>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</si>
  <si>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</si>
  <si>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</si>
  <si>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</si>
  <si>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</si>
  <si>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</si>
  <si>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</si>
  <si>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</si>
  <si>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</si>
  <si>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</si>
  <si>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</si>
  <si>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</si>
  <si>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</si>
  <si>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</si>
  <si>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</si>
  <si>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</si>
  <si>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</si>
  <si>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</si>
  <si>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</si>
  <si>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</si>
  <si>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</si>
  <si>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</si>
  <si>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</si>
  <si>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</si>
  <si>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</si>
  <si>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</si>
  <si>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</si>
  <si>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</si>
  <si>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</si>
  <si>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</si>
  <si>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</si>
  <si>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</si>
  <si>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</si>
  <si>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</si>
  <si>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</si>
  <si>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</si>
  <si>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</si>
  <si>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</si>
  <si>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</si>
  <si>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</si>
  <si>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</si>
  <si>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</si>
  <si>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</si>
  <si>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</si>
  <si>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</si>
  <si>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</si>
  <si>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</si>
  <si>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</si>
  <si>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</si>
  <si>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</si>
  <si>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</si>
  <si>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</si>
  <si>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</si>
  <si>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</si>
  <si>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</si>
  <si>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</si>
  <si>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</si>
  <si>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</si>
  <si>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</si>
  <si>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</si>
  <si>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</si>
  <si>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</si>
  <si>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</si>
  <si>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</si>
  <si>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</si>
  <si>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</si>
  <si>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</si>
  <si>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</si>
  <si>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</si>
  <si>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</si>
  <si>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</si>
  <si>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</si>
  <si>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</si>
  <si>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</si>
  <si>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</si>
  <si>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</si>
  <si>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</si>
  <si>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</si>
  <si>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</si>
  <si>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</si>
  <si>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</si>
  <si>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</si>
  <si>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</si>
  <si>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</si>
  <si>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</si>
  <si>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</si>
  <si>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</si>
  <si>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</si>
  <si>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</si>
  <si>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</si>
  <si>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</si>
  <si>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</si>
  <si>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</si>
  <si>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</si>
  <si>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</si>
  <si>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</si>
  <si>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</si>
  <si>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</si>
  <si>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</si>
  <si>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</si>
  <si>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</si>
  <si>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</si>
  <si>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</si>
  <si>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</si>
  <si>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</si>
  <si>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</si>
  <si>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</si>
  <si>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</si>
  <si>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</si>
  <si>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</si>
  <si>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</si>
  <si>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</si>
  <si>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</si>
  <si>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</si>
  <si>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</si>
  <si>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</si>
  <si>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</si>
  <si>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</si>
  <si>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</si>
  <si>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</si>
  <si>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</si>
  <si>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</si>
  <si>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</si>
  <si>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</si>
  <si>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</si>
  <si>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</si>
  <si>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</si>
  <si>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</si>
  <si>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</si>
  <si>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</si>
  <si>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</si>
  <si>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</si>
  <si>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</si>
  <si>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</si>
  <si>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</si>
  <si>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</si>
  <si>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</si>
  <si>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</si>
  <si>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</si>
  <si>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</si>
  <si>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</si>
  <si>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</si>
  <si>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</si>
  <si>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</si>
  <si>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</si>
  <si>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</si>
  <si>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</si>
  <si>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</si>
  <si>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</si>
  <si>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</si>
  <si>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</si>
  <si>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</si>
  <si>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</si>
  <si>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</si>
  <si>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</si>
  <si>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</si>
  <si>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</si>
  <si>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</si>
  <si>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</si>
  <si>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</si>
  <si>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</si>
  <si>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</si>
  <si>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</si>
  <si>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</si>
  <si>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</si>
  <si>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</si>
  <si>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</si>
  <si>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</si>
  <si>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</si>
  <si>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</si>
  <si>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</si>
  <si>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</si>
  <si>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</si>
  <si>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</si>
  <si>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</si>
  <si>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</si>
  <si>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</si>
  <si>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</si>
  <si>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</si>
  <si>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</si>
  <si>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</si>
  <si>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</si>
  <si>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</si>
  <si>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</si>
  <si>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</si>
  <si>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</si>
  <si>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</si>
  <si>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</si>
  <si>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</si>
  <si>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</si>
  <si>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</si>
  <si>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</si>
  <si>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</si>
  <si>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</si>
  <si>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</si>
  <si>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</si>
  <si>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</si>
  <si>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</si>
  <si>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</si>
  <si>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</si>
  <si>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</si>
  <si>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</si>
  <si>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</si>
  <si>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</si>
  <si>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</si>
  <si>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</si>
  <si>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</si>
  <si>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</si>
  <si>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</si>
  <si>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</si>
  <si>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</si>
  <si>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</si>
  <si>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</si>
  <si>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</si>
  <si>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</si>
  <si>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</si>
  <si>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</si>
  <si>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</si>
  <si>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</si>
  <si>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</si>
  <si>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</si>
  <si>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</si>
  <si>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</si>
  <si>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</si>
  <si>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</si>
  <si>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</si>
  <si>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</si>
  <si>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</si>
  <si>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</si>
  <si>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</si>
  <si>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</si>
  <si>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</si>
  <si>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</si>
  <si>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</si>
  <si>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</si>
  <si>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</si>
  <si>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</si>
  <si>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</si>
  <si>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</si>
  <si>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</si>
  <si>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</si>
  <si>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</si>
  <si>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</si>
  <si>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</si>
  <si>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</si>
  <si>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</si>
  <si>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</si>
  <si>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</si>
  <si>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</si>
  <si>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</si>
  <si>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</si>
  <si>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</si>
  <si>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</si>
  <si>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</si>
  <si>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</si>
  <si>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</si>
  <si>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</si>
  <si>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</si>
  <si>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</si>
  <si>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</si>
  <si>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</si>
  <si>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</si>
  <si>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</si>
  <si>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</si>
  <si>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</si>
  <si>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</si>
  <si>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</si>
  <si>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</si>
  <si>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</si>
  <si>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</si>
  <si>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</si>
  <si>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</si>
  <si>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</si>
  <si>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</si>
  <si>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</si>
  <si>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</si>
  <si>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</si>
  <si>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</si>
  <si>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</si>
  <si>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</si>
  <si>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</si>
  <si>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</si>
  <si>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</si>
  <si>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</si>
  <si>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</si>
  <si>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</si>
  <si>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</si>
  <si>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</si>
  <si>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</si>
  <si>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</si>
  <si>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</si>
  <si>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</si>
  <si>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</si>
  <si>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</si>
  <si>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</si>
  <si>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</si>
  <si>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</si>
  <si>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</si>
  <si>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</si>
  <si>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</si>
  <si>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</si>
  <si>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</si>
  <si>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</si>
  <si>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</si>
  <si>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</si>
  <si>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</si>
  <si>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</si>
  <si>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</si>
  <si>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</si>
  <si>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</si>
  <si>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</si>
  <si>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</si>
  <si>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</si>
  <si>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</si>
  <si>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</si>
  <si>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</si>
  <si>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</si>
  <si>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</si>
  <si>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</si>
  <si>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</si>
  <si>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</si>
  <si>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</si>
  <si>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</si>
  <si>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</si>
  <si>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</si>
  <si>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</si>
  <si>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</si>
  <si>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</si>
  <si>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</si>
  <si>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</si>
  <si>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</si>
  <si>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</si>
  <si>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</si>
  <si>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</si>
  <si>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</si>
  <si>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</si>
  <si>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</si>
  <si>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</si>
  <si>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</si>
  <si>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</si>
  <si>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</si>
  <si>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</si>
  <si>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</si>
  <si>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</si>
  <si>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</si>
  <si>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</si>
  <si>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</si>
  <si>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</si>
  <si>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</si>
  <si>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</si>
  <si>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</si>
  <si>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</si>
  <si>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</si>
  <si>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</si>
  <si>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</si>
  <si>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</si>
  <si>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</si>
  <si>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</si>
  <si>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</si>
  <si>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</si>
  <si>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</si>
  <si>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</si>
  <si>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</si>
  <si>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</si>
  <si>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</si>
  <si>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</si>
  <si>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</si>
  <si>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</si>
  <si>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</si>
  <si>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</si>
  <si>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</si>
  <si>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</si>
  <si>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</si>
  <si>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</si>
  <si>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</si>
  <si>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</si>
  <si>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</si>
  <si>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</si>
  <si>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</si>
  <si>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</si>
  <si>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</si>
  <si>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</si>
  <si>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</si>
  <si>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</si>
  <si>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</si>
  <si>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</si>
  <si>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</si>
  <si>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</si>
  <si>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</si>
  <si>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</si>
  <si>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</si>
  <si>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</si>
  <si>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</si>
  <si>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</si>
  <si>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</si>
  <si>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</si>
  <si>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</si>
  <si>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</si>
  <si>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</si>
  <si>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</si>
  <si>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</si>
  <si>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</si>
  <si>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</si>
  <si>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</si>
  <si>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</si>
  <si>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</si>
  <si>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</si>
  <si>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</si>
  <si>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</si>
  <si>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</si>
  <si>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</si>
  <si>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</si>
  <si>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</si>
  <si>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</si>
  <si>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</si>
  <si>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</si>
  <si>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</si>
  <si>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</si>
  <si>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</si>
  <si>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</si>
  <si>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</si>
  <si>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</si>
  <si>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</si>
  <si>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</si>
  <si>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</si>
  <si>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</si>
  <si>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</si>
  <si>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</si>
  <si>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</si>
  <si>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</si>
  <si>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</si>
  <si>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</si>
  <si>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</si>
  <si>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</si>
  <si>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</si>
  <si>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</si>
  <si>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</si>
  <si>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</si>
  <si>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</si>
  <si>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</si>
  <si>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</si>
  <si>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</si>
  <si>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</si>
  <si>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</si>
  <si>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</si>
  <si>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</si>
  <si>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</si>
  <si>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</si>
  <si>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</si>
  <si>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</si>
  <si>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</si>
  <si>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</si>
  <si>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</si>
  <si>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</si>
  <si>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</si>
  <si>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</si>
  <si>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</si>
  <si>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</si>
  <si>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</si>
  <si>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</si>
  <si>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</si>
  <si>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</si>
  <si>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</si>
  <si>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</si>
  <si>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</si>
  <si>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</si>
  <si>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</si>
  <si>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</si>
  <si>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</si>
  <si>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</si>
  <si>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</si>
  <si>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</si>
  <si>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</si>
  <si>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</si>
  <si>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</si>
  <si>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</si>
  <si>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</si>
  <si>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</si>
  <si>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</si>
  <si>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</si>
  <si>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</si>
  <si>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</si>
  <si>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</si>
  <si>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</si>
  <si>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</si>
  <si>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</si>
  <si>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</si>
  <si>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</si>
  <si>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</si>
  <si>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</si>
  <si>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</si>
  <si>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</si>
  <si>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</si>
  <si>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</si>
  <si>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</si>
  <si>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</si>
  <si>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</si>
  <si>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</si>
  <si>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</si>
  <si>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</si>
  <si>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</si>
  <si>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</si>
  <si>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</si>
  <si>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</si>
  <si>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</si>
  <si>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</si>
  <si>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</si>
  <si>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</si>
  <si>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</si>
  <si>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</si>
  <si>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</si>
  <si>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</si>
  <si>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</si>
  <si>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</si>
  <si>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</si>
  <si>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</si>
  <si>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</si>
  <si>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</si>
  <si>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</si>
  <si>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</si>
  <si>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</si>
  <si>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</si>
  <si>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</si>
  <si>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</si>
  <si>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</si>
  <si>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</si>
  <si>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</si>
  <si>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</si>
  <si>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</si>
  <si>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</si>
  <si>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</si>
  <si>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</si>
  <si>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</si>
  <si>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</si>
  <si>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</si>
  <si>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</si>
  <si>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</si>
  <si>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</si>
  <si>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</si>
  <si>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</si>
  <si>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</si>
  <si>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</si>
  <si>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</si>
  <si>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</si>
  <si>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</si>
  <si>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</si>
  <si>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</si>
  <si>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</si>
  <si>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</si>
  <si>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</si>
  <si>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</si>
  <si>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</si>
  <si>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</si>
  <si>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</si>
  <si>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</si>
  <si>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</si>
  <si>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</si>
  <si>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</si>
  <si>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</si>
  <si>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</si>
  <si>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</si>
  <si>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</si>
  <si>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</si>
  <si>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</si>
  <si>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</si>
  <si>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</si>
  <si>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</si>
  <si>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</si>
  <si>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</si>
  <si>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</si>
  <si>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</si>
  <si>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</si>
  <si>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</si>
  <si>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</si>
  <si>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</si>
  <si>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</si>
  <si>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</si>
  <si>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</si>
  <si>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</si>
  <si>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</si>
  <si>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</si>
  <si>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</si>
  <si>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</si>
  <si>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</si>
  <si>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</si>
  <si>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</si>
  <si>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</si>
  <si>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</si>
  <si>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</si>
  <si>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</si>
  <si>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</si>
  <si>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</si>
  <si>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</si>
  <si>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</si>
  <si>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</si>
  <si>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</si>
  <si>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</si>
  <si>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</si>
  <si>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</si>
  <si>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</si>
  <si>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</si>
  <si>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</si>
  <si>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</si>
  <si>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</si>
  <si>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</si>
  <si>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</si>
  <si>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</si>
  <si>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</si>
  <si>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</si>
  <si>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</si>
  <si>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</si>
  <si>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</si>
  <si>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</si>
  <si>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</si>
  <si>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</si>
  <si>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</si>
  <si>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</si>
  <si>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</si>
  <si>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</si>
  <si>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</si>
  <si>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</si>
  <si>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</si>
  <si>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</si>
  <si>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</si>
  <si>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</si>
  <si>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</si>
  <si>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</si>
  <si>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</si>
  <si>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</si>
  <si>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</si>
  <si>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</si>
  <si>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</si>
  <si>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</si>
  <si>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</si>
  <si>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</si>
  <si>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</si>
  <si>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</si>
  <si>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</si>
  <si>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</si>
  <si>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</si>
  <si>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</si>
  <si>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</si>
  <si>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</si>
  <si>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</si>
  <si>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</si>
  <si>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</si>
  <si>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</si>
  <si>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</si>
  <si>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</si>
  <si>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</si>
  <si>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</si>
  <si>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</si>
  <si>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</si>
  <si>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</si>
  <si>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</si>
  <si>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</si>
  <si>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</si>
  <si>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</si>
  <si>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</si>
  <si>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</si>
  <si>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</si>
  <si>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</si>
  <si>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</si>
  <si>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</si>
  <si>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</si>
  <si>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</si>
  <si>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</si>
  <si>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</si>
  <si>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</si>
  <si>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</si>
  <si>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</si>
  <si>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</si>
  <si>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</si>
  <si>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</si>
  <si>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</si>
  <si>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</si>
  <si>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</si>
  <si>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</si>
  <si>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</si>
  <si>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</si>
  <si>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</si>
  <si>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</si>
  <si>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</si>
  <si>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</si>
  <si>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</si>
  <si>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</si>
  <si>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</si>
  <si>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</si>
  <si>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</si>
  <si>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</si>
  <si>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</si>
  <si>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</si>
  <si>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</si>
  <si>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</si>
  <si>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</si>
  <si>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</si>
  <si>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</si>
  <si>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</si>
  <si>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</si>
  <si>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</si>
  <si>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</si>
  <si>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</si>
  <si>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</si>
  <si>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</si>
  <si>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</si>
  <si>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</si>
  <si>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</si>
  <si>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</si>
  <si>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</si>
  <si>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</si>
  <si>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</si>
  <si>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</si>
  <si>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</si>
  <si>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</si>
  <si>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</si>
  <si>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</si>
  <si>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</si>
  <si>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</si>
  <si>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</si>
  <si>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</si>
  <si>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</si>
  <si>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</si>
  <si>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</si>
  <si>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</si>
  <si>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</si>
  <si>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</si>
  <si>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</si>
  <si>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</si>
  <si>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</si>
  <si>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</si>
  <si>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</si>
  <si>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</si>
  <si>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</si>
  <si>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</si>
  <si>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</si>
  <si>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</si>
  <si>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</si>
  <si>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</si>
  <si>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</si>
  <si>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</si>
  <si>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</si>
  <si>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</si>
  <si>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</si>
  <si>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</si>
  <si>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</si>
  <si>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</si>
  <si>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</si>
  <si>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</si>
  <si>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</si>
  <si>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</si>
  <si>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</si>
  <si>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</si>
  <si>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</si>
  <si>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</si>
  <si>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</si>
  <si>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</si>
  <si>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</si>
  <si>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</si>
  <si>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</si>
  <si>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</si>
  <si>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</si>
  <si>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</si>
  <si>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</si>
  <si>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</si>
  <si>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</si>
  <si>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</si>
  <si>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</si>
  <si>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</si>
  <si>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</si>
  <si>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</si>
  <si>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</si>
  <si>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</si>
  <si>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</si>
  <si>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</si>
  <si>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</si>
  <si>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</si>
  <si>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</si>
  <si>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</si>
  <si>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</si>
  <si>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</si>
  <si>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</si>
  <si>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</si>
  <si>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</si>
  <si>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</si>
  <si>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</si>
  <si>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</si>
  <si>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</si>
  <si>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</si>
  <si>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</si>
  <si>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</si>
  <si>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</si>
  <si>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</si>
  <si>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</si>
  <si>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</si>
  <si>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</si>
  <si>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</si>
  <si>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</si>
  <si>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</si>
  <si>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</si>
  <si>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</si>
  <si>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</si>
  <si>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</si>
  <si>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</si>
  <si>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</si>
  <si>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</si>
  <si>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</si>
  <si>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</si>
  <si>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</si>
  <si>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</si>
  <si>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</si>
  <si>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</si>
  <si>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</si>
  <si>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</si>
  <si>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</si>
  <si>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</si>
  <si>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</si>
  <si>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</si>
  <si>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</si>
  <si>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</si>
  <si>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</si>
  <si>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</si>
  <si>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</si>
  <si>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</si>
  <si>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</si>
  <si>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</si>
  <si>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</si>
  <si>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</si>
  <si>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</si>
  <si>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</si>
  <si>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</si>
  <si>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</si>
  <si>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</si>
  <si>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</si>
  <si>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</si>
  <si>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</si>
  <si>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</si>
  <si>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</si>
  <si>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</si>
  <si>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</si>
  <si>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</si>
  <si>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</si>
  <si>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</si>
  <si>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</si>
  <si>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</si>
  <si>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</si>
  <si>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</si>
  <si>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</si>
  <si>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</si>
  <si>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</si>
  <si>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</si>
  <si>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</si>
  <si>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</si>
  <si>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</si>
  <si>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</si>
  <si>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</si>
  <si>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</si>
  <si>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</si>
  <si>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</si>
  <si>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</si>
  <si>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</si>
  <si>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</si>
  <si>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</si>
  <si>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</si>
  <si>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</si>
  <si>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</si>
  <si>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</si>
  <si>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</si>
  <si>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</si>
  <si>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</si>
  <si>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</si>
  <si>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</si>
  <si>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</si>
  <si>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</si>
  <si>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</si>
  <si>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</si>
  <si>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</si>
  <si>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</si>
  <si>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</si>
  <si>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</si>
  <si>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</si>
  <si>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</si>
  <si>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</si>
  <si>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</si>
  <si>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</si>
  <si>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</si>
  <si>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</si>
  <si>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</si>
  <si>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</si>
  <si>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</si>
  <si>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</si>
  <si>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</si>
  <si>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</si>
  <si>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</si>
  <si>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</si>
  <si>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</si>
  <si>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</si>
  <si>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</si>
  <si>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</si>
  <si>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</si>
  <si>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</si>
  <si>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</si>
  <si>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</si>
  <si>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</si>
  <si>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</si>
  <si>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</si>
  <si>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</si>
  <si>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</si>
  <si>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</si>
  <si>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</si>
  <si>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</si>
  <si>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</si>
  <si>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</si>
  <si>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</si>
  <si>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</si>
  <si>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</si>
  <si>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</si>
  <si>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</si>
  <si>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</si>
  <si>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</si>
  <si>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</si>
  <si>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</si>
  <si>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</si>
  <si>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</si>
  <si>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</si>
  <si>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</si>
  <si>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</si>
  <si>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</si>
  <si>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</si>
  <si>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</si>
  <si>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</si>
  <si>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</si>
  <si>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</si>
  <si>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</si>
  <si>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</si>
  <si>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</si>
  <si>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</si>
  <si>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</si>
  <si>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</si>
  <si>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</si>
  <si>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</si>
  <si>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</si>
  <si>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</si>
  <si>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</si>
  <si>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</si>
  <si>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</si>
  <si>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</si>
  <si>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</si>
  <si>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</si>
  <si>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</si>
  <si>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</si>
  <si>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</si>
  <si>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</si>
  <si>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</si>
  <si>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</si>
  <si>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</si>
  <si>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</si>
  <si>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</si>
  <si>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</si>
  <si>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</si>
  <si>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</si>
  <si>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</si>
  <si>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</si>
  <si>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</si>
  <si>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</si>
  <si>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</si>
  <si>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</si>
  <si>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</si>
  <si>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</si>
  <si>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</si>
  <si>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</si>
  <si>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</si>
  <si>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</si>
  <si>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</si>
  <si>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</si>
  <si>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</si>
  <si>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</si>
  <si>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</si>
  <si>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</si>
  <si>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</si>
  <si>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</si>
  <si>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</si>
  <si>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</si>
  <si>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</si>
  <si>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</si>
  <si>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</si>
  <si>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</si>
  <si>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</si>
  <si>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</si>
  <si>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</si>
  <si>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</si>
  <si>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</si>
  <si>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</si>
  <si>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</si>
  <si>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</si>
  <si>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</si>
  <si>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</si>
  <si>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</si>
  <si>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</si>
  <si>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</si>
  <si>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</si>
  <si>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</si>
  <si>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</si>
  <si>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</si>
  <si>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</si>
  <si>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</si>
  <si>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</si>
  <si>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</si>
  <si>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</si>
  <si>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</si>
  <si>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</si>
  <si>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</si>
  <si>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</si>
  <si>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</si>
  <si>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</si>
  <si>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</si>
  <si>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</si>
  <si>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</si>
  <si>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</si>
  <si>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</si>
  <si>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</si>
  <si>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</si>
  <si>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</si>
  <si>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</si>
  <si>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</si>
  <si>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</si>
  <si>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</si>
  <si>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</si>
  <si>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</si>
  <si>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</si>
  <si>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</si>
  <si>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</si>
  <si>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</si>
  <si>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</si>
  <si>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</si>
  <si>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</si>
  <si>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</si>
  <si>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</si>
  <si>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</si>
  <si>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</si>
  <si>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</si>
  <si>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</si>
  <si>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</si>
  <si>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</si>
  <si>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</si>
  <si>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</si>
  <si>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</si>
  <si>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</si>
  <si>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</si>
  <si>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</si>
  <si>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</si>
  <si>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</si>
  <si>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</si>
  <si>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</si>
  <si>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</si>
  <si>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</si>
  <si>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</si>
  <si>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</si>
  <si>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</si>
  <si>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</si>
  <si>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</si>
  <si>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</si>
  <si>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</si>
  <si>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</si>
  <si>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</si>
  <si>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</si>
  <si>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</si>
  <si>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</si>
  <si>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</si>
  <si>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</si>
  <si>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</si>
  <si>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</si>
  <si>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</si>
  <si>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</si>
  <si>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</si>
  <si>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</si>
  <si>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</si>
  <si>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</si>
  <si>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</si>
  <si>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</si>
  <si>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</si>
  <si>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</si>
  <si>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</si>
  <si>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</si>
  <si>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</si>
  <si>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</si>
  <si>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</si>
  <si>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</si>
  <si>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</si>
  <si>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</si>
  <si>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</si>
  <si>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</si>
  <si>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</si>
  <si>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</si>
  <si>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</si>
  <si>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</si>
  <si>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</si>
  <si>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</si>
  <si>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</si>
  <si>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</si>
  <si>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</si>
  <si>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</si>
  <si>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</si>
  <si>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</si>
  <si>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</si>
  <si>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</si>
  <si>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</si>
  <si>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</si>
  <si>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</si>
  <si>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</si>
  <si>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</si>
  <si>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</si>
  <si>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</si>
  <si>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</si>
  <si>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</si>
  <si>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</si>
  <si>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</si>
  <si>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</si>
  <si>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</si>
  <si>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</si>
  <si>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</si>
  <si>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</si>
  <si>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</si>
  <si>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</si>
  <si>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</si>
  <si>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</si>
  <si>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</si>
  <si>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</si>
  <si>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</si>
  <si>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</si>
  <si>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</si>
  <si>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</si>
  <si>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</si>
  <si>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</si>
  <si>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</si>
  <si>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</si>
  <si>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</si>
  <si>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</si>
  <si>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</si>
  <si>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</si>
  <si>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</si>
  <si>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</si>
  <si>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</si>
  <si>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</si>
  <si>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</si>
  <si>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</si>
  <si>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</si>
  <si>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</si>
  <si>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</si>
  <si>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</si>
  <si>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</si>
  <si>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</si>
  <si>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</si>
  <si>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</si>
  <si>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</si>
  <si>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</si>
  <si>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</si>
  <si>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</si>
  <si>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</si>
  <si>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</si>
  <si>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</si>
  <si>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</si>
  <si>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</si>
  <si>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</si>
  <si>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</si>
  <si>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</si>
  <si>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</si>
  <si>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</si>
  <si>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</si>
  <si>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</si>
  <si>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</si>
  <si>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</si>
  <si>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</si>
  <si>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</si>
  <si>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</si>
  <si>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</si>
  <si>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</si>
  <si>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</si>
  <si>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</si>
  <si>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</si>
  <si>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</si>
  <si>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</si>
  <si>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</si>
  <si>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</si>
  <si>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</si>
  <si>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</si>
  <si>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</si>
  <si>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</si>
  <si>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</si>
  <si>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</si>
  <si>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</si>
  <si>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</si>
  <si>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</si>
  <si>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</si>
  <si>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</si>
  <si>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</si>
  <si>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</si>
  <si>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</si>
  <si>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</si>
  <si>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</si>
  <si>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</si>
  <si>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</si>
  <si>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</si>
  <si>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</si>
  <si>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</si>
  <si>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</si>
  <si>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</si>
  <si>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</si>
  <si>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</si>
  <si>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</si>
  <si>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</si>
  <si>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</si>
  <si>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</si>
  <si>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</si>
  <si>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</si>
  <si>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</si>
  <si>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</si>
  <si>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</si>
  <si>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</si>
  <si>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</si>
  <si>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</si>
  <si>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</si>
  <si>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</si>
  <si>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</si>
  <si>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</si>
  <si>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</si>
  <si>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</si>
  <si>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</si>
  <si>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</si>
  <si>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</si>
  <si>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</si>
  <si>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</si>
  <si>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</si>
  <si>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</si>
  <si>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</si>
  <si>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</si>
  <si>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</si>
  <si>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</si>
  <si>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</si>
  <si>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</si>
  <si>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</si>
  <si>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</si>
  <si>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</si>
  <si>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</si>
  <si>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</si>
  <si>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</si>
  <si>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</si>
  <si>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</si>
  <si>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</si>
  <si>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</si>
  <si>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</si>
  <si>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</si>
  <si>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</si>
  <si>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</si>
  <si>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</si>
  <si>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</si>
  <si>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</si>
  <si>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</si>
  <si>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</si>
  <si>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</si>
  <si>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</si>
  <si>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</si>
  <si>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</si>
  <si>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</si>
  <si>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</si>
  <si>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</si>
  <si>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</si>
  <si>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</si>
  <si>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</si>
  <si>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</si>
  <si>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</si>
  <si>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</si>
  <si>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</si>
  <si>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</si>
  <si>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</si>
  <si>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</si>
  <si>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</si>
  <si>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</si>
  <si>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</si>
  <si>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</si>
  <si>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</si>
  <si>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</si>
  <si>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</si>
  <si>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</si>
  <si>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</si>
  <si>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</si>
  <si>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</si>
  <si>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</si>
  <si>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</si>
  <si>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</si>
  <si>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</si>
  <si>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</si>
  <si>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</si>
  <si>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</si>
  <si>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</si>
  <si>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</si>
  <si>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</si>
  <si>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</si>
  <si>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</si>
  <si>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</si>
  <si>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</si>
  <si>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</si>
  <si>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</si>
  <si>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</si>
  <si>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</si>
  <si>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</si>
  <si>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</si>
  <si>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</si>
  <si>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</si>
  <si>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</si>
  <si>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</si>
  <si>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</si>
  <si>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</si>
  <si>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</si>
  <si>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</si>
  <si>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</si>
  <si>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</si>
  <si>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</si>
  <si>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</si>
  <si>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</si>
  <si>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</si>
  <si>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</si>
  <si>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</si>
  <si>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</si>
  <si>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</si>
  <si>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</si>
  <si>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</si>
  <si>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</si>
  <si>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</si>
  <si>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</si>
  <si>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</si>
  <si>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</si>
  <si>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</si>
  <si>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</si>
  <si>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</si>
  <si>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</si>
  <si>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</si>
  <si>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</si>
  <si>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</si>
  <si>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</si>
  <si>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</si>
  <si>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</si>
  <si>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</si>
  <si>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</si>
  <si>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</si>
  <si>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</si>
  <si>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</si>
  <si>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</si>
  <si>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</si>
  <si>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</si>
  <si>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</si>
  <si>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</si>
  <si>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</si>
  <si>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</si>
  <si>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</si>
  <si>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</si>
  <si>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</si>
  <si>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</si>
  <si>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</si>
  <si>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</si>
  <si>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</si>
  <si>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</si>
  <si>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</si>
  <si>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</si>
  <si>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</si>
  <si>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</si>
  <si>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</si>
  <si>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</si>
  <si>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</si>
  <si>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</si>
  <si>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</si>
  <si>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</si>
  <si>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</si>
  <si>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</si>
  <si>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</si>
  <si>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</si>
  <si>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</si>
  <si>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</si>
  <si>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</si>
  <si>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</si>
  <si>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</si>
  <si>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</si>
  <si>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</si>
  <si>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</si>
  <si>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</si>
  <si>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</si>
  <si>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</si>
  <si>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</si>
  <si>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</si>
  <si>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</si>
  <si>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</si>
  <si>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</si>
  <si>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</si>
  <si>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</si>
  <si>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</si>
  <si>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</si>
  <si>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</si>
  <si>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</si>
  <si>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</si>
  <si>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</si>
  <si>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</si>
  <si>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</si>
  <si>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</si>
  <si>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</si>
  <si>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</si>
  <si>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</si>
  <si>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</si>
  <si>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</si>
  <si>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</si>
  <si>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</si>
  <si>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</si>
  <si>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</si>
  <si>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</si>
  <si>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</si>
  <si>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</si>
  <si>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</si>
  <si>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</si>
  <si>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</si>
  <si>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</si>
  <si>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</si>
  <si>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</si>
  <si>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</si>
  <si>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</si>
  <si>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</si>
  <si>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</si>
  <si>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</si>
  <si>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</si>
  <si>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</si>
  <si>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</si>
  <si>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</si>
  <si>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</si>
  <si>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</si>
  <si>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</si>
  <si>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</si>
  <si>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</si>
  <si>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</si>
  <si>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</si>
  <si>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</si>
  <si>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</si>
  <si>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</si>
  <si>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</si>
  <si>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</si>
  <si>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</si>
  <si>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</si>
  <si>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</si>
  <si>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</si>
  <si>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</si>
  <si>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</si>
  <si>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</si>
  <si>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</si>
  <si>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</si>
  <si>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</si>
  <si>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</si>
  <si>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</si>
  <si>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</si>
  <si>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</si>
  <si>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</si>
  <si>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</si>
  <si>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</si>
  <si>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</si>
  <si>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</si>
  <si>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</si>
  <si>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</si>
  <si>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</si>
  <si>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</si>
  <si>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</si>
  <si>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</si>
  <si>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</si>
  <si>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</si>
  <si>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</si>
  <si>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</si>
  <si>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</si>
  <si>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</si>
  <si>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</si>
  <si>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</si>
  <si>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</si>
  <si>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</si>
  <si>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</si>
  <si>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</si>
  <si>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</si>
  <si>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</si>
  <si>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</si>
  <si>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</si>
  <si>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</si>
  <si>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</si>
  <si>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</si>
  <si>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</si>
  <si>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</si>
  <si>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</si>
  <si>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</si>
  <si>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</si>
  <si>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</si>
  <si>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</si>
  <si>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</si>
  <si>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</si>
  <si>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</si>
  <si>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</si>
  <si>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</si>
  <si>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</si>
  <si>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</si>
  <si>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</si>
  <si>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</si>
  <si>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</si>
  <si>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</si>
  <si>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</si>
  <si>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</si>
  <si>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</si>
  <si>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</si>
  <si>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</si>
  <si>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</si>
  <si>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</si>
  <si>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</si>
  <si>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</si>
  <si>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</si>
  <si>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</si>
  <si>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</si>
  <si>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</si>
  <si>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</si>
  <si>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</si>
  <si>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</si>
  <si>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</si>
  <si>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</si>
  <si>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</si>
  <si>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</si>
  <si>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</si>
  <si>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</si>
  <si>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</si>
  <si>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</si>
  <si>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</si>
  <si>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</si>
  <si>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</si>
  <si>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</si>
  <si>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</si>
  <si>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</si>
  <si>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</si>
  <si>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</si>
  <si>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</si>
  <si>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</si>
  <si>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</si>
  <si>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</si>
  <si>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</si>
  <si>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</si>
  <si>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</si>
  <si>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</si>
  <si>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</si>
  <si>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</si>
  <si>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</si>
  <si>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</si>
  <si>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</si>
  <si>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</si>
  <si>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</si>
  <si>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</si>
  <si>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</si>
  <si>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</si>
  <si>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</si>
  <si>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</si>
  <si>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</si>
  <si>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</si>
  <si>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</si>
  <si>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</si>
  <si>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</si>
  <si>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</si>
  <si>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</si>
  <si>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</si>
  <si>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</si>
  <si>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</si>
  <si>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</si>
  <si>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</si>
  <si>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</si>
  <si>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</si>
  <si>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</si>
  <si>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</si>
  <si>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</si>
  <si>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</si>
  <si>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</si>
  <si>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</si>
  <si>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</si>
  <si>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</si>
  <si>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</si>
  <si>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</si>
  <si>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</si>
  <si>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</si>
  <si>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</si>
  <si>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</si>
  <si>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</si>
  <si>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</si>
  <si>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</si>
  <si>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</si>
  <si>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</si>
  <si>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</si>
  <si>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</si>
  <si>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</si>
  <si>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</si>
  <si>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</si>
  <si>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</si>
  <si>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</si>
  <si>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</si>
  <si>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</si>
  <si>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</si>
  <si>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</si>
  <si>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</si>
  <si>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</si>
  <si>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</si>
  <si>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</si>
  <si>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</si>
  <si>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</si>
  <si>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</si>
  <si>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</si>
  <si>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</si>
  <si>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</si>
  <si>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</si>
  <si>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</si>
  <si>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</si>
  <si>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</si>
  <si>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</si>
  <si>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</si>
  <si>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</si>
  <si>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</si>
  <si>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</si>
  <si>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</si>
  <si>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</si>
  <si>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</si>
  <si>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</si>
  <si>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</si>
  <si>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</si>
  <si>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</si>
  <si>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</si>
  <si>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</si>
  <si>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</si>
  <si>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</si>
  <si>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</si>
  <si>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</si>
  <si>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</si>
  <si>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</si>
  <si>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</si>
  <si>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</si>
  <si>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</si>
  <si>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</si>
  <si>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</si>
  <si>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</si>
  <si>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</si>
  <si>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</si>
  <si>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</si>
  <si>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</si>
  <si>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</si>
  <si>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</si>
  <si>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</si>
  <si>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</si>
  <si>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</si>
  <si>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</si>
  <si>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</si>
  <si>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</si>
  <si>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</si>
  <si>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</si>
  <si>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</si>
  <si>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</si>
  <si>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</si>
  <si>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</si>
  <si>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</si>
  <si>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</si>
  <si>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</si>
  <si>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</si>
  <si>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</si>
  <si>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</si>
  <si>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</si>
  <si>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</si>
  <si>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</si>
  <si>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</si>
  <si>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</si>
  <si>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</si>
  <si>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</si>
  <si>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</si>
  <si>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</si>
  <si>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</si>
  <si>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</si>
  <si>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</si>
  <si>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</si>
  <si>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</si>
  <si>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</si>
  <si>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</si>
  <si>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</si>
  <si>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</si>
  <si>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</si>
  <si>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</si>
  <si>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</si>
  <si>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</si>
  <si>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</si>
  <si>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</si>
  <si>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</si>
  <si>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</si>
  <si>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</si>
  <si>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</si>
  <si>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</si>
  <si>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</si>
  <si>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</si>
  <si>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</si>
  <si>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</si>
  <si>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</si>
  <si>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</si>
  <si>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</si>
  <si>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</si>
  <si>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</si>
  <si>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</si>
  <si>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</si>
  <si>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</si>
  <si>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</si>
  <si>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</si>
  <si>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</si>
  <si>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</si>
  <si>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</si>
  <si>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</si>
  <si>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</si>
  <si>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</si>
  <si>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</si>
  <si>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</si>
  <si>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</si>
  <si>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</si>
  <si>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</si>
  <si>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</si>
  <si>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</si>
  <si>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</si>
  <si>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</si>
  <si>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</si>
  <si>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</si>
  <si>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</si>
  <si>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</si>
  <si>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</si>
  <si>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</si>
  <si>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</si>
  <si>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</si>
  <si>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</si>
  <si>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</si>
  <si>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</si>
  <si>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</si>
  <si>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</si>
  <si>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</si>
  <si>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</si>
  <si>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</si>
  <si>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</si>
  <si>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</si>
  <si>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</si>
  <si>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</si>
  <si>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</si>
  <si>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</si>
  <si>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</si>
  <si>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</si>
  <si>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</si>
  <si>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</si>
  <si>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</si>
  <si>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</si>
  <si>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</si>
  <si>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</si>
  <si>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</si>
  <si>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</si>
  <si>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</si>
  <si>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</si>
  <si>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</si>
  <si>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</si>
  <si>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</si>
  <si>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</si>
  <si>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</si>
  <si>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</si>
  <si>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</si>
  <si>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</si>
  <si>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</si>
  <si>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</si>
  <si>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</si>
  <si>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</si>
  <si>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</si>
  <si>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</si>
  <si>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</si>
  <si>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</si>
  <si>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</si>
  <si>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</si>
  <si>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</si>
  <si>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</si>
  <si>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</si>
  <si>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</si>
  <si>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</si>
  <si>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</si>
  <si>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</si>
  <si>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</si>
  <si>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</si>
  <si>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</si>
  <si>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</si>
  <si>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</si>
  <si>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</si>
  <si>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</si>
  <si>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</si>
  <si>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</si>
  <si>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</si>
  <si>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</si>
  <si>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</si>
  <si>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</si>
  <si>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</si>
  <si>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</si>
  <si>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</si>
  <si>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</si>
  <si>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</si>
  <si>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</si>
  <si>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</si>
  <si>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</si>
  <si>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</si>
  <si>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</si>
  <si>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</si>
  <si>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</si>
  <si>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</si>
  <si>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</si>
  <si>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</si>
  <si>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</si>
  <si>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</si>
  <si>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</si>
  <si>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</si>
  <si>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</si>
  <si>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</si>
  <si>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</si>
  <si>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</si>
  <si>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</si>
  <si>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</si>
  <si>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</si>
  <si>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</si>
  <si>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</si>
  <si>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</si>
  <si>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</si>
  <si>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</si>
  <si>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</si>
  <si>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</si>
  <si>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</si>
  <si>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</si>
  <si>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</si>
  <si>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</si>
  <si>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</si>
  <si>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</si>
  <si>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</si>
  <si>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</si>
  <si>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</si>
  <si>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</si>
  <si>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</si>
  <si>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</si>
  <si>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</si>
  <si>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</si>
  <si>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</si>
  <si>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</si>
  <si>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</si>
  <si>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</si>
  <si>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</si>
  <si>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</si>
  <si>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</si>
  <si>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</si>
  <si>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</si>
  <si>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</si>
  <si>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</si>
  <si>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</si>
  <si>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</si>
  <si>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</si>
  <si>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</si>
  <si>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</si>
  <si>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</si>
  <si>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</si>
  <si>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</si>
  <si>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</si>
  <si>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</si>
  <si>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</si>
  <si>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</si>
  <si>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</si>
  <si>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</si>
  <si>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</si>
  <si>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</si>
  <si>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</si>
  <si>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</si>
  <si>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</si>
  <si>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</si>
  <si>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</si>
  <si>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</si>
  <si>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</si>
  <si>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</si>
  <si>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</si>
  <si>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</si>
  <si>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</si>
  <si>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</si>
  <si>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</si>
  <si>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</si>
  <si>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</si>
  <si>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</si>
  <si>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</si>
  <si>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</si>
  <si>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</si>
  <si>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</si>
  <si>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</si>
  <si>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</si>
  <si>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</si>
  <si>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</si>
  <si>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</si>
  <si>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</si>
  <si>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</si>
  <si>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</si>
  <si>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</si>
  <si>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</si>
  <si>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</si>
  <si>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</si>
  <si>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</si>
  <si>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</si>
  <si>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</si>
  <si>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</si>
  <si>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</si>
  <si>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</si>
  <si>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</si>
  <si>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</si>
  <si>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</si>
  <si>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</si>
  <si>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</si>
  <si>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</si>
  <si>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</si>
  <si>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</si>
  <si>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</si>
  <si>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</si>
  <si>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</si>
  <si>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</si>
  <si>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</si>
  <si>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</si>
  <si>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</si>
  <si>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</si>
  <si>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</si>
  <si>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</si>
  <si>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</si>
  <si>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</si>
  <si>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</si>
  <si>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</si>
  <si>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</si>
  <si>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</si>
  <si>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</si>
  <si>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</si>
  <si>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</si>
  <si>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</si>
  <si>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</si>
  <si>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</si>
  <si>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</si>
  <si>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</si>
  <si>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</si>
  <si>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</si>
  <si>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</si>
  <si>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</si>
  <si>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</si>
  <si>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</si>
  <si>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</si>
  <si>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</si>
  <si>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</si>
  <si>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</si>
  <si>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</si>
  <si>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</si>
  <si>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</si>
  <si>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</si>
  <si>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</si>
  <si>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</si>
  <si>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</si>
  <si>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</si>
  <si>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</si>
  <si>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</si>
  <si>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</si>
  <si>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</si>
  <si>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</si>
  <si>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</si>
  <si>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</si>
  <si>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</si>
  <si>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</si>
  <si>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</si>
  <si>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</si>
  <si>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</si>
  <si>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</si>
  <si>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</si>
  <si>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</si>
  <si>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</si>
  <si>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</si>
  <si>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</si>
  <si>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</si>
  <si>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</si>
  <si>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</si>
  <si>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</si>
  <si>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</si>
  <si>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</si>
  <si>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</si>
  <si>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</si>
  <si>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</si>
  <si>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</si>
  <si>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</si>
  <si>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</si>
  <si>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</si>
  <si>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</si>
  <si>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</si>
  <si>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</si>
  <si>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</si>
  <si>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</si>
  <si>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</si>
  <si>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</si>
  <si>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</si>
  <si>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</si>
  <si>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</si>
  <si>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</si>
  <si>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</si>
  <si>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</si>
  <si>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</si>
  <si>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</si>
  <si>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</si>
  <si>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</si>
  <si>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</si>
  <si>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</si>
  <si>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</si>
  <si>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</si>
  <si>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</si>
  <si>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</si>
  <si>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</si>
  <si>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</si>
  <si>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</si>
  <si>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</si>
  <si>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</si>
  <si>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</si>
  <si>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</si>
  <si>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</si>
  <si>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</si>
  <si>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</si>
  <si>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</si>
  <si>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</si>
  <si>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</si>
  <si>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</si>
  <si>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</si>
  <si>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</si>
  <si>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</si>
  <si>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</si>
  <si>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</si>
  <si>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</si>
  <si>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</si>
  <si>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</si>
  <si>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</si>
  <si>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</si>
  <si>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</si>
  <si>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</si>
  <si>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</si>
  <si>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</si>
  <si>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</si>
  <si>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</si>
  <si>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</si>
  <si>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</si>
  <si>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</si>
  <si>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</si>
  <si>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</si>
  <si>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</si>
  <si>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</si>
  <si>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</si>
  <si>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</si>
  <si>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</si>
  <si>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</si>
  <si>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</si>
  <si>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</si>
  <si>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</si>
  <si>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</si>
  <si>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</si>
  <si>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</si>
  <si>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</si>
  <si>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</si>
  <si>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</si>
  <si>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</si>
  <si>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</si>
  <si>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</si>
  <si>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</si>
  <si>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</si>
  <si>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</si>
  <si>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</si>
  <si>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</si>
  <si>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</si>
  <si>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</si>
  <si>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</si>
  <si>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</si>
  <si>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</si>
  <si>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</si>
  <si>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</si>
  <si>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</si>
  <si>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</si>
  <si>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</si>
  <si>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</si>
  <si>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</si>
  <si>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</si>
  <si>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</si>
  <si>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</si>
  <si>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</si>
  <si>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</si>
  <si>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</si>
  <si>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</si>
  <si>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</si>
  <si>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</si>
  <si>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</si>
  <si>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</si>
  <si>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</si>
  <si>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</si>
  <si>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</si>
  <si>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</si>
  <si>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</si>
  <si>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</si>
  <si>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</si>
  <si>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</si>
  <si>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</si>
  <si>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</si>
  <si>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</si>
  <si>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</si>
  <si>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</si>
  <si>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</si>
  <si>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</si>
  <si>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</si>
  <si>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</si>
  <si>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</si>
  <si>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</si>
  <si>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</si>
  <si>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</si>
  <si>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</si>
  <si>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</si>
  <si>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</si>
  <si>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</si>
  <si>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</si>
  <si>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</si>
  <si>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</si>
  <si>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</si>
  <si>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</si>
  <si>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</si>
  <si>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</si>
  <si>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</si>
  <si>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</si>
  <si>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</si>
  <si>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</si>
  <si>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</si>
  <si>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</si>
  <si>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</si>
  <si>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</si>
  <si>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</si>
  <si>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</si>
  <si>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</si>
  <si>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</si>
  <si>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</si>
  <si>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</si>
  <si>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</si>
  <si>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</si>
  <si>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</si>
  <si>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</si>
  <si>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</si>
  <si>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</si>
  <si>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</si>
  <si>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</si>
  <si>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</si>
  <si>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</si>
  <si>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</si>
  <si>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</si>
  <si>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</si>
  <si>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</si>
  <si>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</si>
  <si>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</si>
  <si>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</si>
  <si>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</si>
  <si>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</si>
  <si>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</si>
  <si>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</si>
  <si>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</si>
  <si>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</si>
  <si>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</si>
  <si>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</si>
  <si>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</si>
  <si>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</si>
  <si>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</si>
  <si>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</si>
  <si>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</si>
  <si>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</si>
  <si>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</si>
  <si>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</si>
  <si>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</si>
  <si>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</si>
  <si>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</si>
  <si>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</si>
  <si>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</si>
  <si>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</si>
  <si>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</si>
  <si>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</si>
  <si>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</si>
  <si>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</si>
  <si>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</si>
  <si>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</si>
  <si>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</si>
  <si>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</si>
  <si>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</si>
  <si>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</si>
  <si>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</si>
  <si>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</si>
  <si>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</si>
  <si>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</si>
  <si>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</si>
  <si>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</si>
  <si>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</si>
  <si>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</si>
  <si>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</si>
  <si>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</si>
  <si>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</si>
  <si>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</si>
  <si>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</si>
  <si>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</si>
  <si>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</si>
  <si>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</si>
  <si>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</si>
  <si>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</si>
  <si>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</si>
  <si>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</si>
  <si>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</si>
  <si>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</si>
  <si>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</si>
  <si>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</si>
  <si>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</si>
  <si>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</si>
  <si>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</si>
  <si>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</si>
  <si>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</si>
  <si>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</si>
  <si>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</si>
  <si>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</si>
  <si>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</si>
  <si>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</si>
  <si>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</si>
  <si>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</si>
  <si>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</si>
  <si>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</si>
  <si>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</si>
  <si>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</si>
  <si>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</si>
  <si>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</si>
  <si>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</si>
  <si>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</si>
  <si>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</si>
  <si>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</si>
  <si>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</si>
  <si>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</si>
  <si>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</si>
  <si>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</si>
  <si>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</si>
  <si>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</si>
  <si>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</si>
  <si>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</si>
  <si>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</si>
  <si>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</si>
  <si>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</si>
  <si>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</si>
  <si>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</si>
  <si>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</si>
  <si>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</si>
  <si>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</si>
  <si>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</si>
  <si>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</si>
  <si>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</si>
  <si>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</si>
  <si>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</si>
  <si>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</si>
  <si>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</si>
  <si>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</si>
  <si>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</si>
  <si>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</si>
  <si>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</si>
  <si>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</si>
  <si>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</si>
  <si>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</si>
  <si>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</si>
  <si>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</si>
  <si>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</si>
  <si>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</si>
  <si>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</si>
  <si>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</si>
  <si>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</si>
  <si>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</si>
  <si>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</si>
  <si>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</si>
  <si>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</si>
  <si>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</si>
  <si>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</si>
  <si>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</si>
  <si>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</si>
  <si>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</si>
  <si>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</si>
  <si>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</si>
  <si>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</si>
  <si>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</si>
  <si>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</si>
  <si>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</si>
  <si>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</si>
  <si>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</si>
  <si>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</si>
  <si>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</si>
  <si>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</si>
  <si>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</si>
  <si>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</si>
  <si>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</si>
  <si>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</si>
  <si>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</si>
  <si>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</si>
  <si>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</si>
  <si>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</si>
  <si>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</si>
  <si>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</si>
  <si>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</si>
  <si>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</si>
  <si>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</si>
  <si>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</si>
  <si>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</si>
  <si>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</si>
  <si>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</si>
  <si>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</si>
  <si>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</si>
  <si>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</si>
  <si>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</si>
  <si>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</si>
  <si>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</si>
  <si>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</si>
  <si>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</si>
  <si>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</si>
  <si>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</si>
  <si>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</si>
  <si>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</si>
  <si>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</si>
  <si>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</si>
  <si>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</si>
  <si>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</si>
  <si>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</si>
  <si>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</si>
  <si>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</si>
  <si>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</si>
  <si>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</si>
  <si>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</si>
  <si>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</si>
  <si>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</si>
  <si>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</si>
  <si>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</si>
  <si>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</si>
  <si>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</si>
  <si>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</si>
  <si>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</si>
  <si>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</si>
  <si>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</si>
  <si>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</si>
  <si>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</si>
  <si>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</si>
  <si>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</si>
  <si>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</si>
  <si>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</si>
  <si>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</si>
  <si>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</si>
  <si>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</si>
  <si>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</si>
  <si>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</si>
  <si>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</si>
  <si>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</si>
  <si>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</si>
  <si>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</si>
  <si>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</si>
  <si>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</si>
  <si>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</si>
  <si>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</si>
  <si>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</si>
  <si>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</si>
  <si>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</si>
  <si>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</si>
  <si>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</si>
  <si>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</si>
  <si>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</si>
  <si>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</si>
  <si>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</si>
  <si>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</si>
  <si>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</si>
  <si>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</si>
  <si>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</si>
  <si>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</si>
  <si>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</si>
  <si>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</si>
  <si>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</si>
  <si>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</si>
  <si>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</si>
  <si>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</si>
  <si>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</si>
  <si>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</si>
  <si>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</si>
  <si>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</si>
  <si>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</si>
  <si>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</si>
  <si>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</si>
  <si>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</si>
  <si>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</si>
  <si>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</si>
  <si>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</si>
  <si>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</si>
  <si>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</si>
  <si>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</si>
  <si>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</si>
  <si>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</si>
  <si>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</si>
  <si>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</si>
  <si>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</si>
  <si>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</si>
  <si>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</si>
  <si>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</si>
  <si>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</si>
  <si>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</si>
  <si>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</si>
  <si>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</si>
  <si>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</si>
  <si>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</si>
  <si>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</si>
  <si>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</si>
  <si>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</si>
  <si>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</si>
  <si>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</si>
  <si>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</si>
  <si>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</si>
  <si>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</si>
  <si>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</si>
  <si>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</si>
  <si>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</si>
  <si>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</si>
  <si>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</si>
  <si>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</si>
  <si>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</si>
  <si>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</si>
  <si>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</si>
  <si>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</si>
  <si>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</si>
  <si>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</si>
  <si>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</si>
  <si>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</si>
  <si>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</si>
  <si>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</si>
  <si>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</si>
  <si>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</si>
  <si>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</si>
  <si>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</si>
  <si>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</si>
  <si>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</si>
  <si>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</si>
  <si>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</si>
  <si>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</si>
  <si>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</si>
  <si>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</si>
  <si>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</si>
  <si>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</si>
  <si>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</si>
  <si>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</si>
  <si>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</si>
  <si>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</si>
  <si>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</si>
  <si>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</si>
  <si>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</si>
  <si>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</si>
  <si>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</si>
  <si>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</si>
  <si>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</si>
  <si>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</si>
  <si>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</si>
  <si>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</si>
  <si>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</si>
  <si>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</si>
  <si>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</si>
  <si>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</si>
  <si>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</si>
  <si>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</si>
  <si>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</si>
  <si>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</si>
  <si>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</si>
  <si>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</si>
  <si>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</si>
  <si>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</si>
  <si>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</si>
  <si>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</si>
  <si>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</si>
  <si>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</si>
  <si>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</si>
  <si>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</si>
  <si>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</si>
  <si>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</si>
  <si>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</si>
  <si>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</si>
  <si>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</si>
  <si>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</si>
  <si>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</si>
  <si>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</si>
  <si>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</si>
  <si>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</si>
  <si>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</si>
  <si>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</si>
  <si>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</si>
  <si>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</si>
  <si>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</si>
  <si>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</si>
  <si>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</si>
  <si>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</si>
  <si>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</si>
  <si>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</si>
  <si>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</si>
  <si>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</si>
  <si>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</si>
  <si>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</si>
  <si>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</si>
  <si>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</si>
  <si>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</si>
  <si>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</si>
  <si>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</si>
  <si>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</si>
  <si>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</si>
  <si>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</si>
  <si>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</si>
  <si>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</si>
  <si>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</si>
  <si>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</si>
  <si>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</si>
  <si>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</si>
  <si>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</si>
  <si>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</si>
  <si>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</si>
  <si>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</si>
  <si>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</si>
  <si>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</si>
  <si>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</si>
  <si>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</si>
  <si>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</si>
  <si>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</si>
  <si>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</si>
  <si>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</si>
  <si>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</si>
  <si>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</si>
  <si>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</si>
  <si>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</si>
  <si>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</si>
  <si>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</si>
  <si>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</si>
  <si>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</si>
  <si>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</si>
  <si>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</si>
  <si>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</si>
  <si>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</si>
  <si>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</si>
  <si>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</si>
  <si>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</si>
  <si>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</si>
  <si>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</si>
  <si>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</si>
  <si>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</si>
  <si>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</si>
  <si>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</si>
  <si>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</si>
  <si>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</si>
  <si>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</si>
  <si>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</si>
  <si>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</si>
  <si>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</si>
  <si>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</si>
  <si>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</si>
  <si>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</si>
  <si>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</si>
  <si>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</si>
  <si>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</si>
  <si>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</si>
  <si>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</si>
  <si>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</si>
  <si>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</si>
  <si>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</si>
  <si>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</si>
  <si>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</si>
  <si>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</si>
  <si>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</si>
  <si>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</si>
  <si>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</si>
  <si>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</si>
  <si>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</si>
  <si>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</si>
  <si>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</si>
  <si>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</si>
  <si>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</si>
  <si>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</si>
  <si>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</si>
  <si>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</si>
  <si>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</si>
  <si>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</si>
  <si>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</si>
  <si>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</si>
  <si>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</si>
  <si>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</si>
  <si>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</si>
  <si>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</si>
  <si>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</si>
  <si>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</si>
  <si>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</si>
  <si>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</si>
  <si>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</si>
  <si>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</si>
  <si>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</si>
  <si>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</si>
  <si>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</si>
  <si>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</si>
  <si>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</si>
  <si>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</si>
  <si>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</si>
  <si>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</si>
  <si>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</si>
  <si>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</si>
  <si>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</si>
  <si>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</si>
  <si>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</si>
  <si>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</si>
  <si>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</si>
  <si>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</si>
  <si>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</si>
  <si>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</si>
  <si>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</si>
  <si>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</si>
  <si>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</si>
  <si>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</si>
  <si>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</si>
  <si>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</si>
  <si>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</si>
  <si>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</si>
  <si>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</si>
  <si>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</si>
  <si>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</si>
  <si>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</si>
  <si>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</si>
  <si>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</si>
  <si>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</si>
  <si>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</si>
  <si>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</si>
  <si>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</si>
  <si>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</si>
  <si>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</si>
  <si>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</si>
  <si>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</si>
  <si>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</si>
  <si>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</si>
  <si>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</si>
  <si>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</si>
  <si>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</si>
  <si>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</si>
  <si>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</si>
  <si>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</si>
  <si>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</si>
  <si>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</si>
  <si>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</si>
  <si>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</si>
  <si>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</si>
  <si>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</si>
  <si>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</si>
  <si>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</si>
  <si>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</si>
  <si>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</si>
  <si>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</si>
  <si>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</si>
  <si>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</si>
  <si>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</si>
  <si>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</si>
  <si>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</si>
  <si>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</si>
  <si>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</si>
  <si>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</si>
  <si>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</si>
  <si>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</si>
  <si>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</si>
  <si>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</si>
  <si>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</si>
  <si>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</si>
  <si>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</si>
  <si>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</si>
  <si>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</si>
  <si>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</si>
  <si>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</si>
  <si>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</si>
  <si>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</si>
  <si>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</si>
  <si>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</si>
  <si>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</si>
  <si>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</si>
  <si>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</si>
  <si>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</si>
  <si>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</si>
  <si>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</si>
  <si>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</si>
  <si>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</si>
  <si>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</si>
  <si>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</si>
  <si>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</si>
  <si>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</si>
  <si>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</si>
  <si>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</si>
  <si>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</si>
  <si>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</si>
  <si>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</si>
  <si>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</si>
  <si>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</si>
  <si>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</si>
  <si>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</si>
  <si>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</si>
  <si>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</si>
  <si>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</si>
  <si>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</si>
  <si>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</si>
  <si>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</si>
  <si>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</si>
  <si>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</si>
  <si>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</si>
  <si>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</si>
  <si>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</si>
  <si>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</si>
  <si>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</si>
  <si>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</si>
  <si>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</si>
  <si>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</si>
  <si>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</si>
  <si>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</si>
  <si>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</si>
  <si>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</si>
  <si>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</si>
  <si>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</si>
  <si>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</si>
  <si>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</si>
  <si>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</si>
  <si>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</si>
  <si>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</si>
  <si>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</si>
  <si>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</si>
  <si>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</si>
  <si>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</si>
  <si>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</si>
  <si>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</si>
  <si>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</si>
  <si>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</si>
  <si>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</si>
  <si>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</si>
  <si>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</si>
  <si>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</si>
  <si>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</si>
  <si>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</si>
  <si>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</si>
  <si>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</si>
  <si>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</si>
  <si>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</si>
  <si>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</si>
  <si>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</si>
  <si>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</si>
  <si>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</si>
  <si>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</si>
  <si>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</si>
  <si>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</si>
  <si>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</si>
  <si>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</si>
  <si>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</si>
  <si>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</si>
  <si>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</si>
  <si>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</si>
  <si>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</si>
  <si>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</si>
  <si>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</si>
  <si>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</si>
  <si>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</si>
  <si>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</si>
  <si>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</si>
  <si>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</si>
  <si>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</si>
  <si>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</si>
  <si>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</si>
  <si>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</si>
  <si>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</si>
  <si>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</si>
  <si>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</si>
  <si>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</si>
  <si>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</si>
  <si>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</si>
  <si>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</si>
  <si>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</si>
  <si>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</si>
  <si>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</si>
  <si>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</si>
  <si>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</si>
  <si>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</si>
  <si>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</si>
  <si>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</si>
  <si>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</si>
  <si>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</si>
  <si>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</si>
  <si>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</si>
  <si>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</si>
  <si>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</si>
  <si>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</si>
  <si>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</si>
  <si>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</si>
  <si>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</si>
  <si>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</si>
  <si>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</si>
  <si>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</si>
  <si>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</si>
  <si>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</si>
  <si>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</si>
  <si>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</si>
  <si>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</si>
  <si>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</si>
  <si>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</si>
  <si>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</si>
  <si>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</si>
  <si>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</si>
  <si>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</si>
  <si>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</si>
  <si>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</si>
  <si>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</si>
  <si>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</si>
  <si>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</si>
  <si>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</si>
  <si>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</si>
  <si>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</si>
  <si>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</si>
  <si>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</si>
  <si>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</si>
  <si>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</si>
  <si>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</si>
  <si>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</si>
  <si>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</si>
  <si>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</si>
  <si>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</si>
  <si>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</si>
  <si>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</si>
  <si>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</si>
  <si>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</si>
  <si>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</si>
  <si>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</si>
  <si>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</si>
  <si>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</si>
  <si>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</si>
  <si>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</si>
  <si>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</si>
  <si>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</si>
  <si>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</si>
  <si>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</si>
  <si>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</si>
  <si>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</si>
  <si>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</si>
  <si>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</si>
  <si>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</si>
  <si>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</si>
  <si>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</si>
  <si>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</si>
  <si>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</si>
  <si>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</si>
  <si>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</si>
  <si>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</si>
  <si>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</si>
  <si>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</si>
  <si>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</si>
  <si>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</si>
  <si>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</si>
  <si>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</si>
  <si>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</si>
  <si>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</si>
  <si>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</si>
  <si>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</si>
  <si>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</si>
  <si>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</si>
  <si>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</si>
  <si>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</si>
  <si>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</si>
  <si>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</si>
  <si>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</si>
  <si>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</si>
  <si>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</si>
  <si>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</si>
  <si>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</si>
  <si>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</si>
  <si>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</si>
  <si>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</si>
  <si>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</si>
  <si>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</si>
  <si>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</si>
  <si>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</si>
  <si>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</si>
  <si>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</si>
  <si>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</si>
  <si>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</si>
  <si>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</si>
  <si>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</si>
  <si>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</si>
  <si>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</si>
  <si>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</si>
  <si>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</si>
  <si>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</si>
  <si>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</si>
  <si>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</si>
  <si>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</si>
  <si>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</si>
  <si>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</si>
  <si>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</si>
  <si>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</si>
  <si>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</si>
  <si>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</si>
  <si>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</si>
  <si>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</si>
  <si>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</si>
  <si>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</si>
  <si>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</si>
  <si>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</si>
  <si>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</si>
  <si>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</si>
  <si>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</si>
  <si>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</si>
  <si>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</si>
  <si>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</si>
  <si>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</si>
  <si>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</si>
  <si>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</si>
  <si>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</si>
  <si>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</si>
  <si>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</si>
  <si>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</si>
  <si>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</si>
  <si>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</si>
  <si>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</si>
  <si>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</si>
  <si>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</si>
  <si>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</si>
  <si>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</si>
  <si>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</si>
  <si>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</si>
  <si>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</si>
  <si>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</si>
  <si>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</si>
  <si>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</si>
  <si>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</si>
  <si>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</si>
  <si>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</si>
  <si>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</si>
  <si>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</si>
  <si>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</si>
  <si>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</si>
  <si>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</si>
  <si>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</si>
  <si>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</si>
  <si>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</si>
  <si>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</si>
  <si>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</si>
  <si>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</si>
  <si>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</si>
  <si>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</si>
  <si>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</si>
  <si>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</si>
  <si>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</si>
  <si>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</si>
  <si>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</si>
  <si>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</si>
  <si>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</si>
  <si>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</si>
  <si>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</si>
  <si>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</si>
  <si>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</si>
  <si>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</si>
  <si>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</si>
  <si>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</si>
  <si>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</si>
  <si>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</si>
  <si>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</si>
  <si>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</si>
  <si>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</si>
  <si>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</si>
  <si>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</si>
  <si>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</si>
  <si>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</si>
  <si>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</si>
  <si>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</si>
  <si>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</si>
  <si>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</si>
  <si>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</si>
  <si>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</si>
  <si>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</si>
  <si>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</si>
  <si>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</si>
  <si>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</si>
  <si>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</si>
  <si>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</si>
  <si>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</si>
  <si>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</si>
  <si>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</si>
  <si>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</si>
  <si>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</si>
  <si>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</si>
  <si>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</si>
  <si>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</si>
  <si>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</si>
  <si>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</si>
  <si>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</si>
  <si>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</si>
  <si>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</si>
  <si>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</si>
  <si>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</si>
  <si>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</si>
  <si>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</si>
  <si>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</si>
  <si>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</si>
  <si>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</si>
  <si>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</si>
  <si>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</si>
  <si>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</si>
  <si>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</si>
  <si>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</si>
  <si>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</si>
  <si>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</si>
  <si>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</si>
  <si>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</si>
  <si>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</si>
  <si>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</si>
  <si>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</si>
  <si>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</si>
  <si>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</si>
  <si>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</si>
  <si>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</si>
  <si>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</si>
  <si>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</si>
  <si>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</si>
  <si>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</si>
  <si>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</si>
  <si>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</si>
  <si>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</si>
  <si>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</si>
  <si>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</si>
  <si>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</si>
  <si>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</si>
  <si>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</si>
  <si>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</si>
  <si>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</si>
  <si>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</si>
  <si>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</si>
  <si>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</si>
  <si>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</si>
  <si>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</si>
  <si>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</si>
  <si>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</si>
  <si>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</si>
  <si>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</si>
  <si>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</si>
  <si>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</si>
  <si>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</si>
  <si>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</si>
  <si>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</si>
  <si>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</si>
  <si>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</si>
  <si>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</si>
  <si>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</si>
  <si>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</si>
  <si>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</si>
  <si>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</si>
  <si>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</si>
  <si>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</si>
  <si>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</si>
  <si>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</si>
  <si>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</si>
  <si>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</si>
  <si>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</si>
  <si>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</si>
  <si>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</si>
  <si>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</si>
  <si>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</si>
  <si>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</si>
  <si>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</si>
  <si>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</si>
  <si>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</si>
  <si>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</si>
  <si>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</si>
  <si>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</si>
  <si>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</si>
  <si>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</si>
  <si>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</si>
  <si>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</si>
  <si>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</si>
  <si>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</si>
  <si>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</si>
  <si>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</si>
  <si>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</si>
  <si>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</si>
  <si>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</si>
  <si>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</si>
  <si>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</si>
  <si>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</si>
  <si>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</si>
  <si>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</si>
  <si>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</si>
  <si>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</si>
  <si>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</si>
  <si>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</si>
  <si>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</si>
  <si>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</si>
  <si>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</si>
  <si>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</si>
  <si>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</si>
  <si>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</si>
  <si>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</si>
  <si>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</si>
  <si>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</si>
  <si>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</si>
  <si>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</si>
  <si>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</si>
  <si>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</si>
  <si>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</si>
  <si>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</si>
  <si>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</si>
  <si>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</si>
  <si>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</si>
  <si>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</si>
  <si>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</si>
  <si>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</si>
  <si>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</si>
  <si>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</si>
  <si>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</si>
  <si>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</si>
  <si>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</si>
  <si>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</si>
  <si>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</si>
  <si>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</si>
  <si>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</si>
  <si>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</si>
  <si>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</si>
  <si>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</si>
  <si>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</si>
  <si>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</si>
  <si>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</si>
  <si>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</si>
  <si>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</si>
  <si>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</si>
  <si>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</si>
  <si>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</si>
  <si>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</si>
  <si>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</si>
  <si>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</si>
  <si>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</si>
  <si>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</si>
  <si>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</si>
  <si>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</si>
  <si>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</si>
  <si>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</si>
  <si>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</si>
  <si>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</si>
  <si>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</si>
  <si>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</si>
  <si>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</si>
  <si>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</si>
  <si>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</si>
  <si>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</si>
  <si>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</si>
  <si>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</si>
  <si>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</si>
  <si>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</si>
  <si>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</si>
  <si>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</si>
  <si>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</si>
  <si>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</si>
  <si>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</si>
  <si>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</si>
  <si>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</si>
  <si>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</si>
  <si>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</si>
  <si>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</si>
  <si>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</si>
  <si>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</si>
  <si>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</si>
  <si>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</si>
  <si>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</si>
  <si>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</si>
  <si>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</si>
  <si>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</si>
  <si>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</si>
  <si>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</si>
  <si>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</si>
  <si>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</si>
  <si>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</si>
  <si>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</si>
  <si>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</si>
  <si>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</si>
  <si>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</si>
  <si>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</si>
  <si>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</si>
  <si>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</si>
  <si>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</si>
  <si>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</si>
  <si>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</si>
  <si>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</si>
  <si>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</si>
  <si>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</si>
  <si>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</si>
  <si>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</si>
  <si>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</si>
  <si>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</si>
  <si>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</si>
  <si>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</si>
  <si>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</si>
  <si>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</si>
  <si>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</si>
  <si>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</si>
  <si>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</si>
  <si>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</si>
  <si>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</si>
  <si>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</si>
  <si>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</si>
  <si>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</si>
  <si>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</si>
  <si>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</si>
  <si>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</si>
  <si>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</si>
  <si>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</si>
  <si>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</si>
  <si>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</si>
  <si>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</si>
  <si>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</si>
  <si>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</si>
  <si>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</si>
  <si>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</si>
  <si>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</si>
  <si>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</si>
  <si>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</si>
  <si>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</si>
  <si>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</si>
  <si>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</si>
  <si>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</si>
  <si>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</si>
  <si>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</si>
  <si>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</si>
  <si>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</si>
  <si>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</si>
  <si>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</si>
  <si>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</si>
  <si>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</si>
  <si>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</si>
  <si>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</si>
  <si>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</si>
  <si>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</si>
  <si>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</si>
  <si>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</si>
  <si>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</si>
  <si>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</si>
  <si>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</si>
  <si>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</si>
  <si>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</si>
  <si>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</si>
  <si>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</si>
  <si>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</si>
  <si>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</si>
  <si>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</si>
  <si>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</si>
  <si>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</si>
  <si>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</si>
  <si>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</si>
  <si>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</si>
  <si>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</si>
  <si>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</si>
  <si>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</si>
  <si>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</si>
  <si>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</si>
  <si>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</si>
  <si>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</si>
  <si>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</si>
  <si>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</si>
  <si>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</si>
  <si>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</si>
  <si>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</si>
  <si>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</si>
  <si>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</si>
  <si>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</si>
  <si>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</si>
  <si>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</si>
  <si>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</si>
  <si>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</si>
  <si>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</si>
  <si>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</si>
  <si>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</si>
  <si>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</si>
  <si>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</si>
  <si>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</si>
  <si>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</si>
  <si>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</si>
  <si>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</si>
  <si>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</si>
  <si>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</si>
  <si>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</si>
  <si>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</si>
  <si>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</si>
  <si>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</si>
  <si>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</si>
  <si>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</si>
  <si>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</si>
  <si>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</si>
  <si>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</si>
  <si>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</si>
  <si>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</si>
  <si>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</si>
  <si>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</si>
  <si>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</si>
  <si>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</si>
  <si>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</si>
  <si>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</si>
  <si>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</si>
  <si>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</si>
  <si>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</si>
  <si>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</si>
  <si>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</si>
  <si>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</si>
  <si>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</si>
  <si>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</si>
  <si>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</si>
  <si>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</si>
  <si>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</si>
  <si>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</si>
  <si>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</si>
  <si>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</si>
  <si>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</si>
  <si>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</si>
  <si>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</si>
  <si>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</si>
  <si>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</si>
  <si>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</si>
  <si>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</si>
  <si>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</si>
  <si>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</si>
  <si>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</si>
  <si>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</si>
  <si>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</si>
  <si>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</si>
  <si>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</si>
  <si>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</si>
  <si>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</si>
  <si>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</si>
  <si>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</si>
  <si>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</si>
  <si>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</si>
  <si>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</si>
  <si>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</si>
  <si>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</si>
  <si>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</si>
  <si>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</si>
  <si>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</si>
  <si>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</si>
  <si>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</si>
  <si>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</si>
  <si>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</si>
  <si>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</si>
  <si>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</si>
  <si>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</si>
  <si>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</si>
  <si>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</si>
  <si>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</si>
  <si>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</si>
  <si>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</si>
  <si>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</si>
  <si>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</si>
  <si>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</si>
  <si>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</si>
  <si>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</si>
  <si>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</si>
  <si>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</si>
  <si>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</si>
  <si>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</si>
  <si>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</si>
  <si>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</si>
  <si>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</si>
  <si>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</si>
  <si>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</si>
  <si>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</si>
  <si>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不临65条商业街</t>
  </si>
  <si>
    <t>通路</t>
  </si>
  <si>
    <t>通讯</t>
  </si>
  <si>
    <t>通上水</t>
  </si>
  <si>
    <t>通下水</t>
  </si>
  <si>
    <t>燃气</t>
  </si>
  <si>
    <t>平整</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</si>
  <si>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</si>
  <si>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</si>
  <si>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</si>
  <si>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</si>
  <si>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</si>
  <si>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</si>
  <si>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</si>
  <si>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</si>
  <si>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</si>
  <si>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</si>
  <si>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</si>
  <si>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</si>
  <si>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</si>
  <si>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</si>
  <si>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</si>
  <si>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</si>
  <si>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</si>
  <si>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</si>
  <si>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</si>
  <si>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</si>
  <si>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</si>
  <si>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</si>
  <si>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</si>
  <si>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</si>
  <si>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</si>
  <si>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</si>
  <si>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</si>
  <si>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</si>
  <si>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</si>
  <si>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</si>
  <si>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</si>
  <si>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</si>
  <si>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</si>
  <si>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</si>
  <si>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</si>
  <si>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</si>
  <si>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</si>
  <si>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</si>
  <si>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</si>
  <si>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</si>
  <si>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</si>
  <si>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</si>
  <si>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</si>
  <si>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</si>
  <si>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</si>
  <si>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</si>
  <si>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</si>
  <si>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</si>
  <si>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</si>
  <si>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</si>
  <si>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</si>
  <si>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</si>
  <si>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</si>
  <si>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</si>
  <si>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</si>
  <si>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</si>
  <si>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</si>
  <si>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</si>
  <si>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</si>
  <si>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</si>
  <si>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</si>
  <si>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</si>
  <si>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</si>
  <si>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</si>
  <si>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</si>
  <si>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</si>
  <si>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</si>
  <si>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容积率修正</t>
  </si>
  <si>
    <t>企业</t>
  </si>
  <si>
    <t>丰台区青塔西路58号院22号楼3层301-306/203-205</t>
    <phoneticPr fontId="7" type="noConversion"/>
  </si>
  <si>
    <t>1-2层商业</t>
  </si>
  <si>
    <t>地下</t>
  </si>
  <si>
    <t>商业</t>
    <phoneticPr fontId="8" type="noConversion"/>
  </si>
  <si>
    <t>办公</t>
    <phoneticPr fontId="8" type="noConversion"/>
  </si>
  <si>
    <t>地下仓储</t>
  </si>
  <si>
    <t>地下仓储</t>
    <phoneticPr fontId="8" type="noConversion"/>
  </si>
  <si>
    <t>地下车库</t>
  </si>
  <si>
    <t>地下车库</t>
    <phoneticPr fontId="8" type="noConversion"/>
  </si>
  <si>
    <t>宗地容积率</t>
  </si>
  <si>
    <t>中心城区</t>
  </si>
  <si>
    <t>收益法</t>
  </si>
  <si>
    <t>收益法办</t>
  </si>
  <si>
    <t>收益法办</t>
    <phoneticPr fontId="17" type="noConversion"/>
  </si>
  <si>
    <t>收益法仓</t>
  </si>
  <si>
    <t>收益法仓</t>
    <phoneticPr fontId="17" type="noConversion"/>
  </si>
  <si>
    <t>收益法车</t>
  </si>
  <si>
    <t>收益法车</t>
    <phoneticPr fontId="17" type="noConversion"/>
  </si>
  <si>
    <t>收益法（汇总）</t>
  </si>
  <si>
    <t>现房</t>
  </si>
  <si>
    <t>全部缴纳</t>
  </si>
  <si>
    <t>比较法-办公</t>
  </si>
  <si>
    <t>项目模式</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</si>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</sst>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179" fontId="45" fillId="0" borderId="0" xfId="0" applyNumberFormat="1" applyFont="1" applyProtection="1">
      <alignment vertical="center"/>
      <protection locked="0"/>
    </xf>
    <xf numFmtId="1" fontId="45" fillId="0" borderId="0" xfId="0" applyNumberFormat="1" applyFo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6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北京市丰台区青塔西路58号院22号楼3层301-306/203-205房地产抵押价值预评估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受贵公司委托，我公司对北京市丰台区青塔西路58号院22号楼3层301-306/203-205房地产抵押价值进行了预评估。</v>
      </c>
    </row>
    <row r="7" spans="1:2" s="1199" customFormat="1">
      <c r="A7" s="1197" t="s">
        <v>566</v>
      </c>
      <c r="B7" s="1198" t="str">
        <f>'预评函-1'!A7</f>
        <v>估价对象为北京市丰台区青塔西路58号院22号楼3层301-306/203-205房地产，为所有。根据《国有土地使用证》[]，估价对象（分摊）出让国有建设用地使用权面积为9678.19平方米，建筑面积为67567.27平方米。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丰台区青塔西路58号院22号楼3层301-306/203-205房地产,属开发建设的，该项目尚在开发建设中。根据《国有土地使用证》[]，估价对象（分摊）出让国有建设用地使用权面积为9678.19平方米，规划建筑面积为67567.27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丰台区青塔西路58号院22号楼3层301-306/203-205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2023年12月19日（评估专业人员实地查勘之日）</v>
      </c>
    </row>
    <row r="13" spans="1:2" s="1199" customFormat="1">
      <c r="A13" s="1197" t="s">
        <v>529</v>
      </c>
      <c r="B13" s="1198" t="str">
        <f>'预评函-1'!A18</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290693</v>
      </c>
    </row>
    <row r="21" spans="1:2" s="1199" customFormat="1">
      <c r="A21" s="1197" t="s">
        <v>537</v>
      </c>
      <c r="B21" s="1198">
        <f ca="1">'预评函-2'!D7</f>
        <v>43023</v>
      </c>
    </row>
    <row r="22" spans="1:2" s="1199" customFormat="1">
      <c r="A22" s="1197" t="s">
        <v>538</v>
      </c>
      <c r="B22" s="1198" t="str">
        <f ca="1">'预评函-2'!D6</f>
        <v>贰拾玖亿零陆佰玖拾叁万元整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290693</v>
      </c>
    </row>
    <row r="31" spans="1:2" s="1199" customFormat="1">
      <c r="A31" s="1197" t="s">
        <v>576</v>
      </c>
      <c r="B31" s="1198">
        <f ca="1">'预评函-2'!D15</f>
        <v>43023</v>
      </c>
    </row>
    <row r="32" spans="1:2" s="1199" customFormat="1">
      <c r="A32" s="1197" t="s">
        <v>543</v>
      </c>
      <c r="B32" s="1198" t="str">
        <f ca="1">'预评函-2'!D14</f>
        <v>贰拾玖亿零陆佰玖拾叁万元整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北京市丰台区青塔西路58号院22号楼3层301-306/203-205房地产</v>
      </c>
    </row>
    <row r="42" spans="1:2" s="1199" customFormat="1">
      <c r="A42" s="1197" t="s">
        <v>590</v>
      </c>
      <c r="B42" s="1198" t="str">
        <f>'预评函-3'!B2</f>
        <v>建筑面积</v>
      </c>
    </row>
    <row r="43" spans="1:2" s="1199" customFormat="1">
      <c r="A43" s="1197" t="s">
        <v>591</v>
      </c>
      <c r="B43" s="1198">
        <f>'预评函-3'!B4</f>
        <v>67567.27</v>
      </c>
    </row>
    <row r="44" spans="1:2" s="1199" customFormat="1">
      <c r="A44" s="1197" t="s">
        <v>575</v>
      </c>
      <c r="B44" s="1198" t="str">
        <f>'预评函-3'!C2</f>
        <v>(分摊)土地面积</v>
      </c>
    </row>
    <row r="45" spans="1:2" s="1199" customFormat="1">
      <c r="A45" s="1197" t="s">
        <v>547</v>
      </c>
      <c r="B45" s="1198">
        <f>'预评函-3'!C4</f>
        <v>9678.19</v>
      </c>
    </row>
    <row r="46" spans="1:2" s="1199" customFormat="1">
      <c r="A46" s="1197" t="s">
        <v>573</v>
      </c>
      <c r="B46" s="1198" t="str">
        <f>'预评函-3'!D2</f>
        <v>出让国有建设用地使用权价值</v>
      </c>
    </row>
    <row r="47" spans="1:2" s="1199" customFormat="1">
      <c r="A47" s="1197" t="s">
        <v>548</v>
      </c>
      <c r="B47" s="1198" t="e">
        <f ca="1">'预评函-3'!D4</f>
        <v>#N/A</v>
      </c>
    </row>
    <row r="48" spans="1:2" s="1199" customFormat="1">
      <c r="A48" s="1197" t="s">
        <v>549</v>
      </c>
      <c r="B48" s="1198" t="e">
        <f ca="1">'预评函-3'!E4</f>
        <v>#N/A</v>
      </c>
    </row>
    <row r="49" spans="1:2" s="1199" customFormat="1">
      <c r="A49" s="1197" t="s">
        <v>550</v>
      </c>
      <c r="B49" s="1198" t="e">
        <f ca="1">'预评函-3'!D5</f>
        <v>#N/A</v>
      </c>
    </row>
    <row r="50" spans="1:2" s="1199" customFormat="1">
      <c r="A50" s="1197" t="s">
        <v>574</v>
      </c>
      <c r="B50" s="1198" t="str">
        <f>'预评函-3'!F2</f>
        <v>在建建筑物价值</v>
      </c>
    </row>
    <row r="51" spans="1:2" s="1199" customFormat="1">
      <c r="A51" s="1197" t="s">
        <v>551</v>
      </c>
      <c r="B51" s="1198" t="e">
        <f ca="1">'预评函-3'!F4</f>
        <v>#N/A</v>
      </c>
    </row>
    <row r="52" spans="1:2" s="1199" customFormat="1">
      <c r="A52" s="1197" t="s">
        <v>552</v>
      </c>
      <c r="B52" s="1198" t="e">
        <f ca="1">'预评函-3'!G4</f>
        <v>#N/A</v>
      </c>
    </row>
    <row r="53" spans="1:2" s="1199" customFormat="1">
      <c r="A53" s="1197" t="s">
        <v>580</v>
      </c>
      <c r="B53" s="1198" t="e">
        <f ca="1">'预评函-3'!F5</f>
        <v>#N/A</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5" sqref="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3352</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3338</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3339</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3340</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3341</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3342</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3343</v>
      </c>
    </row>
    <row r="8" spans="1:23">
      <c r="A8" s="1542" t="s">
        <v>1026</v>
      </c>
      <c r="B8" s="1542" t="s">
        <v>1027</v>
      </c>
      <c r="C8" s="1543" t="s">
        <v>319</v>
      </c>
      <c r="F8" s="1544" t="s">
        <v>1028</v>
      </c>
      <c r="H8" s="1544" t="s">
        <v>2580</v>
      </c>
      <c r="I8" s="1544" t="s">
        <v>3344</v>
      </c>
    </row>
    <row r="9" spans="1:23">
      <c r="A9" s="1542" t="s">
        <v>1029</v>
      </c>
      <c r="B9" s="1542" t="s">
        <v>1030</v>
      </c>
      <c r="C9" s="1543" t="s">
        <v>320</v>
      </c>
      <c r="F9" s="1544" t="s">
        <v>1031</v>
      </c>
      <c r="H9" s="1544"/>
      <c r="I9" s="1547" t="s">
        <v>3345</v>
      </c>
    </row>
    <row r="10" spans="1:23">
      <c r="A10" s="1542" t="s">
        <v>1032</v>
      </c>
      <c r="B10" s="1542" t="s">
        <v>1033</v>
      </c>
      <c r="C10" s="1543" t="s">
        <v>321</v>
      </c>
      <c r="F10" s="1544" t="s">
        <v>2581</v>
      </c>
      <c r="I10" s="1547" t="s">
        <v>3346</v>
      </c>
    </row>
    <row r="11" spans="1:23">
      <c r="A11" s="1542" t="s">
        <v>1034</v>
      </c>
      <c r="B11" s="1542" t="s">
        <v>1035</v>
      </c>
      <c r="C11" s="1543" t="s">
        <v>322</v>
      </c>
      <c r="F11" s="1544" t="s">
        <v>13</v>
      </c>
      <c r="I11" s="1547" t="s">
        <v>3347</v>
      </c>
    </row>
    <row r="12" spans="1:23">
      <c r="A12" s="1542" t="s">
        <v>1036</v>
      </c>
      <c r="B12" s="1542" t="s">
        <v>1037</v>
      </c>
      <c r="C12" s="1543" t="s">
        <v>323</v>
      </c>
      <c r="I12" s="1547" t="s">
        <v>3348</v>
      </c>
    </row>
    <row r="13" spans="1:23">
      <c r="A13" s="1542" t="s">
        <v>1038</v>
      </c>
      <c r="B13" s="1542" t="s">
        <v>1039</v>
      </c>
      <c r="C13" s="1543" t="s">
        <v>324</v>
      </c>
      <c r="I13" s="1547" t="s">
        <v>3349</v>
      </c>
    </row>
    <row r="14" spans="1:23">
      <c r="A14" s="1542" t="s">
        <v>1040</v>
      </c>
      <c r="B14" s="1542" t="s">
        <v>1041</v>
      </c>
      <c r="C14" s="1544" t="s">
        <v>13</v>
      </c>
      <c r="I14" s="1547" t="s">
        <v>3350</v>
      </c>
    </row>
    <row r="15" spans="1:23">
      <c r="A15" s="1542" t="s">
        <v>1042</v>
      </c>
      <c r="B15" s="1542" t="s">
        <v>1043</v>
      </c>
      <c r="C15" s="1543"/>
      <c r="I15" s="1547" t="s">
        <v>3351</v>
      </c>
    </row>
    <row r="16" spans="1:23">
      <c r="A16" s="1542" t="s">
        <v>1044</v>
      </c>
      <c r="B16" s="1542" t="s">
        <v>312</v>
      </c>
      <c r="C16" s="1543"/>
    </row>
    <row r="17" spans="1:3">
      <c r="A17" s="1542" t="s">
        <v>1045</v>
      </c>
      <c r="B17" s="1542" t="s">
        <v>2292</v>
      </c>
      <c r="C17" s="1543"/>
    </row>
    <row r="18" spans="1:3">
      <c r="A18" s="1542" t="s">
        <v>1046</v>
      </c>
      <c r="B18" s="1542" t="s">
        <v>2436</v>
      </c>
      <c r="C18" s="1543"/>
    </row>
    <row r="19" spans="1:3">
      <c r="A19" s="1542" t="s">
        <v>1047</v>
      </c>
      <c r="B19" s="1542" t="s">
        <v>3478</v>
      </c>
      <c r="C19" s="1543"/>
    </row>
    <row r="20" spans="1:3">
      <c r="A20" s="1542" t="s">
        <v>1048</v>
      </c>
      <c r="B20" s="1542" t="s">
        <v>3480</v>
      </c>
      <c r="C20" s="1543"/>
    </row>
    <row r="21" spans="1:3">
      <c r="A21" s="1542" t="s">
        <v>1049</v>
      </c>
      <c r="B21" s="1542" t="s">
        <v>3482</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青塔西路58号院22号楼3层301-306/203-205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0" t="s">
        <v>385</v>
      </c>
      <c r="C54" s="1547" t="s">
        <v>583</v>
      </c>
    </row>
    <row r="55" spans="1:4">
      <c r="A55" s="3521"/>
      <c r="B55" s="1550" t="s">
        <v>386</v>
      </c>
      <c r="C55" s="1547" t="s">
        <v>584</v>
      </c>
    </row>
    <row r="56" spans="1:4">
      <c r="A56" s="3521"/>
      <c r="B56" s="1550" t="s">
        <v>387</v>
      </c>
      <c r="C56" s="1547" t="s">
        <v>588</v>
      </c>
    </row>
    <row r="57" spans="1:4">
      <c r="A57" s="352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2503</v>
      </c>
      <c r="B1" s="3009"/>
      <c r="C1" s="3009"/>
      <c r="D1" s="3009"/>
      <c r="E1" s="3009"/>
      <c r="F1" s="3010"/>
      <c r="I1" s="3431" t="s">
        <v>2596</v>
      </c>
      <c r="J1" s="3221"/>
      <c r="K1" s="3221"/>
      <c r="L1" s="3221"/>
      <c r="M1" s="3221"/>
      <c r="N1" s="3432"/>
      <c r="O1" s="3432"/>
      <c r="P1" s="3432"/>
      <c r="Q1" s="3432"/>
      <c r="R1" s="3432"/>
    </row>
    <row r="2" spans="1:18">
      <c r="A2" s="3012"/>
      <c r="B2" s="3013"/>
      <c r="C2" s="3013"/>
      <c r="D2" s="3013"/>
      <c r="E2" s="3013"/>
      <c r="F2" s="3014"/>
      <c r="I2" s="3522" t="s">
        <v>2583</v>
      </c>
      <c r="J2" s="3522"/>
      <c r="K2" s="3522"/>
      <c r="L2" s="3522"/>
      <c r="M2" s="3522"/>
      <c r="N2" s="3522"/>
      <c r="O2" s="3522"/>
      <c r="P2" s="3522"/>
      <c r="Q2" s="3522"/>
      <c r="R2" s="3522"/>
    </row>
    <row r="3" spans="1:18">
      <c r="A3" s="3015" t="s">
        <v>2504</v>
      </c>
      <c r="B3" s="3016">
        <f>项目基本情况!D3</f>
        <v>45279</v>
      </c>
      <c r="C3" s="3018"/>
      <c r="D3" s="3018"/>
      <c r="E3" s="3018"/>
      <c r="F3" s="3014"/>
      <c r="I3" s="3433"/>
      <c r="J3" s="3433" t="s">
        <v>2587</v>
      </c>
      <c r="K3" s="3433" t="s">
        <v>2588</v>
      </c>
      <c r="L3" s="3433" t="s">
        <v>2589</v>
      </c>
      <c r="M3" s="3433" t="s">
        <v>2590</v>
      </c>
      <c r="N3" s="3434" t="s">
        <v>2591</v>
      </c>
      <c r="O3" s="3434" t="s">
        <v>2592</v>
      </c>
      <c r="P3" s="3434" t="s">
        <v>2593</v>
      </c>
      <c r="Q3" s="3434" t="s">
        <v>2594</v>
      </c>
      <c r="R3" s="3434" t="s">
        <v>2595</v>
      </c>
    </row>
    <row r="4" spans="1:18">
      <c r="A4" s="3015" t="s">
        <v>2505</v>
      </c>
      <c r="B4" s="3018" t="s">
        <v>2506</v>
      </c>
      <c r="C4" s="3018" t="s">
        <v>2507</v>
      </c>
      <c r="D4" s="3018" t="s">
        <v>2508</v>
      </c>
      <c r="E4" s="3018" t="s">
        <v>2509</v>
      </c>
      <c r="F4" s="3014"/>
      <c r="I4" s="3433" t="s">
        <v>2584</v>
      </c>
      <c r="J4" s="3433">
        <v>80</v>
      </c>
      <c r="K4" s="3433">
        <v>70</v>
      </c>
      <c r="L4" s="3433">
        <v>20</v>
      </c>
      <c r="M4" s="3433">
        <v>30</v>
      </c>
      <c r="N4" s="3018">
        <v>45</v>
      </c>
      <c r="O4" s="3018">
        <v>60</v>
      </c>
      <c r="P4" s="3018">
        <v>50</v>
      </c>
      <c r="Q4" s="3018">
        <v>20</v>
      </c>
      <c r="R4" s="3018">
        <v>375</v>
      </c>
    </row>
    <row r="5" spans="1:18">
      <c r="A5" s="3019">
        <v>40</v>
      </c>
      <c r="B5" s="3016">
        <v>46375</v>
      </c>
      <c r="C5" s="3018">
        <f>ROUNDDOWN(MIN((B5-B3)/365,A5),2)</f>
        <v>3</v>
      </c>
      <c r="D5" s="3020">
        <f>IF(ISERROR(ROUND(POWER(1+E5,A5-C5)*(POWER(1+E5,C5)-1)/(POWER(1+E5,A5)-1),3)),0,ROUND(POWER(1+E5,A5-C5)*(POWER(1+E5,C5)-1)/(POWER(1+E5,A5)-1),4))</f>
        <v>0.14019999999999999</v>
      </c>
      <c r="E5" s="3021">
        <v>0.04</v>
      </c>
      <c r="F5" s="3014"/>
      <c r="I5" s="3433" t="s">
        <v>2585</v>
      </c>
      <c r="J5" s="3433">
        <v>70</v>
      </c>
      <c r="K5" s="3433">
        <v>60</v>
      </c>
      <c r="L5" s="3433">
        <v>15</v>
      </c>
      <c r="M5" s="3433">
        <v>25</v>
      </c>
      <c r="N5" s="3018">
        <v>40</v>
      </c>
      <c r="O5" s="3018">
        <v>50</v>
      </c>
      <c r="P5" s="3018">
        <v>40</v>
      </c>
      <c r="Q5" s="3018">
        <v>15</v>
      </c>
      <c r="R5" s="3018">
        <v>315</v>
      </c>
    </row>
    <row r="6" spans="1:18">
      <c r="A6" s="3019">
        <v>50</v>
      </c>
      <c r="B6" s="3016">
        <v>50028</v>
      </c>
      <c r="C6" s="3018">
        <f>ROUNDDOWN(MIN((B6-B3)/365,A6),2)</f>
        <v>13.01</v>
      </c>
      <c r="D6" s="3020">
        <f>IF(ISERROR(ROUND(POWER(1+E6,A6-C6)*(POWER(1+E6,C6)-1)/(POWER(1+E6,A6)-1),3)),0,ROUND(POWER(1+E6,A6-C6)*(POWER(1+E6,C6)-1)/(POWER(1+E6,A6)-1),4))</f>
        <v>0.46510000000000001</v>
      </c>
      <c r="E6" s="3021">
        <v>0.04</v>
      </c>
      <c r="F6" s="3014"/>
      <c r="I6" s="3433" t="s">
        <v>2586</v>
      </c>
      <c r="J6" s="3433">
        <v>60</v>
      </c>
      <c r="K6" s="3433">
        <v>50</v>
      </c>
      <c r="L6" s="3433">
        <v>10</v>
      </c>
      <c r="M6" s="3433">
        <v>20</v>
      </c>
      <c r="N6" s="3018">
        <v>35</v>
      </c>
      <c r="O6" s="3018">
        <v>40</v>
      </c>
      <c r="P6" s="3018">
        <v>30</v>
      </c>
      <c r="Q6" s="3018">
        <v>10</v>
      </c>
      <c r="R6" s="3018">
        <v>255</v>
      </c>
    </row>
    <row r="7" spans="1:18">
      <c r="A7" s="3019">
        <v>70</v>
      </c>
      <c r="B7" s="3016">
        <v>57333</v>
      </c>
      <c r="C7" s="3018">
        <f>ROUNDDOWN(MIN((B7-B3)/365,A7),2)</f>
        <v>33.020000000000003</v>
      </c>
      <c r="D7" s="3020">
        <f>IF(ISERROR(ROUND(POWER(1+E7,A7-C7)*(POWER(1+E7,C7)-1)/(POWER(1+E7,A7)-1),3)),0,ROUND(POWER(1+E7,A7-C7)*(POWER(1+E7,C7)-1)/(POWER(1+E7,A7)-1),4))</f>
        <v>0.77600000000000002</v>
      </c>
      <c r="E7" s="3021">
        <v>0.04</v>
      </c>
      <c r="F7" s="3014"/>
    </row>
    <row r="8" spans="1:18">
      <c r="A8" s="3012"/>
      <c r="B8" s="3013"/>
      <c r="C8" s="3013"/>
      <c r="D8" s="3013"/>
      <c r="E8" s="3013"/>
      <c r="F8" s="3014"/>
    </row>
    <row r="9" spans="1:18">
      <c r="A9" s="3015" t="s">
        <v>2510</v>
      </c>
      <c r="B9" s="3018"/>
      <c r="C9" s="3018"/>
      <c r="D9" s="3018"/>
      <c r="E9" s="3018"/>
      <c r="F9" s="3022"/>
    </row>
    <row r="10" spans="1:18">
      <c r="A10" s="3015" t="s">
        <v>2511</v>
      </c>
      <c r="B10" s="3018"/>
      <c r="C10" s="3018"/>
      <c r="D10" s="3018" t="s">
        <v>2509</v>
      </c>
      <c r="E10" s="3018"/>
      <c r="F10" s="3022" t="s">
        <v>2508</v>
      </c>
    </row>
    <row r="11" spans="1:18">
      <c r="A11" s="3015" t="s">
        <v>2512</v>
      </c>
      <c r="B11" s="3023">
        <v>70</v>
      </c>
      <c r="C11" s="3018" t="s">
        <v>2513</v>
      </c>
      <c r="D11" s="3024">
        <v>4.4999999999999998E-2</v>
      </c>
      <c r="E11" s="3018" t="s">
        <v>2514</v>
      </c>
      <c r="F11" s="3025">
        <f>ROUND(1-(1/(POWER(1+D11,B11))),4)</f>
        <v>0.95409999999999995</v>
      </c>
    </row>
    <row r="12" spans="1:18">
      <c r="A12" s="3015" t="s">
        <v>2515</v>
      </c>
      <c r="B12" s="3023">
        <v>40</v>
      </c>
      <c r="C12" s="3018" t="s">
        <v>2516</v>
      </c>
      <c r="D12" s="3024">
        <v>4.4999999999999998E-2</v>
      </c>
      <c r="E12" s="3018" t="s">
        <v>2517</v>
      </c>
      <c r="F12" s="3025">
        <f>ROUND(1-(1/(POWER(1+D12,B12))),4)</f>
        <v>0.82809999999999995</v>
      </c>
    </row>
    <row r="13" spans="1:18">
      <c r="A13" s="3015" t="s">
        <v>2518</v>
      </c>
      <c r="B13" s="3018"/>
      <c r="C13" s="3018"/>
      <c r="D13" s="3013"/>
      <c r="E13" s="3013"/>
      <c r="F13" s="3014"/>
    </row>
    <row r="14" spans="1:18">
      <c r="A14" s="3015" t="s">
        <v>2519</v>
      </c>
      <c r="B14" s="3023">
        <v>5000</v>
      </c>
      <c r="C14" s="3017"/>
      <c r="D14" s="3013"/>
      <c r="E14" s="3013"/>
      <c r="F14" s="3014"/>
    </row>
    <row r="15" spans="1:18">
      <c r="A15" s="3015" t="s">
        <v>2520</v>
      </c>
      <c r="B15" s="3018">
        <f>ROUND(B14*F12/F11,2)</f>
        <v>4339.6899999999996</v>
      </c>
      <c r="C15" s="3018">
        <f>ROUND(F12/F11,4)</f>
        <v>0.8679</v>
      </c>
      <c r="D15" s="3013"/>
      <c r="E15" s="3013"/>
      <c r="F15" s="3014"/>
    </row>
    <row r="16" spans="1:18">
      <c r="A16" s="3015" t="s">
        <v>2521</v>
      </c>
      <c r="B16" s="3018"/>
      <c r="C16" s="3018"/>
      <c r="D16" s="3013"/>
      <c r="E16" s="3013"/>
      <c r="F16" s="3014"/>
    </row>
    <row r="17" spans="1:13">
      <c r="A17" s="3015" t="s">
        <v>2520</v>
      </c>
      <c r="B17" s="3024">
        <v>4810</v>
      </c>
      <c r="C17" s="3017"/>
      <c r="D17" s="3013"/>
      <c r="E17" s="3013"/>
      <c r="F17" s="3014"/>
    </row>
    <row r="18" spans="1:13" ht="14.25" thickBot="1">
      <c r="A18" s="3026" t="s">
        <v>2519</v>
      </c>
      <c r="B18" s="3027">
        <f>ROUND(B17*F11/F12,2)</f>
        <v>5541.87</v>
      </c>
      <c r="C18" s="3027">
        <f>ROUND(F11/F12,4)</f>
        <v>1.1521999999999999</v>
      </c>
      <c r="D18" s="3028"/>
      <c r="E18" s="3028"/>
      <c r="F18" s="3029"/>
    </row>
    <row r="19" spans="1:13" ht="14.25" thickBot="1"/>
    <row r="20" spans="1:13" s="3064" customFormat="1" ht="14.25" thickTop="1">
      <c r="A20" s="3061" t="s">
        <v>2522</v>
      </c>
      <c r="B20" s="3062"/>
      <c r="C20" s="3062"/>
      <c r="D20" s="3062"/>
      <c r="E20" s="3062"/>
      <c r="F20" s="3062"/>
      <c r="G20" s="3063"/>
      <c r="I20" s="3065" t="s">
        <v>2567</v>
      </c>
      <c r="J20" s="3065" t="s">
        <v>2572</v>
      </c>
      <c r="K20" s="3065"/>
      <c r="L20" s="3065"/>
      <c r="M20" s="3065"/>
    </row>
    <row r="21" spans="1:13">
      <c r="A21" s="3030"/>
      <c r="B21" s="3031" t="s">
        <v>2523</v>
      </c>
      <c r="C21" s="3031" t="s">
        <v>2524</v>
      </c>
      <c r="D21" s="3031" t="s">
        <v>2525</v>
      </c>
      <c r="E21" s="3031" t="s">
        <v>2526</v>
      </c>
      <c r="F21" s="3031" t="s">
        <v>2527</v>
      </c>
      <c r="G21" s="3032" t="s">
        <v>2528</v>
      </c>
      <c r="I21" s="3053">
        <v>5</v>
      </c>
      <c r="J21" s="3053">
        <v>54.2</v>
      </c>
    </row>
    <row r="22" spans="1:13">
      <c r="A22" s="3030" t="s">
        <v>2529</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2530</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2570</v>
      </c>
      <c r="M23" s="3053" t="s">
        <v>2571</v>
      </c>
    </row>
    <row r="24" spans="1:13">
      <c r="A24" s="3030" t="s">
        <v>2531</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2569</v>
      </c>
      <c r="M24" s="3053">
        <v>10</v>
      </c>
    </row>
    <row r="25" spans="1:13">
      <c r="A25" s="3030" t="s">
        <v>2532</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2573</v>
      </c>
      <c r="M25" s="3053">
        <v>8</v>
      </c>
    </row>
    <row r="26" spans="1:13">
      <c r="A26" s="3035"/>
      <c r="B26" s="3036"/>
      <c r="C26" s="3036"/>
      <c r="D26" s="3036"/>
      <c r="E26" s="3036"/>
      <c r="F26" s="3036"/>
      <c r="G26" s="3037"/>
      <c r="I26" s="3053">
        <v>30</v>
      </c>
      <c r="J26" s="3053">
        <v>90.5</v>
      </c>
      <c r="K26" s="3053">
        <f t="shared" si="2"/>
        <v>4.2000000000000028</v>
      </c>
      <c r="L26" s="3053" t="s">
        <v>2574</v>
      </c>
      <c r="M26" s="3053">
        <v>5</v>
      </c>
    </row>
    <row r="27" spans="1:13">
      <c r="A27" s="3035" t="s">
        <v>2533</v>
      </c>
      <c r="B27" s="3036"/>
      <c r="C27" s="3036"/>
      <c r="D27" s="3036"/>
      <c r="E27" s="3036"/>
      <c r="F27" s="3036"/>
      <c r="G27" s="3037"/>
      <c r="I27" s="3053">
        <v>35</v>
      </c>
      <c r="J27" s="3053">
        <v>93.8</v>
      </c>
      <c r="K27" s="3053">
        <f t="shared" si="2"/>
        <v>3.2999999999999972</v>
      </c>
      <c r="L27" s="3053" t="s">
        <v>2575</v>
      </c>
      <c r="M27" s="3053">
        <v>3</v>
      </c>
    </row>
    <row r="28" spans="1:13">
      <c r="A28" s="3035" t="s">
        <v>2534</v>
      </c>
      <c r="B28" s="3036"/>
      <c r="C28" s="3036"/>
      <c r="D28" s="3036"/>
      <c r="E28" s="3036"/>
      <c r="F28" s="3036"/>
      <c r="G28" s="3037"/>
      <c r="I28" s="3053">
        <v>40</v>
      </c>
      <c r="J28" s="3053">
        <v>96.4</v>
      </c>
      <c r="K28" s="3053">
        <f t="shared" si="2"/>
        <v>2.6000000000000085</v>
      </c>
      <c r="L28" s="3053" t="s">
        <v>2576</v>
      </c>
      <c r="M28" s="3053">
        <v>2</v>
      </c>
    </row>
    <row r="29" spans="1:13">
      <c r="A29" s="3035" t="s">
        <v>2535</v>
      </c>
      <c r="B29" s="3036"/>
      <c r="C29" s="3036"/>
      <c r="D29" s="3036"/>
      <c r="E29" s="3036"/>
      <c r="F29" s="3036"/>
      <c r="G29" s="3037"/>
      <c r="I29" s="3053">
        <v>45</v>
      </c>
      <c r="J29" s="3053">
        <v>98.4</v>
      </c>
      <c r="K29" s="3053">
        <f t="shared" si="2"/>
        <v>2</v>
      </c>
    </row>
    <row r="30" spans="1:13">
      <c r="A30" s="3035" t="s">
        <v>2536</v>
      </c>
      <c r="B30" s="3036"/>
      <c r="C30" s="3036"/>
      <c r="D30" s="3036"/>
      <c r="E30" s="3036"/>
      <c r="F30" s="3036"/>
      <c r="G30" s="3037"/>
      <c r="I30" s="3053">
        <v>50</v>
      </c>
      <c r="J30" s="3053">
        <v>100</v>
      </c>
      <c r="K30" s="3053">
        <f t="shared" si="2"/>
        <v>1.5999999999999943</v>
      </c>
    </row>
    <row r="31" spans="1:13">
      <c r="A31" s="3035" t="s">
        <v>2537</v>
      </c>
      <c r="B31" s="3036"/>
      <c r="C31" s="3036"/>
      <c r="D31" s="3036"/>
      <c r="E31" s="3036"/>
      <c r="F31" s="3036"/>
      <c r="G31" s="3037"/>
      <c r="I31" s="3053" t="s">
        <v>2568</v>
      </c>
    </row>
    <row r="32" spans="1:13">
      <c r="A32" s="3035" t="s">
        <v>2538</v>
      </c>
      <c r="B32" s="3036"/>
      <c r="C32" s="3036"/>
      <c r="D32" s="3036"/>
      <c r="E32" s="3036"/>
      <c r="F32" s="3036"/>
      <c r="G32" s="3037"/>
    </row>
    <row r="33" spans="1:13">
      <c r="A33" s="3035" t="s">
        <v>2539</v>
      </c>
      <c r="B33" s="3036"/>
      <c r="C33" s="3036"/>
      <c r="D33" s="3036"/>
      <c r="E33" s="3036"/>
      <c r="F33" s="3036"/>
      <c r="G33" s="3037"/>
      <c r="I33" s="3053" t="s">
        <v>2567</v>
      </c>
      <c r="J33" s="3053" t="s">
        <v>2577</v>
      </c>
    </row>
    <row r="34" spans="1:13">
      <c r="A34" s="3035" t="s">
        <v>2540</v>
      </c>
      <c r="B34" s="3036"/>
      <c r="C34" s="3036"/>
      <c r="D34" s="3036"/>
      <c r="E34" s="3036"/>
      <c r="F34" s="3036"/>
      <c r="G34" s="3037"/>
      <c r="I34" s="3053">
        <v>5</v>
      </c>
      <c r="J34" s="3053">
        <v>55.1</v>
      </c>
    </row>
    <row r="35" spans="1:13">
      <c r="A35" s="3035" t="s">
        <v>2541</v>
      </c>
      <c r="B35" s="3036"/>
      <c r="C35" s="3036"/>
      <c r="D35" s="3036"/>
      <c r="E35" s="3036"/>
      <c r="F35" s="3036"/>
      <c r="G35" s="3037"/>
      <c r="I35" s="3053">
        <v>10</v>
      </c>
      <c r="J35" s="3053">
        <v>67</v>
      </c>
      <c r="K35" s="3053">
        <f>J35-J34</f>
        <v>11.899999999999999</v>
      </c>
    </row>
    <row r="36" spans="1:13">
      <c r="A36" s="3035" t="s">
        <v>2542</v>
      </c>
      <c r="B36" s="3036"/>
      <c r="C36" s="3036"/>
      <c r="D36" s="3036"/>
      <c r="E36" s="3036"/>
      <c r="F36" s="3036"/>
      <c r="G36" s="3037"/>
      <c r="I36" s="3053">
        <v>15</v>
      </c>
      <c r="J36" s="3053">
        <v>76.3</v>
      </c>
      <c r="K36" s="3053">
        <f t="shared" ref="K36:K41" si="3">J36-J35</f>
        <v>9.2999999999999972</v>
      </c>
      <c r="L36" s="3053" t="s">
        <v>2570</v>
      </c>
      <c r="M36" s="3053" t="s">
        <v>2571</v>
      </c>
    </row>
    <row r="37" spans="1:13">
      <c r="A37" s="3035" t="s">
        <v>2543</v>
      </c>
      <c r="B37" s="3036"/>
      <c r="C37" s="3036"/>
      <c r="D37" s="3036"/>
      <c r="E37" s="3036"/>
      <c r="F37" s="3036"/>
      <c r="G37" s="3037"/>
      <c r="I37" s="3053">
        <v>20</v>
      </c>
      <c r="J37" s="3053">
        <v>83.6</v>
      </c>
      <c r="K37" s="3053">
        <f t="shared" si="3"/>
        <v>7.2999999999999972</v>
      </c>
      <c r="L37" s="3053" t="s">
        <v>2569</v>
      </c>
      <c r="M37" s="3053">
        <v>10</v>
      </c>
    </row>
    <row r="38" spans="1:13">
      <c r="A38" s="3035" t="s">
        <v>2544</v>
      </c>
      <c r="B38" s="3036"/>
      <c r="C38" s="3036"/>
      <c r="D38" s="3036"/>
      <c r="E38" s="3036"/>
      <c r="F38" s="3036"/>
      <c r="G38" s="3037"/>
      <c r="I38" s="3053">
        <v>25</v>
      </c>
      <c r="J38" s="3053">
        <v>89.3</v>
      </c>
      <c r="K38" s="3053">
        <f t="shared" si="3"/>
        <v>5.7000000000000028</v>
      </c>
      <c r="L38" s="3053" t="s">
        <v>2573</v>
      </c>
      <c r="M38" s="3053">
        <v>8</v>
      </c>
    </row>
    <row r="39" spans="1:13">
      <c r="A39" s="3035"/>
      <c r="B39" s="3036"/>
      <c r="C39" s="3036"/>
      <c r="D39" s="3036"/>
      <c r="E39" s="3036"/>
      <c r="F39" s="3036"/>
      <c r="G39" s="3037"/>
      <c r="I39" s="3053">
        <v>30</v>
      </c>
      <c r="J39" s="3053">
        <v>93.8</v>
      </c>
      <c r="K39" s="3053">
        <f t="shared" si="3"/>
        <v>4.5</v>
      </c>
      <c r="L39" s="3053" t="s">
        <v>2574</v>
      </c>
      <c r="M39" s="3053">
        <v>6</v>
      </c>
    </row>
    <row r="40" spans="1:13">
      <c r="A40" s="3038" t="s">
        <v>2545</v>
      </c>
      <c r="B40" s="3039"/>
      <c r="C40" s="3039"/>
      <c r="D40" s="3039"/>
      <c r="E40" s="3039"/>
      <c r="F40" s="3039"/>
      <c r="G40" s="3040"/>
      <c r="I40" s="3053">
        <v>35</v>
      </c>
      <c r="J40" s="3053">
        <v>97.2</v>
      </c>
      <c r="K40" s="3053">
        <f t="shared" si="3"/>
        <v>3.4000000000000057</v>
      </c>
      <c r="L40" s="3053" t="s">
        <v>2575</v>
      </c>
      <c r="M40" s="3053">
        <v>3</v>
      </c>
    </row>
    <row r="41" spans="1:13">
      <c r="A41" s="3041" t="s">
        <v>2546</v>
      </c>
      <c r="B41" s="3042" t="s">
        <v>2547</v>
      </c>
      <c r="C41" s="3043" t="s">
        <v>2548</v>
      </c>
      <c r="D41" s="3043" t="s">
        <v>2549</v>
      </c>
      <c r="E41" s="3044"/>
      <c r="F41" s="3045"/>
      <c r="G41" s="3046"/>
      <c r="I41" s="3053">
        <v>40</v>
      </c>
      <c r="J41" s="3053">
        <v>100</v>
      </c>
      <c r="K41" s="3053">
        <f t="shared" si="3"/>
        <v>2.7999999999999972</v>
      </c>
    </row>
    <row r="42" spans="1:13">
      <c r="A42" s="3041" t="s">
        <v>2550</v>
      </c>
      <c r="B42" s="3042" t="s">
        <v>2551</v>
      </c>
      <c r="C42" s="3043" t="s">
        <v>2552</v>
      </c>
      <c r="D42" s="3047" t="s">
        <v>2553</v>
      </c>
      <c r="E42" s="3039" t="s">
        <v>2554</v>
      </c>
      <c r="F42" s="3039"/>
      <c r="G42" s="3040"/>
    </row>
    <row r="43" spans="1:13">
      <c r="A43" s="3041" t="s">
        <v>2555</v>
      </c>
      <c r="B43" s="3042" t="s">
        <v>2556</v>
      </c>
      <c r="C43" s="3043" t="s">
        <v>2557</v>
      </c>
      <c r="D43" s="3043" t="s">
        <v>2558</v>
      </c>
      <c r="E43" s="3044" t="s">
        <v>2559</v>
      </c>
      <c r="F43" s="3045"/>
      <c r="G43" s="3046"/>
      <c r="I43" s="3053" t="s">
        <v>2567</v>
      </c>
      <c r="J43" s="3053" t="s">
        <v>2578</v>
      </c>
    </row>
    <row r="44" spans="1:13">
      <c r="A44" s="3041" t="s">
        <v>2560</v>
      </c>
      <c r="B44" s="3042" t="s">
        <v>2561</v>
      </c>
      <c r="C44" s="3043" t="s">
        <v>2562</v>
      </c>
      <c r="D44" s="3047">
        <v>0.5</v>
      </c>
      <c r="E44" s="3044" t="s">
        <v>2563</v>
      </c>
      <c r="F44" s="3045"/>
      <c r="G44" s="3046"/>
      <c r="I44" s="3053">
        <v>30</v>
      </c>
      <c r="J44" s="3053">
        <v>81.7</v>
      </c>
    </row>
    <row r="45" spans="1:13" ht="14.25" thickBot="1">
      <c r="A45" s="3048" t="s">
        <v>2564</v>
      </c>
      <c r="B45" s="3049" t="s">
        <v>2551</v>
      </c>
      <c r="C45" s="3050" t="s">
        <v>2551</v>
      </c>
      <c r="D45" s="3050" t="s">
        <v>2565</v>
      </c>
      <c r="E45" s="3051" t="s">
        <v>2566</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9" style="1739"/>
    <col min="31" max="16384" width="9" style="1741"/>
  </cols>
  <sheetData>
    <row r="1" spans="1:30" ht="13.5" thickBot="1">
      <c r="A1" s="2362" t="s">
        <v>2167</v>
      </c>
      <c r="B1" s="3523" t="str">
        <f>IF(B10="北京市","北京市",C10)&amp;F10&amp;IF(结果表!G1="在建","出让国有建设用地使用权及在建建筑物",IF(结果表!G1="土地","出让国有建设用地使用权",))&amp;B9&amp;"预评估"</f>
        <v>北京市丰台区青塔西路58号院22号楼3层301-306/203-205房地产抵押价值预评估</v>
      </c>
      <c r="C1" s="3524"/>
      <c r="D1" s="3524"/>
      <c r="E1" s="3524"/>
      <c r="F1" s="3524"/>
      <c r="G1" s="3524"/>
      <c r="H1" s="3524"/>
      <c r="I1" s="3525"/>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北京市丰台区青塔西路58号院22号楼3层301-306/203-205房地产抵押价值</v>
      </c>
      <c r="T1" s="1741"/>
      <c r="U1" s="1741"/>
      <c r="V1" s="1741"/>
      <c r="W1" s="1741"/>
      <c r="X1" s="1741"/>
      <c r="Y1" s="1741"/>
      <c r="Z1" s="1741"/>
      <c r="AA1" s="1741"/>
      <c r="AB1" s="1741"/>
    </row>
    <row r="2" spans="1:30">
      <c r="A2" s="2363" t="s">
        <v>2168</v>
      </c>
      <c r="B2" s="2367"/>
      <c r="C2" s="2368"/>
      <c r="D2" s="2665"/>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北京市丰台区青塔西路58号院22号楼3层301-306/203-205房地产</v>
      </c>
      <c r="T2" s="1741"/>
      <c r="U2" s="1741"/>
      <c r="V2" s="1741"/>
      <c r="W2" s="1741"/>
      <c r="X2" s="1741"/>
      <c r="Y2" s="1741"/>
      <c r="Z2" s="1741"/>
      <c r="AA2" s="1741"/>
      <c r="AB2" s="1741"/>
    </row>
    <row r="3" spans="1:30">
      <c r="A3" s="302" t="s">
        <v>2169</v>
      </c>
      <c r="B3" s="2369">
        <v>45279</v>
      </c>
      <c r="C3" s="2370" t="s">
        <v>2170</v>
      </c>
      <c r="D3" s="2369">
        <f>B3</f>
        <v>45279</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2171</v>
      </c>
      <c r="B4" s="2371" t="s">
        <v>3381</v>
      </c>
      <c r="C4" s="2372">
        <f ca="1">SUMIF(注册房地产估价师,B4,估价师及机构信息!B3:B24)</f>
        <v>1120070131</v>
      </c>
      <c r="D4" s="2371" t="s">
        <v>3382</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3380</v>
      </c>
      <c r="C8" s="2386"/>
      <c r="D8" s="3526" t="s">
        <v>2176</v>
      </c>
      <c r="E8" s="2387" t="s">
        <v>3383</v>
      </c>
      <c r="F8" s="2388"/>
      <c r="G8" s="2659"/>
      <c r="H8" s="2659"/>
      <c r="I8" s="2659"/>
      <c r="J8" s="2435"/>
      <c r="K8" s="2610"/>
      <c r="L8" s="2609"/>
      <c r="M8" s="2609"/>
      <c r="N8" s="2435"/>
      <c r="O8" s="2446"/>
      <c r="P8" s="2435"/>
      <c r="Q8" s="2435"/>
      <c r="R8" s="2435"/>
    </row>
    <row r="9" spans="1:30" ht="13.5" thickBot="1">
      <c r="A9" s="2389" t="s">
        <v>2177</v>
      </c>
      <c r="B9" s="2390" t="s">
        <v>3383</v>
      </c>
      <c r="C9" s="2391"/>
      <c r="D9" s="3527"/>
      <c r="E9" s="2390"/>
      <c r="F9" s="2392"/>
      <c r="G9" s="2661"/>
      <c r="H9" s="2661"/>
      <c r="I9" s="2661"/>
      <c r="J9" s="2435"/>
      <c r="K9" s="2612"/>
      <c r="L9" s="2609"/>
      <c r="M9" s="2609"/>
      <c r="N9" s="2435"/>
      <c r="O9" s="2446"/>
      <c r="P9" s="2435"/>
      <c r="Q9" s="2435"/>
      <c r="R9" s="2435"/>
    </row>
    <row r="10" spans="1:30" ht="13.5" thickTop="1">
      <c r="A10" s="2393" t="s">
        <v>2178</v>
      </c>
      <c r="B10" s="2394" t="s">
        <v>3384</v>
      </c>
      <c r="C10" s="2395"/>
      <c r="D10" s="2378"/>
      <c r="E10" s="2396" t="s">
        <v>2179</v>
      </c>
      <c r="F10" s="3466" t="s">
        <v>3465</v>
      </c>
      <c r="G10" s="2662"/>
      <c r="H10" s="2663"/>
      <c r="I10" s="2664"/>
      <c r="J10" s="2435"/>
      <c r="K10" s="2612"/>
      <c r="L10" s="2609"/>
      <c r="M10" s="2609"/>
      <c r="N10" s="2435"/>
      <c r="O10" s="2446"/>
      <c r="P10" s="2435"/>
      <c r="Q10" s="2435"/>
      <c r="R10" s="2435"/>
    </row>
    <row r="11" spans="1:30">
      <c r="A11" s="2397" t="s">
        <v>2180</v>
      </c>
      <c r="B11" s="2398" t="s">
        <v>3464</v>
      </c>
      <c r="C11" s="2399"/>
      <c r="D11" s="2400"/>
      <c r="E11" s="2366"/>
      <c r="F11" s="2366"/>
      <c r="G11" s="2366"/>
      <c r="H11" s="2366"/>
      <c r="I11" s="2366"/>
      <c r="J11" s="3056"/>
      <c r="K11" s="3055"/>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2579</v>
      </c>
      <c r="J12" s="3057"/>
      <c r="K12" s="2609"/>
      <c r="L12" s="2609"/>
      <c r="M12" s="2435"/>
      <c r="N12" s="2446"/>
      <c r="O12" s="2435"/>
      <c r="P12" s="2435"/>
      <c r="Q12" s="2435"/>
      <c r="AD12" s="1741"/>
    </row>
    <row r="13" spans="1:30" ht="14.25">
      <c r="A13" s="3418" t="s">
        <v>3334</v>
      </c>
      <c r="B13" s="2403" t="s">
        <v>2189</v>
      </c>
      <c r="C13" s="852"/>
      <c r="D13" s="3467">
        <v>52839</v>
      </c>
      <c r="E13" s="852">
        <v>56491</v>
      </c>
      <c r="F13" s="852">
        <v>56491</v>
      </c>
      <c r="G13" s="852">
        <v>56491</v>
      </c>
      <c r="H13" s="852"/>
      <c r="I13" s="852"/>
      <c r="J13" s="3057"/>
      <c r="K13" s="2609" t="s">
        <v>3443</v>
      </c>
      <c r="L13" s="2609"/>
      <c r="M13" s="2435"/>
      <c r="N13" s="2446"/>
      <c r="O13" s="2435"/>
      <c r="P13" s="2435"/>
      <c r="Q13" s="2435"/>
      <c r="AD13" s="1741"/>
    </row>
    <row r="14" spans="1:30">
      <c r="A14" s="1077"/>
      <c r="B14" s="2403" t="s">
        <v>2190</v>
      </c>
      <c r="C14" s="2404"/>
      <c r="D14" s="2404">
        <v>40</v>
      </c>
      <c r="E14" s="2404">
        <v>50</v>
      </c>
      <c r="F14" s="2404">
        <v>50</v>
      </c>
      <c r="G14" s="2404">
        <v>50</v>
      </c>
      <c r="H14" s="2404"/>
      <c r="I14" s="2404"/>
      <c r="J14" s="3058"/>
      <c r="K14" s="2609"/>
      <c r="L14" s="2609"/>
      <c r="M14" s="2435"/>
      <c r="N14" s="2446"/>
      <c r="O14" s="2435"/>
      <c r="P14" s="2435"/>
      <c r="Q14" s="2435"/>
      <c r="AD14" s="1741"/>
    </row>
    <row r="15" spans="1:30">
      <c r="A15" s="320"/>
      <c r="B15" s="2405" t="s">
        <v>2191</v>
      </c>
      <c r="C15" s="2406" t="str">
        <f>IF(A13="出让",IF(C13="","",ROUNDDOWN(MIN((C13-$D$3)/365,C14),2)),C14)</f>
        <v/>
      </c>
      <c r="D15" s="2406">
        <f>IF(A13="出让",IF(D13="","",ROUNDDOWN(MIN((D13-$D$3)/365,D14),2)),D14)</f>
        <v>20.71</v>
      </c>
      <c r="E15" s="2406">
        <f>IF(A13="出让",IF(E13="","",ROUNDDOWN(MIN((E13-$D$3)/365,E14),2)),E14)</f>
        <v>30.71</v>
      </c>
      <c r="F15" s="2406">
        <f>IF(A13="出让",IF(F13="","",ROUNDDOWN(MIN((F13-$D$3)/365,F14),2)),F14)</f>
        <v>30.71</v>
      </c>
      <c r="G15" s="2406">
        <f>IF(A13="出让",IF(G13="","",ROUNDDOWN(MIN((G13-$D$3)/365,G14),2)),G14)</f>
        <v>30.71</v>
      </c>
      <c r="H15" s="2406" t="str">
        <f>IF(A13="出让",IF(H13="","",ROUNDDOWN(MIN((H13-$D$3)/365,H14),2)),H14)</f>
        <v/>
      </c>
      <c r="I15" s="2406" t="str">
        <f>IF(A13="出让",IF(I13="","",ROUNDDOWN(MIN((I13-$D$3)/365,I14),2)),I14)</f>
        <v/>
      </c>
      <c r="J15" s="3059"/>
      <c r="K15" s="2447"/>
      <c r="L15" s="2447"/>
      <c r="M15" s="2505"/>
      <c r="N15" s="2447"/>
      <c r="O15" s="2505"/>
      <c r="P15" s="2435"/>
      <c r="Q15" s="2435"/>
      <c r="AD15" s="1741"/>
    </row>
    <row r="16" spans="1:30">
      <c r="A16" s="2396" t="s">
        <v>2192</v>
      </c>
      <c r="B16" s="3533"/>
      <c r="C16" s="3534"/>
      <c r="D16" s="3535"/>
      <c r="E16" s="2409" t="s">
        <v>2193</v>
      </c>
      <c r="F16" s="3536"/>
      <c r="G16" s="3537"/>
      <c r="H16" s="3537"/>
      <c r="I16" s="3538"/>
      <c r="J16" s="2435"/>
      <c r="K16" s="2613"/>
      <c r="L16" s="2447"/>
      <c r="M16" s="2447"/>
      <c r="N16" s="2505"/>
      <c r="O16" s="2447"/>
      <c r="P16" s="2505"/>
      <c r="Q16" s="2435"/>
      <c r="R16" s="2435"/>
    </row>
    <row r="17" spans="1:28">
      <c r="A17" s="313" t="s">
        <v>2194</v>
      </c>
      <c r="B17" s="302" t="s">
        <v>2195</v>
      </c>
      <c r="C17" s="8">
        <f>'数据-汇总表'!E3</f>
        <v>67567.27</v>
      </c>
      <c r="D17" s="2318" t="s">
        <v>2196</v>
      </c>
      <c r="E17" s="3539" t="s">
        <v>2197</v>
      </c>
      <c r="F17" s="3540"/>
      <c r="G17" s="3540"/>
      <c r="H17" s="3540"/>
      <c r="I17" s="3541"/>
      <c r="J17" s="2435"/>
      <c r="K17" s="2614"/>
      <c r="L17" s="2447"/>
      <c r="M17" s="2447"/>
      <c r="N17" s="2505"/>
      <c r="O17" s="2447"/>
      <c r="P17" s="2505"/>
      <c r="Q17" s="2435"/>
      <c r="R17" s="2435"/>
      <c r="S17" s="2435"/>
      <c r="T17" s="2435"/>
      <c r="U17" s="2435"/>
      <c r="V17" s="2435"/>
    </row>
    <row r="18" spans="1:28" ht="24.75" thickBot="1">
      <c r="A18" s="2410" t="s">
        <v>2198</v>
      </c>
      <c r="B18" s="1086" t="s">
        <v>2199</v>
      </c>
      <c r="C18" s="2411">
        <f>'数据-汇总表'!D3</f>
        <v>9678.19</v>
      </c>
      <c r="D18" s="1088" t="s">
        <v>2200</v>
      </c>
      <c r="E18" s="3542" t="s">
        <v>2201</v>
      </c>
      <c r="F18" s="3543"/>
      <c r="G18" s="3543"/>
      <c r="H18" s="3543"/>
      <c r="I18" s="3544"/>
      <c r="J18" s="2435"/>
      <c r="K18" s="2614"/>
      <c r="L18" s="2447"/>
      <c r="M18" s="2447"/>
      <c r="N18" s="2505"/>
      <c r="O18" s="2447"/>
      <c r="P18" s="2505"/>
      <c r="Q18" s="2435"/>
      <c r="R18" s="2435"/>
      <c r="S18" s="2435"/>
      <c r="T18" s="2435"/>
      <c r="U18" s="2435"/>
      <c r="V18" s="2435"/>
    </row>
    <row r="19" spans="1:28" ht="37.5" thickTop="1" thickBot="1">
      <c r="A19" s="327" t="s">
        <v>1055</v>
      </c>
      <c r="B19" s="307" t="s">
        <v>2202</v>
      </c>
      <c r="C19" s="1559"/>
      <c r="D19" s="1560" t="s">
        <v>2203</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2204</v>
      </c>
      <c r="B20" s="3529" t="s">
        <v>2205</v>
      </c>
      <c r="C20" s="3530"/>
      <c r="D20" s="3531" t="s">
        <v>2206</v>
      </c>
      <c r="E20" s="3532"/>
      <c r="F20" s="2643" t="s">
        <v>1056</v>
      </c>
      <c r="G20" s="2660"/>
      <c r="H20" s="2660"/>
      <c r="I20" s="2660"/>
      <c r="J20" s="2435"/>
      <c r="K20" s="3528"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2208</v>
      </c>
      <c r="C21" s="2630" t="s">
        <v>1057</v>
      </c>
      <c r="D21" s="1564" t="s">
        <v>2209</v>
      </c>
      <c r="E21" s="2631" t="s">
        <v>1057</v>
      </c>
      <c r="F21" s="2644"/>
      <c r="G21" s="2660"/>
      <c r="H21" s="2660"/>
      <c r="I21" s="2660"/>
      <c r="J21" s="2435"/>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2210</v>
      </c>
      <c r="C22" s="2630" t="s">
        <v>1058</v>
      </c>
      <c r="D22" s="2659"/>
      <c r="E22" s="2659"/>
      <c r="F22" s="2659"/>
      <c r="G22" s="2660"/>
      <c r="H22" s="2660"/>
      <c r="I22" s="2660"/>
      <c r="J22" s="2435"/>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6"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6"/>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6"/>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7"/>
      <c r="B30" s="302" t="s">
        <v>2217</v>
      </c>
      <c r="C30" s="3548"/>
      <c r="D30" s="3549"/>
      <c r="E30" s="2660"/>
      <c r="F30" s="2660"/>
      <c r="G30" s="2660"/>
      <c r="H30" s="2660"/>
      <c r="I30" s="2660"/>
      <c r="J30" s="2435"/>
      <c r="K30" s="2612"/>
      <c r="L30" s="2609"/>
      <c r="M30" s="2609"/>
      <c r="N30" s="2435"/>
      <c r="O30" s="2446"/>
      <c r="P30" s="2435"/>
      <c r="Q30" s="2435"/>
      <c r="R30" s="2435"/>
      <c r="S30" s="2435"/>
      <c r="T30" s="2435"/>
      <c r="U30" s="2435"/>
      <c r="V30" s="2435"/>
    </row>
    <row r="31" spans="1:28">
      <c r="A31" s="3550" t="s">
        <v>2218</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1"/>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1"/>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2"/>
      <c r="C34" s="2022"/>
      <c r="D34" s="2022"/>
      <c r="E34" s="2022"/>
      <c r="F34" s="2022"/>
      <c r="G34" s="2022"/>
      <c r="H34" s="2022"/>
      <c r="I34" s="2660"/>
      <c r="J34" s="2435"/>
      <c r="K34" s="2423">
        <f>COUNTIF(B34:H34,"——")</f>
        <v>0</v>
      </c>
      <c r="L34" s="323" t="s">
        <v>2220</v>
      </c>
      <c r="M34" s="323" t="s">
        <v>2221</v>
      </c>
      <c r="N34" s="323" t="s">
        <v>2222</v>
      </c>
      <c r="O34" s="323" t="s">
        <v>2223</v>
      </c>
      <c r="P34" s="323" t="s">
        <v>2224</v>
      </c>
      <c r="Q34" s="323" t="s">
        <v>2225</v>
      </c>
      <c r="R34" s="323" t="s">
        <v>2226</v>
      </c>
      <c r="S34" s="3545" t="s">
        <v>2227</v>
      </c>
      <c r="T34" s="2424" t="str">
        <f>NUMBERSTRING(7-K34,1)&amp;"通"</f>
        <v>七通</v>
      </c>
      <c r="U34" s="2435"/>
      <c r="V34" s="2435"/>
    </row>
    <row r="35" spans="1:30">
      <c r="A35" s="2425"/>
      <c r="B35" s="3552" t="s">
        <v>2228</v>
      </c>
      <c r="C35" s="3552"/>
      <c r="D35" s="3552"/>
      <c r="E35" s="3552"/>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5"/>
      <c r="V35" s="2435"/>
    </row>
    <row r="36" spans="1:30">
      <c r="A36" s="2426"/>
      <c r="B36" s="664" t="s">
        <v>2184</v>
      </c>
      <c r="C36" s="664" t="s">
        <v>2185</v>
      </c>
      <c r="D36" s="664" t="s">
        <v>2183</v>
      </c>
      <c r="E36" s="664" t="s">
        <v>2188</v>
      </c>
      <c r="F36" s="3060"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144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137</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2232</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J23" sqref="AJ2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9678.19</v>
      </c>
      <c r="B3" s="11">
        <f>IF(C3="否",G5-AT5,G5)</f>
        <v>67567.27</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67567.27</v>
      </c>
      <c r="H5" s="13">
        <f t="shared" ref="H5:AT5" si="0">SUM(H13:H656)</f>
        <v>65998.39</v>
      </c>
      <c r="I5" s="13">
        <f t="shared" si="0"/>
        <v>3129.11</v>
      </c>
      <c r="J5" s="13">
        <f t="shared" si="0"/>
        <v>0</v>
      </c>
      <c r="K5" s="13">
        <f t="shared" si="0"/>
        <v>46505.14</v>
      </c>
      <c r="L5" s="13">
        <f t="shared" si="0"/>
        <v>0</v>
      </c>
      <c r="M5" s="13">
        <f t="shared" si="0"/>
        <v>3312.19</v>
      </c>
      <c r="N5" s="13">
        <f t="shared" si="0"/>
        <v>0</v>
      </c>
      <c r="O5" s="13">
        <f t="shared" si="0"/>
        <v>12485.76</v>
      </c>
      <c r="P5" s="13">
        <f t="shared" si="0"/>
        <v>0</v>
      </c>
      <c r="Q5" s="13">
        <f t="shared" si="0"/>
        <v>566.19000000000005</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1568.88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1568.88</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67567.27</v>
      </c>
      <c r="BA5" s="15">
        <f t="shared" si="1"/>
        <v>65998.39</v>
      </c>
      <c r="BB5" s="15">
        <f t="shared" si="1"/>
        <v>3129.11</v>
      </c>
      <c r="BC5" s="15">
        <f t="shared" si="1"/>
        <v>46505.14</v>
      </c>
      <c r="BD5" s="15">
        <f t="shared" si="1"/>
        <v>3312.19</v>
      </c>
      <c r="BE5" s="15">
        <f t="shared" si="1"/>
        <v>12485.76</v>
      </c>
      <c r="BF5" s="15">
        <f t="shared" si="1"/>
        <v>566.19000000000005</v>
      </c>
      <c r="BG5" s="15">
        <f t="shared" si="1"/>
        <v>0</v>
      </c>
      <c r="BH5" s="15">
        <f t="shared" si="1"/>
        <v>0</v>
      </c>
      <c r="BI5" s="15">
        <f t="shared" si="1"/>
        <v>0</v>
      </c>
      <c r="BJ5" s="15">
        <f t="shared" si="1"/>
        <v>0</v>
      </c>
      <c r="BK5" s="15">
        <f t="shared" si="1"/>
        <v>0</v>
      </c>
      <c r="BL5" s="15">
        <f t="shared" si="1"/>
        <v>1568.88</v>
      </c>
      <c r="BM5" s="15">
        <f t="shared" si="1"/>
        <v>0</v>
      </c>
      <c r="BN5" s="15">
        <f t="shared" si="1"/>
        <v>0</v>
      </c>
      <c r="BO5" s="15">
        <f t="shared" si="1"/>
        <v>0</v>
      </c>
      <c r="BP5" s="15">
        <f t="shared" si="1"/>
        <v>0</v>
      </c>
      <c r="BQ5" s="15">
        <f t="shared" si="1"/>
        <v>0</v>
      </c>
      <c r="BR5" s="15">
        <f t="shared" si="1"/>
        <v>1568.88</v>
      </c>
      <c r="BS5" s="15">
        <f t="shared" si="1"/>
        <v>0</v>
      </c>
      <c r="BT5" s="16">
        <f t="shared" si="1"/>
        <v>0</v>
      </c>
    </row>
    <row r="6" spans="1:72" s="1585" customFormat="1" ht="12.75">
      <c r="A6" s="12" t="s">
        <v>1072</v>
      </c>
      <c r="B6" s="1582"/>
      <c r="C6" s="1582"/>
      <c r="D6" s="1583"/>
      <c r="E6" s="13">
        <f>H6+AC6+AT6</f>
        <v>9678.19</v>
      </c>
      <c r="F6" s="13" t="s">
        <v>0</v>
      </c>
      <c r="G6" s="13" t="s">
        <v>1</v>
      </c>
      <c r="H6" s="17">
        <f>SUMIF(I$12:AB$12,"总值",I6:AB6)</f>
        <v>9453.4700000000012</v>
      </c>
      <c r="I6" s="13">
        <f t="shared" ref="I6:AB6" si="2">ROUND($A$3*I5/$B$3,2)</f>
        <v>448.21</v>
      </c>
      <c r="J6" s="13">
        <f t="shared" si="2"/>
        <v>0</v>
      </c>
      <c r="K6" s="13">
        <f t="shared" si="2"/>
        <v>6661.3</v>
      </c>
      <c r="L6" s="13">
        <f t="shared" si="2"/>
        <v>0</v>
      </c>
      <c r="M6" s="13">
        <f t="shared" si="2"/>
        <v>474.43</v>
      </c>
      <c r="N6" s="13">
        <f t="shared" si="2"/>
        <v>0</v>
      </c>
      <c r="O6" s="13">
        <f t="shared" si="2"/>
        <v>1788.43</v>
      </c>
      <c r="P6" s="13">
        <f t="shared" si="2"/>
        <v>0</v>
      </c>
      <c r="Q6" s="13">
        <f t="shared" si="2"/>
        <v>81.099999999999994</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224.72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224.72</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9678.19</v>
      </c>
      <c r="AZ6" s="13" t="s">
        <v>2</v>
      </c>
      <c r="BA6" s="13">
        <f>ROUND($AY$6*BA5/$AZ$5,2)</f>
        <v>9453.4699999999993</v>
      </c>
      <c r="BB6" s="13">
        <f>ROUND($AY$6*BB5/$AZ$5,2)</f>
        <v>448.21</v>
      </c>
      <c r="BC6" s="13">
        <f t="shared" ref="BC6:BH6" si="4">ROUND($AY$6*BC5/$AZ$5,2)</f>
        <v>6661.3</v>
      </c>
      <c r="BD6" s="13">
        <f t="shared" si="4"/>
        <v>474.43</v>
      </c>
      <c r="BE6" s="13">
        <f t="shared" si="4"/>
        <v>1788.43</v>
      </c>
      <c r="BF6" s="13">
        <f t="shared" si="4"/>
        <v>81.099999999999994</v>
      </c>
      <c r="BG6" s="13">
        <f t="shared" si="4"/>
        <v>0</v>
      </c>
      <c r="BH6" s="13">
        <f t="shared" si="4"/>
        <v>0</v>
      </c>
      <c r="BI6" s="13">
        <f t="shared" ref="BI6:BT6" si="5">ROUND($AY$6*BI5/$AZ$5,2)</f>
        <v>0</v>
      </c>
      <c r="BJ6" s="13">
        <f t="shared" si="5"/>
        <v>0</v>
      </c>
      <c r="BK6" s="13">
        <f t="shared" si="5"/>
        <v>0</v>
      </c>
      <c r="BL6" s="13">
        <f t="shared" si="5"/>
        <v>224.72</v>
      </c>
      <c r="BM6" s="13">
        <f t="shared" si="5"/>
        <v>0</v>
      </c>
      <c r="BN6" s="13">
        <f t="shared" si="5"/>
        <v>0</v>
      </c>
      <c r="BO6" s="13">
        <f t="shared" si="5"/>
        <v>0</v>
      </c>
      <c r="BP6" s="13">
        <f t="shared" si="5"/>
        <v>0</v>
      </c>
      <c r="BQ6" s="13">
        <f t="shared" si="5"/>
        <v>0</v>
      </c>
      <c r="BR6" s="13">
        <f t="shared" si="5"/>
        <v>224.72</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3386</v>
      </c>
      <c r="J9" s="805"/>
      <c r="K9" s="1599" t="s">
        <v>3386</v>
      </c>
      <c r="L9" s="805"/>
      <c r="M9" s="1599" t="s">
        <v>3467</v>
      </c>
      <c r="N9" s="805"/>
      <c r="O9" s="1599" t="s">
        <v>3467</v>
      </c>
      <c r="P9" s="805"/>
      <c r="Q9" s="1599" t="s">
        <v>3467</v>
      </c>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673</v>
      </c>
      <c r="J10" s="805"/>
      <c r="K10" s="1605" t="s">
        <v>21</v>
      </c>
      <c r="L10" s="805"/>
      <c r="M10" s="1599" t="s">
        <v>673</v>
      </c>
      <c r="N10" s="805"/>
      <c r="O10" s="1605" t="s">
        <v>3335</v>
      </c>
      <c r="P10" s="805"/>
      <c r="Q10" s="1605" t="s">
        <v>3336</v>
      </c>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t="str">
        <f>K9</f>
        <v>地上</v>
      </c>
      <c r="BD10" s="26" t="str">
        <f>M9</f>
        <v>地下</v>
      </c>
      <c r="BE10" s="26" t="str">
        <f>O9</f>
        <v>地下</v>
      </c>
      <c r="BF10" s="26" t="str">
        <f>Q9</f>
        <v>地下</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办公</v>
      </c>
      <c r="BD11" s="1595" t="str">
        <f>M10</f>
        <v>商业</v>
      </c>
      <c r="BE11" s="1595" t="str">
        <f>O10</f>
        <v>车库</v>
      </c>
      <c r="BF11" s="1595" t="str">
        <f>Q10</f>
        <v>仓储</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3448"/>
      <c r="D13" s="1621" t="s">
        <v>3385</v>
      </c>
      <c r="E13" s="13">
        <f>IF($C$3="是",ROUND($A$3*G13/$B$3,2),ROUND($A$3*(G13-AT13)/$B$3,2))</f>
        <v>9678.19</v>
      </c>
      <c r="F13" s="29"/>
      <c r="G13" s="30">
        <f>H13+AC13+AT13</f>
        <v>67567.27</v>
      </c>
      <c r="H13" s="17">
        <f>SUMIF(I$12:AB$12,"总值",I13:AB13)</f>
        <v>65998.39</v>
      </c>
      <c r="I13" s="1622">
        <v>3129.11</v>
      </c>
      <c r="J13" s="1622"/>
      <c r="K13" s="1622">
        <v>46505.14</v>
      </c>
      <c r="L13" s="1622"/>
      <c r="M13" s="1622">
        <v>3312.19</v>
      </c>
      <c r="N13" s="1622"/>
      <c r="O13" s="1622">
        <v>12485.76</v>
      </c>
      <c r="P13" s="1622"/>
      <c r="Q13" s="1622">
        <v>566.19000000000005</v>
      </c>
      <c r="R13" s="1622"/>
      <c r="S13" s="1622"/>
      <c r="T13" s="1622"/>
      <c r="U13" s="1622"/>
      <c r="V13" s="1622"/>
      <c r="W13" s="1622"/>
      <c r="X13" s="1622"/>
      <c r="Y13" s="1622"/>
      <c r="Z13" s="1622"/>
      <c r="AA13" s="1622"/>
      <c r="AB13" s="1622"/>
      <c r="AC13" s="13">
        <f>SUMIF(AD$12:AS$12,"总值",AD13:AS13)</f>
        <v>1568.88</v>
      </c>
      <c r="AD13" s="1623"/>
      <c r="AE13" s="1623"/>
      <c r="AF13" s="1623"/>
      <c r="AG13" s="1623"/>
      <c r="AH13" s="1623"/>
      <c r="AI13" s="1623"/>
      <c r="AJ13" s="1623"/>
      <c r="AK13" s="1623"/>
      <c r="AL13" s="1623"/>
      <c r="AM13" s="1623"/>
      <c r="AN13" s="1623">
        <v>1568.88</v>
      </c>
      <c r="AO13" s="1623"/>
      <c r="AP13" s="1623"/>
      <c r="AQ13" s="1623"/>
      <c r="AR13" s="1623"/>
      <c r="AS13" s="1623"/>
      <c r="AT13" s="1624"/>
      <c r="AU13" s="1625"/>
      <c r="AV13" s="8">
        <f t="shared" ref="AV13:AX17" si="6">A13</f>
        <v>0</v>
      </c>
      <c r="AW13" s="8">
        <f t="shared" si="6"/>
        <v>0</v>
      </c>
      <c r="AX13" s="8">
        <f t="shared" si="6"/>
        <v>0</v>
      </c>
      <c r="AY13" s="1345">
        <f>ROUND($AY$6*AZ13/$AZ$5,2)</f>
        <v>9678.19</v>
      </c>
      <c r="AZ13" s="13">
        <f>BA13+BL13</f>
        <v>67567.27</v>
      </c>
      <c r="BA13" s="13">
        <f>SUM(BB13:BK13)</f>
        <v>65998.39</v>
      </c>
      <c r="BB13" s="13">
        <f>IF($D13="是",I13-J13,0)</f>
        <v>3129.11</v>
      </c>
      <c r="BC13" s="13">
        <f>IF($D13="是",K13-L13,0)</f>
        <v>46505.14</v>
      </c>
      <c r="BD13" s="13">
        <f>IF($D13="是",M13-N13,0)</f>
        <v>3312.19</v>
      </c>
      <c r="BE13" s="13">
        <f>IF($D13="是",O13-P13,0)</f>
        <v>12485.76</v>
      </c>
      <c r="BF13" s="13">
        <f>IF($D13="是",Q13-R13,0)</f>
        <v>566.19000000000005</v>
      </c>
      <c r="BG13" s="13">
        <f>IF($D13="是",S13-T13,0)</f>
        <v>0</v>
      </c>
      <c r="BH13" s="13">
        <f>IF($D13="是",U13-V13,0)</f>
        <v>0</v>
      </c>
      <c r="BI13" s="13">
        <f>IF($D13="是",W13-X13,0)</f>
        <v>0</v>
      </c>
      <c r="BJ13" s="13">
        <f>IF($D13="是",Y13-Z13,0)</f>
        <v>0</v>
      </c>
      <c r="BK13" s="13">
        <f>IF($D13="是",AA13-AB13,0)</f>
        <v>0</v>
      </c>
      <c r="BL13" s="13">
        <f>SUM(BM13:BT13)</f>
        <v>1568.88</v>
      </c>
      <c r="BM13" s="13">
        <f>IF($D13="是",AD13-AE13,0)</f>
        <v>0</v>
      </c>
      <c r="BN13" s="13">
        <f>IF($D13="是",AF13-AG13,0)</f>
        <v>0</v>
      </c>
      <c r="BO13" s="13">
        <f>IF($D13="是",AH13-AI13,0)</f>
        <v>0</v>
      </c>
      <c r="BP13" s="13">
        <f>IF($D13="是",AJ13-AK13,0)</f>
        <v>0</v>
      </c>
      <c r="BQ13" s="13">
        <f>IF($D13="是",AL13-AM13,0)</f>
        <v>0</v>
      </c>
      <c r="BR13" s="13">
        <f>IF($D13="是",AN13-AO13,0)</f>
        <v>1568.88</v>
      </c>
      <c r="BS13" s="13">
        <f>IF($D13="是",AP13-AQ13,0)</f>
        <v>0</v>
      </c>
      <c r="BT13" s="19">
        <f>IF($D13="是",AR13-AS13,0)</f>
        <v>0</v>
      </c>
    </row>
    <row r="14" spans="1:72" s="1575" customFormat="1" ht="12.75">
      <c r="A14" s="1047"/>
      <c r="B14" s="1047"/>
      <c r="C14" s="3448"/>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3448"/>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3448"/>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3448"/>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topLeftCell="B1" zoomScale="85" zoomScaleNormal="100" zoomScaleSheetLayoutView="85"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62" t="s">
        <v>1131</v>
      </c>
      <c r="B2" s="3562"/>
      <c r="C2" s="3562"/>
      <c r="D2" s="792" t="s">
        <v>1107</v>
      </c>
      <c r="E2" s="1635" t="s">
        <v>1108</v>
      </c>
      <c r="F2" s="2655"/>
      <c r="G2" s="2646"/>
      <c r="H2" s="2647"/>
      <c r="I2" s="2321" t="s">
        <v>1132</v>
      </c>
      <c r="J2" s="2655"/>
      <c r="K2" s="2655"/>
      <c r="L2" s="2655"/>
      <c r="M2" s="2655"/>
      <c r="N2" s="2657"/>
      <c r="O2" s="2655"/>
      <c r="P2" s="2655"/>
    </row>
    <row r="3" spans="1:16" ht="15.75" thickBot="1">
      <c r="A3" s="3563" t="s">
        <v>1105</v>
      </c>
      <c r="B3" s="3563"/>
      <c r="C3" s="3563"/>
      <c r="D3" s="43">
        <f>'数据-基础表'!AY6</f>
        <v>9678.19</v>
      </c>
      <c r="E3" s="43">
        <f>'数据-基础表'!AZ5</f>
        <v>67567.27</v>
      </c>
      <c r="F3" s="2655"/>
      <c r="G3" s="1141"/>
      <c r="H3" s="1022" t="s">
        <v>1106</v>
      </c>
      <c r="I3" s="851">
        <f>ROUND('数据-基础表'!B3/'数据-基础表'!A3,2)</f>
        <v>6.98</v>
      </c>
      <c r="J3" s="2655"/>
      <c r="K3" s="2655"/>
      <c r="L3" s="2655"/>
      <c r="M3" s="2655"/>
      <c r="N3" s="2657"/>
      <c r="O3" s="2655"/>
      <c r="P3" s="2655"/>
    </row>
    <row r="4" spans="1:16" ht="15">
      <c r="A4" s="3564"/>
      <c r="B4" s="3565"/>
      <c r="C4" s="3566"/>
      <c r="D4" s="1637" t="s">
        <v>1107</v>
      </c>
      <c r="E4" s="1638" t="s">
        <v>1108</v>
      </c>
      <c r="F4" s="2655"/>
      <c r="G4" s="2648" t="s">
        <v>1133</v>
      </c>
      <c r="H4" s="1022" t="s">
        <v>1113</v>
      </c>
      <c r="I4" s="851">
        <f>ROUND(SUMIF('数据-基础表'!I9:AS9,"地上",'数据-基础表'!I5:AS5)/'数据-基础表'!A3,2)</f>
        <v>5.13</v>
      </c>
      <c r="J4" s="2655"/>
      <c r="K4" s="2655"/>
      <c r="L4" s="2655"/>
      <c r="M4" s="2655"/>
      <c r="N4" s="2657"/>
      <c r="O4" s="2655"/>
      <c r="P4" s="2655"/>
    </row>
    <row r="5" spans="1:16">
      <c r="A5" s="44" t="s">
        <v>1109</v>
      </c>
      <c r="B5" s="3567" t="s">
        <v>1110</v>
      </c>
      <c r="C5" s="3567"/>
      <c r="D5" s="45">
        <f>ROUND($D$3*E5/$E$3,2)</f>
        <v>0</v>
      </c>
      <c r="E5" s="46">
        <f>SUMIF('数据-基础表'!$11:$11,"住宅",'数据-基础表'!$5:$5)</f>
        <v>0</v>
      </c>
      <c r="F5" s="2655"/>
      <c r="G5" s="1141"/>
      <c r="H5" s="1022" t="s">
        <v>1106</v>
      </c>
      <c r="I5" s="851">
        <f>ROUND(E31/D31,2)</f>
        <v>6.98</v>
      </c>
      <c r="J5" s="2655"/>
      <c r="K5" s="2655"/>
      <c r="L5" s="2655"/>
      <c r="M5" s="2655"/>
      <c r="N5" s="2655"/>
      <c r="O5" s="2655"/>
      <c r="P5" s="2655"/>
    </row>
    <row r="6" spans="1:16" ht="15" thickBot="1">
      <c r="A6" s="1640"/>
      <c r="B6" s="3567" t="s">
        <v>1111</v>
      </c>
      <c r="C6" s="3567"/>
      <c r="D6" s="45">
        <f>ROUND($D$3*E6/$E$3,2)</f>
        <v>9678.19</v>
      </c>
      <c r="E6" s="46">
        <f>E3-E5</f>
        <v>67567.27</v>
      </c>
      <c r="F6" s="2655"/>
      <c r="G6" s="2649" t="s">
        <v>1112</v>
      </c>
      <c r="H6" s="1142" t="s">
        <v>1113</v>
      </c>
      <c r="I6" s="2650">
        <f>ROUND(F31/D31,2)</f>
        <v>5.13</v>
      </c>
      <c r="J6" s="2655"/>
      <c r="K6" s="2655"/>
      <c r="L6" s="2655"/>
      <c r="M6" s="2655"/>
      <c r="N6" s="2655"/>
      <c r="O6" s="2655"/>
      <c r="P6" s="2655"/>
    </row>
    <row r="7" spans="1:16" ht="15.75" thickBot="1">
      <c r="A7" s="3559"/>
      <c r="B7" s="3560"/>
      <c r="C7" s="3561"/>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7109.5</v>
      </c>
      <c r="E8" s="48">
        <f>SUMIF('数据-基础表'!BB10:BK10,"地上",'数据-基础表'!BB5:BK5)</f>
        <v>49634.25</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474.43</v>
      </c>
      <c r="E10" s="48">
        <f>SUMPRODUCT(('数据-基础表'!BB10:BK10="地下")*('数据-基础表'!BB11:BK11="商业")*('数据-基础表'!BB5:BK5))</f>
        <v>3312.19</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81.099999999999994</v>
      </c>
      <c r="E12" s="48">
        <f>SUMPRODUCT(('数据-基础表'!BB10:BK10="地下")*('数据-基础表'!BB11:BK11="仓储")*('数据-基础表'!BB5:BK5))</f>
        <v>566.19000000000005</v>
      </c>
      <c r="F12" s="2655"/>
      <c r="G12" s="2656"/>
      <c r="H12" s="2656"/>
      <c r="I12" s="2655"/>
      <c r="J12" s="2655"/>
      <c r="K12" s="2655"/>
      <c r="L12" s="2655"/>
      <c r="M12" s="2655"/>
      <c r="N12" s="2655"/>
      <c r="O12" s="2655"/>
      <c r="P12" s="2655"/>
    </row>
    <row r="13" spans="1:16">
      <c r="A13" s="1642"/>
      <c r="B13" s="1643"/>
      <c r="C13" s="45" t="s">
        <v>1122</v>
      </c>
      <c r="D13" s="45">
        <f t="shared" si="0"/>
        <v>1788.43</v>
      </c>
      <c r="E13" s="48">
        <f>SUMPRODUCT(('数据-基础表'!BB10:BK10="地下")*('数据-基础表'!BB11:BK11="车库")*('数据-基础表'!BB5:BK5))</f>
        <v>12485.76</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9453.4600000000009</v>
      </c>
      <c r="E16" s="50">
        <f>SUM(E8:E15)</f>
        <v>65998.39</v>
      </c>
      <c r="F16" s="2655"/>
      <c r="G16" s="2656"/>
      <c r="H16" s="1644" t="s">
        <v>1135</v>
      </c>
      <c r="I16" s="1645"/>
      <c r="J16" s="1135"/>
      <c r="K16" s="3556" t="s">
        <v>1135</v>
      </c>
      <c r="L16" s="3557"/>
      <c r="M16" s="3557"/>
      <c r="N16" s="3557"/>
      <c r="O16" s="3557"/>
      <c r="P16" s="3558"/>
    </row>
    <row r="17" spans="1:19" ht="15">
      <c r="A17" s="1646" t="s">
        <v>1136</v>
      </c>
      <c r="B17" s="1647" t="s">
        <v>1137</v>
      </c>
      <c r="C17" s="1648" t="s">
        <v>1138</v>
      </c>
      <c r="D17" s="1649" t="s">
        <v>1126</v>
      </c>
      <c r="E17" s="1650" t="s">
        <v>1127</v>
      </c>
      <c r="F17" s="1651"/>
      <c r="G17" s="1652"/>
      <c r="H17" s="1653" t="s">
        <v>1139</v>
      </c>
      <c r="I17" s="1654" t="s">
        <v>1124</v>
      </c>
      <c r="J17" s="1135"/>
      <c r="K17" s="3553" t="s">
        <v>1140</v>
      </c>
      <c r="L17" s="3554"/>
      <c r="M17" s="3555"/>
      <c r="N17" s="3553" t="s">
        <v>1141</v>
      </c>
      <c r="O17" s="3554"/>
      <c r="P17" s="3555"/>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2" t="s">
        <v>3468</v>
      </c>
      <c r="D19" s="45">
        <f>ROUND($D$3*E19/$E$3,2)</f>
        <v>922.64</v>
      </c>
      <c r="E19" s="53">
        <f t="shared" ref="E19:E26" si="1">SUM(F19:G19)</f>
        <v>6441.3</v>
      </c>
      <c r="F19" s="2790">
        <f>'数据-基础表'!I13</f>
        <v>3129.11</v>
      </c>
      <c r="G19" s="2791">
        <f>'数据-基础表'!M13</f>
        <v>3312.19</v>
      </c>
      <c r="H19" s="670">
        <f>ROUND($D$3*I19/$E$3,2)</f>
        <v>21.93</v>
      </c>
      <c r="I19" s="48">
        <f t="shared" ref="I19:I26" si="2">IF($I$17="自定义",P19,M19)</f>
        <v>153.12</v>
      </c>
      <c r="J19" s="1135"/>
      <c r="K19" s="1134">
        <f t="shared" ref="K19:K26" si="3">ROUND(E$28*E19/E$27,2)</f>
        <v>153.12</v>
      </c>
      <c r="L19" s="1022">
        <f t="shared" ref="L19:L26" si="4">ROUND(IF(COUNTIF(C19,"*住宅*")&gt;0,E$29*E19/E$32,0),2)</f>
        <v>0</v>
      </c>
      <c r="M19" s="1146">
        <f>K19+L19</f>
        <v>153.12</v>
      </c>
      <c r="N19" s="1664"/>
      <c r="O19" s="1665"/>
      <c r="P19" s="1146">
        <f>N19+O19</f>
        <v>0</v>
      </c>
      <c r="R19" s="1022">
        <f t="shared" ref="R19:S26" si="5">D19+H19</f>
        <v>944.56999999999994</v>
      </c>
      <c r="S19" s="1023">
        <f t="shared" si="5"/>
        <v>6594.42</v>
      </c>
    </row>
    <row r="20" spans="1:19">
      <c r="A20" s="1666"/>
      <c r="B20" s="47" t="s">
        <v>1153</v>
      </c>
      <c r="C20" s="3412" t="s">
        <v>3469</v>
      </c>
      <c r="D20" s="45">
        <f t="shared" ref="D20:D26" si="6">ROUND($D$3*E20/$E$3,2)</f>
        <v>6661.3</v>
      </c>
      <c r="E20" s="53">
        <f t="shared" si="1"/>
        <v>46505.14</v>
      </c>
      <c r="F20" s="2790">
        <f>'数据-基础表'!K13</f>
        <v>46505.14</v>
      </c>
      <c r="G20" s="2791"/>
      <c r="H20" s="670">
        <f t="shared" ref="H20:H26" si="7">ROUND($D$3*I20/$E$3,2)</f>
        <v>158.35</v>
      </c>
      <c r="I20" s="48">
        <f t="shared" si="2"/>
        <v>1105.5</v>
      </c>
      <c r="J20" s="1135"/>
      <c r="K20" s="1134">
        <f t="shared" si="3"/>
        <v>1105.5</v>
      </c>
      <c r="L20" s="1022">
        <f t="shared" si="4"/>
        <v>0</v>
      </c>
      <c r="M20" s="1146">
        <f t="shared" ref="M20:M26" si="8">K20+L20</f>
        <v>1105.5</v>
      </c>
      <c r="N20" s="1664"/>
      <c r="O20" s="1665"/>
      <c r="P20" s="1146">
        <f t="shared" ref="P20:P26" si="9">N20+O20</f>
        <v>0</v>
      </c>
      <c r="R20" s="1022">
        <f t="shared" si="5"/>
        <v>6819.6500000000005</v>
      </c>
      <c r="S20" s="1023">
        <f t="shared" si="5"/>
        <v>47610.64</v>
      </c>
    </row>
    <row r="21" spans="1:19">
      <c r="A21" s="1666"/>
      <c r="B21" s="47" t="s">
        <v>1153</v>
      </c>
      <c r="C21" s="3412" t="s">
        <v>3471</v>
      </c>
      <c r="D21" s="45">
        <f t="shared" si="6"/>
        <v>81.099999999999994</v>
      </c>
      <c r="E21" s="53">
        <f t="shared" si="1"/>
        <v>566.19000000000005</v>
      </c>
      <c r="F21" s="2790"/>
      <c r="G21" s="2791">
        <f>'数据-基础表'!Q13</f>
        <v>566.19000000000005</v>
      </c>
      <c r="H21" s="670">
        <f t="shared" si="7"/>
        <v>1.93</v>
      </c>
      <c r="I21" s="48">
        <f t="shared" si="2"/>
        <v>13.46</v>
      </c>
      <c r="J21" s="1135"/>
      <c r="K21" s="1134">
        <f t="shared" si="3"/>
        <v>13.46</v>
      </c>
      <c r="L21" s="1022">
        <f t="shared" si="4"/>
        <v>0</v>
      </c>
      <c r="M21" s="1146">
        <f t="shared" si="8"/>
        <v>13.46</v>
      </c>
      <c r="N21" s="1664"/>
      <c r="O21" s="1665"/>
      <c r="P21" s="1146">
        <f t="shared" si="9"/>
        <v>0</v>
      </c>
      <c r="R21" s="1022">
        <f t="shared" si="5"/>
        <v>83.03</v>
      </c>
      <c r="S21" s="1023">
        <f t="shared" si="5"/>
        <v>579.65000000000009</v>
      </c>
    </row>
    <row r="22" spans="1:19">
      <c r="A22" s="1666"/>
      <c r="B22" s="47" t="s">
        <v>1153</v>
      </c>
      <c r="C22" s="3412" t="s">
        <v>3473</v>
      </c>
      <c r="D22" s="45">
        <f t="shared" si="6"/>
        <v>1788.43</v>
      </c>
      <c r="E22" s="53">
        <f t="shared" si="1"/>
        <v>12485.76</v>
      </c>
      <c r="F22" s="2792"/>
      <c r="G22" s="2793">
        <f>'数据-基础表'!O13</f>
        <v>12485.76</v>
      </c>
      <c r="H22" s="670">
        <f t="shared" si="7"/>
        <v>42.51</v>
      </c>
      <c r="I22" s="48">
        <f t="shared" si="2"/>
        <v>296.81</v>
      </c>
      <c r="J22" s="1135"/>
      <c r="K22" s="1134">
        <f t="shared" si="3"/>
        <v>296.81</v>
      </c>
      <c r="L22" s="1022">
        <f t="shared" si="4"/>
        <v>0</v>
      </c>
      <c r="M22" s="1146">
        <f t="shared" si="8"/>
        <v>296.81</v>
      </c>
      <c r="N22" s="1664"/>
      <c r="O22" s="1665"/>
      <c r="P22" s="1146">
        <f t="shared" si="9"/>
        <v>0</v>
      </c>
      <c r="R22" s="1022">
        <f t="shared" si="5"/>
        <v>1830.94</v>
      </c>
      <c r="S22" s="1023">
        <f t="shared" si="5"/>
        <v>12782.57</v>
      </c>
    </row>
    <row r="23" spans="1:19">
      <c r="A23" s="1666"/>
      <c r="B23" s="47" t="s">
        <v>1153</v>
      </c>
      <c r="C23" s="3413"/>
      <c r="D23" s="45">
        <f>ROUND($D$3*E23/$E$3,2)</f>
        <v>0</v>
      </c>
      <c r="E23" s="53">
        <f>SUM(F23:G23)</f>
        <v>0</v>
      </c>
      <c r="F23" s="2792"/>
      <c r="G23" s="2793"/>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3"/>
      <c r="D24" s="45">
        <f>ROUND($D$3*E24/$E$3,2)</f>
        <v>0</v>
      </c>
      <c r="E24" s="53">
        <f>SUM(F24:G24)</f>
        <v>0</v>
      </c>
      <c r="F24" s="2792"/>
      <c r="G24" s="2793"/>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3"/>
      <c r="D25" s="45">
        <f t="shared" si="6"/>
        <v>0</v>
      </c>
      <c r="E25" s="53">
        <f t="shared" si="1"/>
        <v>0</v>
      </c>
      <c r="F25" s="2792"/>
      <c r="G25" s="2793"/>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9453.4700000000012</v>
      </c>
      <c r="E27" s="1137">
        <f>IF(SUM(E19:E26)='数据-基础表'!BA5,SUM(E19:E26),IF(F27="地上面积有误","面积有误","地下面积有误"))</f>
        <v>65998.39</v>
      </c>
      <c r="F27" s="1136">
        <f>IF(SUM(F19:F26)=E8,SUM(F19:F26),"地上面积有误")</f>
        <v>49634.25</v>
      </c>
      <c r="G27" s="1138">
        <f>SUM(G19:G26)</f>
        <v>16364.14</v>
      </c>
      <c r="H27" s="1139">
        <f>SUM(H19:H26)</f>
        <v>224.72</v>
      </c>
      <c r="I27" s="1140">
        <f>SUM(I19:I26)</f>
        <v>1568.8899999999999</v>
      </c>
      <c r="J27" s="1135"/>
      <c r="K27" s="1143">
        <f>SUM(K19:K26)</f>
        <v>1568.8899999999999</v>
      </c>
      <c r="L27" s="1144">
        <f>SUM(L19:L26)</f>
        <v>0</v>
      </c>
      <c r="M27" s="1147">
        <f>SUM(M19:M26)</f>
        <v>1568.8899999999999</v>
      </c>
      <c r="N27" s="1143">
        <f t="shared" ref="N27:O27" si="10">SUM(N19:N26)</f>
        <v>0</v>
      </c>
      <c r="O27" s="1144">
        <f t="shared" si="10"/>
        <v>0</v>
      </c>
      <c r="P27" s="1145">
        <f>SUM(P19:P26)</f>
        <v>0</v>
      </c>
      <c r="R27" s="1024">
        <f>IF(SUM(R19:R26)=$D$3,SUM(R19:R26),SUM(R19:R26)&amp;"误差"&amp;ROUND(SUM(R19:R26)-$D$3,2))</f>
        <v>9678.19</v>
      </c>
      <c r="S27" s="1022" t="str">
        <f>IF(SUM(S19:S26)=$E$3,SUM(S19:S26),SUM(S19:S26)&amp;"误差"&amp;ROUND(SUM(S19:S26)-E3,2))</f>
        <v>67567.28误差0.01</v>
      </c>
    </row>
    <row r="28" spans="1:19">
      <c r="A28" s="1666"/>
      <c r="B28" s="47" t="s">
        <v>1155</v>
      </c>
      <c r="C28" s="1034" t="s">
        <v>1156</v>
      </c>
      <c r="D28" s="45">
        <f>ROUND($D$3*E28/$E$3,2)</f>
        <v>224.72</v>
      </c>
      <c r="E28" s="53">
        <f>SUM(F28:G28)</f>
        <v>1568.88</v>
      </c>
      <c r="F28" s="56">
        <f>'数据-基础表'!BQ5+'数据-基础表'!BS5</f>
        <v>0</v>
      </c>
      <c r="G28" s="57">
        <f>'数据-基础表'!BR5+'数据-基础表'!BT5</f>
        <v>1568.88</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224.72</v>
      </c>
      <c r="E30" s="1136">
        <f>SUM(E28:E29)</f>
        <v>1568.88</v>
      </c>
      <c r="F30" s="1136">
        <f>SUM(F28:F29)</f>
        <v>0</v>
      </c>
      <c r="G30" s="1138">
        <f>SUM(G28:G29)</f>
        <v>1568.88</v>
      </c>
      <c r="H30" s="2655"/>
      <c r="I30" s="2655"/>
      <c r="J30" s="2655"/>
      <c r="K30" s="2655"/>
      <c r="L30" s="2655"/>
      <c r="M30" s="2655"/>
      <c r="N30" s="2655"/>
      <c r="O30" s="2655"/>
      <c r="P30" s="2655"/>
    </row>
    <row r="31" spans="1:19" ht="15.75" thickBot="1">
      <c r="A31" s="1672"/>
      <c r="B31" s="1673"/>
      <c r="C31" s="831" t="s">
        <v>1158</v>
      </c>
      <c r="D31" s="676">
        <f>D27+D30</f>
        <v>9678.19</v>
      </c>
      <c r="E31" s="676">
        <f>E27+E30</f>
        <v>67567.27</v>
      </c>
      <c r="F31" s="677">
        <f>F27+F30</f>
        <v>49634.25</v>
      </c>
      <c r="G31" s="678">
        <f>G27+G30</f>
        <v>17933.02</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8">
      <c r="D33" s="1674"/>
    </row>
    <row r="35" spans="4:8">
      <c r="F35" s="1674">
        <f>F27</f>
        <v>49634.25</v>
      </c>
      <c r="G35" s="3480">
        <f ca="1">(H35-H36)/F35</f>
        <v>53621.935603136946</v>
      </c>
      <c r="H35" s="1634">
        <f ca="1">结果表!G20*结果表!L18</f>
        <v>2906946657.21</v>
      </c>
    </row>
    <row r="36" spans="4:8">
      <c r="F36" s="3479">
        <f>G27</f>
        <v>16364.14</v>
      </c>
      <c r="G36" s="1634">
        <v>15000</v>
      </c>
      <c r="H36" s="1634">
        <f>G36*F36</f>
        <v>245462100</v>
      </c>
    </row>
    <row r="41" spans="4:8">
      <c r="F41" s="1634">
        <f>G31/E31</f>
        <v>0.26540986486504486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11" sqref="W11"/>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6"/>
      <c r="AO1" s="2666"/>
      <c r="AP1" s="2666"/>
      <c r="AQ1" s="2666"/>
      <c r="AR1" s="2666"/>
    </row>
    <row r="2" spans="1:67" s="1555" customFormat="1" ht="15.75" thickBot="1">
      <c r="A2" s="1679" t="s">
        <v>1161</v>
      </c>
      <c r="B2" s="1041">
        <f>项目基本情况!D3</f>
        <v>45279</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3387</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4">
        <f>SUMIF(项目基本情况!C$12:I$12,C6,项目基本情况!C$14:I$14)</f>
        <v>40</v>
      </c>
      <c r="E6" s="853">
        <f>IF(B6="","",SUMIF(项目基本情况!C$12:I$12,C6,项目基本情况!C$13:I$13))</f>
        <v>52839</v>
      </c>
      <c r="F6" s="64">
        <f>SUMIF(项目基本情况!C$12:I$12,C6,项目基本情况!C$15:I$15)</f>
        <v>20.71</v>
      </c>
      <c r="G6" s="65">
        <f>IF(ISERROR(ROUND(POWER(1+H6,D6-F6)*(POWER(1+H6,F6)-1)/(POWER(1+H6,D6)-1),3)),0,ROUND(POWER(1+H6,D6-F6)*(POWER(1+H6,F6)-1)/(POWER(1+H6,D6)-1),3))</f>
        <v>0.75900000000000001</v>
      </c>
      <c r="H6" s="732">
        <v>5.5E-2</v>
      </c>
      <c r="I6" s="732">
        <v>0.06</v>
      </c>
      <c r="J6" s="66">
        <v>7.0000000000000007E-2</v>
      </c>
      <c r="K6" s="1026">
        <f>SUMIF('数据-汇总表'!C$19:C$33,A6,'数据-汇总表'!E$19:E$33)</f>
        <v>6441.3</v>
      </c>
      <c r="L6" s="3464">
        <v>6000</v>
      </c>
      <c r="M6" s="67">
        <f t="shared" ref="M6:M14" si="0">ROUND(K6*L6/10000,0)</f>
        <v>3865</v>
      </c>
      <c r="N6" s="731">
        <f>N19</f>
        <v>0.88</v>
      </c>
      <c r="O6" s="67" t="str">
        <f>IF($N$5="成新度","——",ROUND(M6*N6,0))</f>
        <v>——</v>
      </c>
      <c r="P6" s="68" t="str">
        <f>IF($N$5="成新度","——",M6-O6)</f>
        <v>——</v>
      </c>
      <c r="Q6" s="734">
        <v>0.2</v>
      </c>
      <c r="R6" s="69">
        <f ca="1">SUMIF('数据-汇总表'!C$19:C$33,A6,'数据-汇总表'!R$19:R$27)</f>
        <v>944.56999999999994</v>
      </c>
      <c r="S6" s="51">
        <f>IF('数据-汇总表'!$I$17="按面积比例",SUMIF('数据-汇总表'!C$19:C$33,A6,'数据-汇总表'!K$19:K$33),SUMIF('数据-汇总表'!C$19:C$33,A6,'数据-汇总表'!N$19:N$33))</f>
        <v>153.12</v>
      </c>
      <c r="T6" s="1168">
        <f>ROUND($L$14*S6/10000,0)</f>
        <v>92</v>
      </c>
      <c r="U6" s="3423">
        <v>10</v>
      </c>
      <c r="V6" s="70">
        <v>0</v>
      </c>
      <c r="W6" s="70">
        <v>0.05</v>
      </c>
      <c r="X6" s="1036"/>
      <c r="Y6" s="71">
        <f>N6</f>
        <v>0.88</v>
      </c>
      <c r="Z6" s="72"/>
      <c r="AA6" s="66"/>
      <c r="AB6" s="66"/>
      <c r="AC6" s="1036"/>
      <c r="AD6" s="73"/>
      <c r="AE6" s="1037">
        <f ca="1">IF(AN6="",0,SUMIF(INDIRECT("'"&amp;AN6&amp;"'"&amp;"!E:E"),$AE$5,INDIRECT("'"&amp;AN6&amp;"'"&amp;"!F:F")))</f>
        <v>20.71</v>
      </c>
      <c r="AF6" s="1344"/>
      <c r="AG6" s="138">
        <f>IF(AF6="",0,AE6-AF6)</f>
        <v>0</v>
      </c>
      <c r="AH6" s="74"/>
      <c r="AI6" s="76">
        <v>365</v>
      </c>
      <c r="AJ6" s="77"/>
      <c r="AK6" s="78">
        <v>5.0000000000000001E-3</v>
      </c>
      <c r="AL6" s="79">
        <v>1E-3</v>
      </c>
      <c r="AM6" s="80">
        <v>5.0000000000000001E-3</v>
      </c>
      <c r="AN6" s="1711" t="s">
        <v>3476</v>
      </c>
      <c r="AO6" s="52">
        <f ca="1">SUMIF(INDIRECT("'"&amp;AN6&amp;"'"&amp;"!A:A"),"总价",INDIRECT("'"&amp;AN6&amp;"'"&amp;"!B:B"))</f>
        <v>21889</v>
      </c>
      <c r="AP6" s="1712">
        <f>IF(C6="住宅",K6*L6,0)</f>
        <v>0</v>
      </c>
      <c r="AQ6" s="52">
        <f>ROUND($L$14*$N$14*S6/10000,0)</f>
        <v>81</v>
      </c>
      <c r="AR6" s="52">
        <f>ROUND($L$14*(1-$N$14)*S6/10000,0)</f>
        <v>11</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v>
      </c>
      <c r="B7" s="1709" t="str">
        <f t="shared" ref="B7:B13" si="1">IF(A7=0,"","经营性")</f>
        <v>经营性</v>
      </c>
      <c r="C7" s="1710" t="s">
        <v>21</v>
      </c>
      <c r="D7" s="854">
        <f>SUMIF(项目基本情况!C$12:I$12,C7,项目基本情况!C$14:I$14)</f>
        <v>50</v>
      </c>
      <c r="E7" s="853">
        <f>IF(B7="","",SUMIF(项目基本情况!C$12:I$12,C7,项目基本情况!C$13:I$13))</f>
        <v>56491</v>
      </c>
      <c r="F7" s="64">
        <f>SUMIF(项目基本情况!C$12:I$12,C7,项目基本情况!C$15:I$15)</f>
        <v>30.71</v>
      </c>
      <c r="G7" s="65">
        <f t="shared" ref="G7:G11" si="2">IF(ISERROR(ROUND(POWER(1+H7,D7-F7)*(POWER(1+H7,F7)-1)/(POWER(1+H7,D7)-1),3)),0,ROUND(POWER(1+H7,D7-F7)*(POWER(1+H7,F7)-1)/(POWER(1+H7,D7)-1),3))</f>
        <v>0.85099999999999998</v>
      </c>
      <c r="H7" s="732">
        <v>0.05</v>
      </c>
      <c r="I7" s="732">
        <f>I6</f>
        <v>0.06</v>
      </c>
      <c r="J7" s="66">
        <v>7.0000000000000007E-2</v>
      </c>
      <c r="K7" s="1026">
        <f>SUMIF('数据-汇总表'!C$19:C$33,A7,'数据-汇总表'!E$19:E$33)</f>
        <v>46505.14</v>
      </c>
      <c r="L7" s="733">
        <f>L6</f>
        <v>6000</v>
      </c>
      <c r="M7" s="67">
        <f t="shared" si="0"/>
        <v>27903</v>
      </c>
      <c r="N7" s="731">
        <f>N6</f>
        <v>0.88</v>
      </c>
      <c r="O7" s="67" t="str">
        <f t="shared" ref="O7:O14" si="3">IF($N$5="成新度","——",ROUND(M7*N7,0))</f>
        <v>——</v>
      </c>
      <c r="P7" s="68" t="str">
        <f t="shared" ref="P7:P14" si="4">IF($N$5="成新度","——",M7-O7)</f>
        <v>——</v>
      </c>
      <c r="Q7" s="734">
        <v>0.15</v>
      </c>
      <c r="R7" s="69">
        <f ca="1">SUMIF('数据-汇总表'!C$19:C$33,A7,'数据-汇总表'!R$19:R$27)</f>
        <v>6819.6500000000005</v>
      </c>
      <c r="S7" s="51">
        <f>IF('数据-汇总表'!$I$17="按面积比例",SUMIF('数据-汇总表'!C$19:C$33,A7,'数据-汇总表'!K$19:K$33),SUMIF('数据-汇总表'!C$19:C$33,A7,'数据-汇总表'!N$19:N$33))</f>
        <v>1105.5</v>
      </c>
      <c r="T7" s="1168">
        <f t="shared" ref="T7:T13" si="5">ROUND($L$14*S7/10000,0)</f>
        <v>663</v>
      </c>
      <c r="U7" s="3423">
        <v>12.4</v>
      </c>
      <c r="V7" s="70">
        <f>V6</f>
        <v>0</v>
      </c>
      <c r="W7" s="70">
        <f>W6</f>
        <v>0.05</v>
      </c>
      <c r="X7" s="1036"/>
      <c r="Y7" s="71">
        <f>Y6</f>
        <v>0.88</v>
      </c>
      <c r="Z7" s="72"/>
      <c r="AA7" s="66"/>
      <c r="AB7" s="66"/>
      <c r="AC7" s="1036"/>
      <c r="AD7" s="73"/>
      <c r="AE7" s="1037">
        <f t="shared" ref="AE7:AE13" ca="1" si="6">IF(AN7="",0,SUMIF(INDIRECT("'"&amp;AN7&amp;"'"&amp;"!E:E"),$AE$5,INDIRECT("'"&amp;AN7&amp;"'"&amp;"!F:F")))</f>
        <v>30.71</v>
      </c>
      <c r="AF7" s="1344"/>
      <c r="AG7" s="138">
        <f t="shared" ref="AG7:AG13" si="7">IF(AF7="",0,AE7-AF7)</f>
        <v>0</v>
      </c>
      <c r="AH7" s="74"/>
      <c r="AI7" s="76">
        <v>365</v>
      </c>
      <c r="AJ7" s="77"/>
      <c r="AK7" s="78">
        <f>AK6</f>
        <v>5.0000000000000001E-3</v>
      </c>
      <c r="AL7" s="79">
        <v>1E-3</v>
      </c>
      <c r="AM7" s="80">
        <f>AM6</f>
        <v>5.0000000000000001E-3</v>
      </c>
      <c r="AN7" s="1711" t="s">
        <v>3477</v>
      </c>
      <c r="AO7" s="52">
        <f t="shared" ref="AO7:AO13" ca="1" si="8">SUMIF(INDIRECT("'"&amp;AN7&amp;"'"&amp;"!A:A"),"总价",INDIRECT("'"&amp;AN7&amp;"'"&amp;"!B:B"))</f>
        <v>228200</v>
      </c>
      <c r="AP7" s="1712">
        <f t="shared" ref="AP7:AP13" si="9">IF(C7="住宅",K7*L7,0)</f>
        <v>0</v>
      </c>
      <c r="AQ7" s="52">
        <f t="shared" ref="AQ7:AQ13" si="10">ROUND($L$14*$N$14*S7/10000,0)</f>
        <v>584</v>
      </c>
      <c r="AR7" s="52">
        <f t="shared" ref="AR7:AR13" si="11">ROUND($L$14*(1-$N$14)*S7/10000,0)</f>
        <v>80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地下仓储</v>
      </c>
      <c r="B8" s="1709" t="str">
        <f t="shared" si="1"/>
        <v>经营性</v>
      </c>
      <c r="C8" s="1710" t="s">
        <v>3336</v>
      </c>
      <c r="D8" s="854">
        <f>SUMIF(项目基本情况!C$12:I$12,C8,项目基本情况!C$14:I$14)</f>
        <v>50</v>
      </c>
      <c r="E8" s="853">
        <f>IF(B8="","",SUMIF(项目基本情况!C$12:I$12,C8,项目基本情况!C$13:I$13))</f>
        <v>56491</v>
      </c>
      <c r="F8" s="64">
        <f>SUMIF(项目基本情况!C$12:I$12,C8,项目基本情况!C$15:I$15)</f>
        <v>30.71</v>
      </c>
      <c r="G8" s="65">
        <f t="shared" si="2"/>
        <v>0.83299999999999996</v>
      </c>
      <c r="H8" s="732">
        <v>4.4999999999999998E-2</v>
      </c>
      <c r="I8" s="732">
        <f t="shared" ref="I8:I9" si="12">I7</f>
        <v>0.06</v>
      </c>
      <c r="J8" s="66">
        <v>7.0000000000000007E-2</v>
      </c>
      <c r="K8" s="1026">
        <f>SUMIF('数据-汇总表'!C$19:C$33,A8,'数据-汇总表'!E$19:E$33)</f>
        <v>566.19000000000005</v>
      </c>
      <c r="L8" s="733">
        <f>L7</f>
        <v>6000</v>
      </c>
      <c r="M8" s="67">
        <f>ROUND(K8*L8/10000,0)</f>
        <v>340</v>
      </c>
      <c r="N8" s="731">
        <f>N6</f>
        <v>0.88</v>
      </c>
      <c r="O8" s="67" t="str">
        <f t="shared" si="3"/>
        <v>——</v>
      </c>
      <c r="P8" s="68" t="str">
        <f t="shared" si="4"/>
        <v>——</v>
      </c>
      <c r="Q8" s="734">
        <v>0.05</v>
      </c>
      <c r="R8" s="69">
        <f ca="1">SUMIF('数据-汇总表'!C$19:C$33,A8,'数据-汇总表'!R$19:R$27)</f>
        <v>83.03</v>
      </c>
      <c r="S8" s="51">
        <f>IF('数据-汇总表'!$I$17="按面积比例",SUMIF('数据-汇总表'!C$19:C$33,A8,'数据-汇总表'!K$19:K$33),SUMIF('数据-汇总表'!C$19:C$33,A8,'数据-汇总表'!N$19:N$33))</f>
        <v>13.46</v>
      </c>
      <c r="T8" s="1168">
        <f t="shared" si="5"/>
        <v>8</v>
      </c>
      <c r="U8" s="3423">
        <v>2</v>
      </c>
      <c r="V8" s="70">
        <f>V6</f>
        <v>0</v>
      </c>
      <c r="W8" s="70">
        <f>W7</f>
        <v>0.05</v>
      </c>
      <c r="X8" s="1036"/>
      <c r="Y8" s="71">
        <f>Y7</f>
        <v>0.88</v>
      </c>
      <c r="Z8" s="72"/>
      <c r="AA8" s="66"/>
      <c r="AB8" s="66"/>
      <c r="AC8" s="1036"/>
      <c r="AD8" s="73"/>
      <c r="AE8" s="1037">
        <f t="shared" ca="1" si="6"/>
        <v>30.71</v>
      </c>
      <c r="AF8" s="1344"/>
      <c r="AG8" s="138">
        <f t="shared" si="7"/>
        <v>0</v>
      </c>
      <c r="AH8" s="735"/>
      <c r="AI8" s="76">
        <v>365</v>
      </c>
      <c r="AJ8" s="77"/>
      <c r="AK8" s="78">
        <f>AK6</f>
        <v>5.0000000000000001E-3</v>
      </c>
      <c r="AL8" s="79">
        <v>1E-3</v>
      </c>
      <c r="AM8" s="80">
        <f>AM6</f>
        <v>5.0000000000000001E-3</v>
      </c>
      <c r="AN8" s="1711" t="s">
        <v>3479</v>
      </c>
      <c r="AO8" s="52">
        <f t="shared" ca="1" si="8"/>
        <v>423</v>
      </c>
      <c r="AP8" s="1712">
        <f t="shared" si="9"/>
        <v>0</v>
      </c>
      <c r="AQ8" s="52">
        <f t="shared" si="10"/>
        <v>7</v>
      </c>
      <c r="AR8" s="52">
        <f t="shared" si="11"/>
        <v>1</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地下车库</v>
      </c>
      <c r="B9" s="1709" t="str">
        <f t="shared" si="1"/>
        <v>经营性</v>
      </c>
      <c r="C9" s="1710" t="s">
        <v>3335</v>
      </c>
      <c r="D9" s="854">
        <f>SUMIF(项目基本情况!C$12:I$12,C9,项目基本情况!C$14:I$14)</f>
        <v>50</v>
      </c>
      <c r="E9" s="853">
        <f>IF(B9="","",SUMIF(项目基本情况!C$12:I$12,C9,项目基本情况!C$13:I$13))</f>
        <v>56491</v>
      </c>
      <c r="F9" s="64">
        <f>SUMIF(项目基本情况!C$12:I$12,C9,项目基本情况!C$15:I$15)</f>
        <v>30.71</v>
      </c>
      <c r="G9" s="65">
        <f t="shared" si="2"/>
        <v>0.83299999999999996</v>
      </c>
      <c r="H9" s="732">
        <v>4.4999999999999998E-2</v>
      </c>
      <c r="I9" s="732">
        <f t="shared" si="12"/>
        <v>0.06</v>
      </c>
      <c r="J9" s="66">
        <v>7.0000000000000007E-2</v>
      </c>
      <c r="K9" s="1026">
        <f>SUMIF('数据-汇总表'!C$19:C$33,A9,'数据-汇总表'!E$19:E$33)</f>
        <v>12485.76</v>
      </c>
      <c r="L9" s="733">
        <f>L7</f>
        <v>6000</v>
      </c>
      <c r="M9" s="67">
        <f t="shared" si="0"/>
        <v>7491</v>
      </c>
      <c r="N9" s="731">
        <f>N6</f>
        <v>0.88</v>
      </c>
      <c r="O9" s="67" t="str">
        <f t="shared" si="3"/>
        <v>——</v>
      </c>
      <c r="P9" s="68" t="str">
        <f t="shared" si="4"/>
        <v>——</v>
      </c>
      <c r="Q9" s="81">
        <v>0.05</v>
      </c>
      <c r="R9" s="69">
        <f ca="1">SUMIF('数据-汇总表'!C$19:C$33,A9,'数据-汇总表'!R$19:R$27)</f>
        <v>1830.94</v>
      </c>
      <c r="S9" s="51">
        <f>IF('数据-汇总表'!$I$17="按面积比例",SUMIF('数据-汇总表'!C$19:C$33,A9,'数据-汇总表'!K$19:K$33),SUMIF('数据-汇总表'!C$19:C$33,A9,'数据-汇总表'!N$19:N$33))</f>
        <v>296.81</v>
      </c>
      <c r="T9" s="1168">
        <f t="shared" si="5"/>
        <v>178</v>
      </c>
      <c r="U9" s="3423">
        <v>1500</v>
      </c>
      <c r="V9" s="70">
        <f>V6</f>
        <v>0</v>
      </c>
      <c r="W9" s="70">
        <f>W7</f>
        <v>0.05</v>
      </c>
      <c r="X9" s="1036"/>
      <c r="Y9" s="71">
        <f>Y8</f>
        <v>0.88</v>
      </c>
      <c r="Z9" s="72"/>
      <c r="AA9" s="66"/>
      <c r="AB9" s="66"/>
      <c r="AC9" s="1036"/>
      <c r="AD9" s="73"/>
      <c r="AE9" s="1037">
        <f t="shared" ca="1" si="6"/>
        <v>30.71</v>
      </c>
      <c r="AF9" s="1344"/>
      <c r="AG9" s="138">
        <f t="shared" si="7"/>
        <v>0</v>
      </c>
      <c r="AH9" s="74">
        <v>356</v>
      </c>
      <c r="AI9" s="76">
        <v>12</v>
      </c>
      <c r="AJ9" s="77"/>
      <c r="AK9" s="78">
        <f>AK6</f>
        <v>5.0000000000000001E-3</v>
      </c>
      <c r="AL9" s="79">
        <v>1E-3</v>
      </c>
      <c r="AM9" s="80">
        <f>AM6</f>
        <v>5.0000000000000001E-3</v>
      </c>
      <c r="AN9" s="1711" t="s">
        <v>3481</v>
      </c>
      <c r="AO9" s="52">
        <f t="shared" ca="1" si="8"/>
        <v>6551</v>
      </c>
      <c r="AP9" s="1712">
        <f t="shared" si="9"/>
        <v>0</v>
      </c>
      <c r="AQ9" s="52">
        <f t="shared" si="10"/>
        <v>157</v>
      </c>
      <c r="AR9" s="52">
        <f t="shared" si="11"/>
        <v>21</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3"/>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3"/>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3"/>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1568.88</v>
      </c>
      <c r="L14" s="82">
        <f>L9</f>
        <v>6000</v>
      </c>
      <c r="M14" s="67">
        <f t="shared" si="0"/>
        <v>941</v>
      </c>
      <c r="N14" s="83">
        <f>N9</f>
        <v>0.88</v>
      </c>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0.83799999999999997</v>
      </c>
      <c r="H16" s="90">
        <f>ROUND(SUMPRODUCT(H6:H13,K6:K13)/SUMPRODUCT((H6:H13&gt;0)*(K6:K13)),3)</f>
        <v>4.9000000000000002E-2</v>
      </c>
      <c r="I16" s="91"/>
      <c r="J16" s="91"/>
      <c r="K16" s="92">
        <f>SUM(K6:K15)</f>
        <v>67567.27</v>
      </c>
      <c r="L16" s="93">
        <f>ROUND(M16*10000/SUM(K6:K14),0)</f>
        <v>6000</v>
      </c>
      <c r="M16" s="93">
        <f>SUM(M6:M14)</f>
        <v>40540</v>
      </c>
      <c r="N16" s="94">
        <f>ROUND(SUMPRODUCT(M6:M14,N6:N14)/M16,3)</f>
        <v>0.88</v>
      </c>
      <c r="O16" s="93">
        <f>SUM(O6:O14)</f>
        <v>0</v>
      </c>
      <c r="P16" s="93">
        <f>SUM(P6:P14)</f>
        <v>0</v>
      </c>
      <c r="Q16" s="95">
        <f>ROUND(SUMPRODUCT(Q6:Q13,K6:K13)/SUMPRODUCT((Q6:Q13&gt;0)*(K6:K13)),2)</f>
        <v>0.14000000000000001</v>
      </c>
      <c r="R16" s="1030">
        <f ca="1">SUM(R6:R13)</f>
        <v>9678.19</v>
      </c>
      <c r="S16" s="96">
        <f>SUM(S6:S13)</f>
        <v>1568.8899999999999</v>
      </c>
      <c r="T16" s="97">
        <f>IF(SUMIF(T6:T13,"&lt;9E307")=M14,SUMIF(T6:T13,"&lt;9E307"),"有误，请检查")</f>
        <v>941</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2016</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8" t="s">
        <v>1211</v>
      </c>
      <c r="B19" s="103">
        <v>0</v>
      </c>
      <c r="C19" s="2794" t="s">
        <v>2304</v>
      </c>
      <c r="D19" s="2671"/>
      <c r="E19" s="2668"/>
      <c r="F19" s="2668"/>
      <c r="G19" s="2668"/>
      <c r="H19" s="2668"/>
      <c r="I19" s="2668"/>
      <c r="J19" s="2668"/>
      <c r="K19" s="2667"/>
      <c r="L19" s="2667"/>
      <c r="M19" s="2666"/>
      <c r="N19" s="2666">
        <f>ROUND(1-(2023-N18)/60,2)</f>
        <v>0.88</v>
      </c>
      <c r="O19" s="2666"/>
      <c r="P19" s="2666"/>
      <c r="Q19" s="2666"/>
      <c r="R19" s="2666"/>
      <c r="S19" s="2666"/>
      <c r="T19" s="2666"/>
      <c r="U19" s="2666">
        <f>'数据-汇总表'!F19</f>
        <v>3129.11</v>
      </c>
      <c r="V19" s="2666">
        <v>15.35</v>
      </c>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9" t="s">
        <v>1212</v>
      </c>
      <c r="B20" s="104">
        <v>2</v>
      </c>
      <c r="C20" s="2795" t="s">
        <v>2302</v>
      </c>
      <c r="D20" s="2671"/>
      <c r="E20" s="2668"/>
      <c r="F20" s="2668"/>
      <c r="G20" s="2668"/>
      <c r="H20" s="2668"/>
      <c r="I20" s="2668"/>
      <c r="J20" s="2668"/>
      <c r="K20" s="2667"/>
      <c r="L20" s="2667"/>
      <c r="M20" s="2666"/>
      <c r="N20" s="2666">
        <v>0.8</v>
      </c>
      <c r="O20" s="2666"/>
      <c r="P20" s="2666"/>
      <c r="Q20" s="2666"/>
      <c r="R20" s="2666"/>
      <c r="S20" s="2666"/>
      <c r="T20" s="2666"/>
      <c r="U20" s="2666">
        <f>'数据-汇总表'!G19</f>
        <v>3312.19</v>
      </c>
      <c r="V20" s="2666">
        <v>5</v>
      </c>
      <c r="W20" s="2666">
        <v>0.5</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0" t="s">
        <v>1213</v>
      </c>
      <c r="B21" s="104">
        <f>B20</f>
        <v>2</v>
      </c>
      <c r="C21" s="2668"/>
      <c r="D21" s="2671"/>
      <c r="E21" s="2668"/>
      <c r="F21" s="2668"/>
      <c r="G21" s="2668"/>
      <c r="H21" s="2668"/>
      <c r="I21" s="2668"/>
      <c r="J21" s="2668"/>
      <c r="K21" s="2667"/>
      <c r="L21" s="2667"/>
      <c r="M21" s="2666"/>
      <c r="N21" s="2666">
        <f>(N19+N20)/2</f>
        <v>0.84000000000000008</v>
      </c>
      <c r="O21" s="2666"/>
      <c r="P21" s="2666"/>
      <c r="Q21" s="2666"/>
      <c r="R21" s="2666"/>
      <c r="S21" s="2666"/>
      <c r="T21" s="2666"/>
      <c r="U21" s="2666">
        <f>U19+U20</f>
        <v>6441.3</v>
      </c>
      <c r="V21" s="2666">
        <f>(V19*U19+V20*U20)/U21</f>
        <v>10.027911834567556</v>
      </c>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9"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0"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1"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3"/>
      <c r="B25" s="1683"/>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9" t="s">
        <v>1217</v>
      </c>
      <c r="B26" s="1722"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7.75">
      <c r="A27" s="1723" t="s">
        <v>1220</v>
      </c>
      <c r="B27" s="107"/>
      <c r="C27" s="2796" t="s">
        <v>2306</v>
      </c>
      <c r="D27" s="2674"/>
      <c r="E27" s="2657"/>
      <c r="F27" s="2657"/>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190</v>
      </c>
      <c r="C28" s="2675"/>
      <c r="D28" s="2674"/>
      <c r="E28" s="2657"/>
      <c r="F28" s="2657"/>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v>1284</v>
      </c>
      <c r="C29" s="2797" t="s">
        <v>2293</v>
      </c>
      <c r="D29" s="2674"/>
      <c r="E29" s="2657"/>
      <c r="F29" s="2657"/>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71">
        <v>200</v>
      </c>
      <c r="C30" s="2675"/>
      <c r="D30" s="2674"/>
      <c r="E30" s="2657"/>
      <c r="F30" s="2657"/>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3"/>
      <c r="D31" s="2674"/>
      <c r="E31" s="2657"/>
      <c r="F31" s="2657"/>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673">
        <v>0.03</v>
      </c>
      <c r="C33" s="2798"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113">
        <v>0</v>
      </c>
      <c r="C34" s="2798"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8"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1.4999999999999999E-2</v>
      </c>
      <c r="C36" s="2798"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7" t="s">
        <v>1230</v>
      </c>
      <c r="B37" s="115">
        <v>0.02</v>
      </c>
      <c r="C37" s="2798"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5" t="s">
        <v>1231</v>
      </c>
      <c r="B38" s="113">
        <v>0.02</v>
      </c>
      <c r="C38" s="2798"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8"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2313</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3"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9"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9"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0" t="s">
        <v>1236</v>
      </c>
      <c r="B44" s="119">
        <v>7.0000000000000007E-2</v>
      </c>
      <c r="C44" s="2798"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0" t="s">
        <v>1237</v>
      </c>
      <c r="B45" s="117">
        <v>0.03</v>
      </c>
      <c r="C45" s="2797"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0" t="s">
        <v>1238</v>
      </c>
      <c r="B46" s="117">
        <v>0.02</v>
      </c>
      <c r="C46" s="2797"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1239</v>
      </c>
      <c r="B47" s="120"/>
      <c r="C47" s="2800"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2" t="s">
        <v>1240</v>
      </c>
      <c r="B48" s="121">
        <v>0.03</v>
      </c>
      <c r="C48" s="2797"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1241</v>
      </c>
      <c r="B49" s="117">
        <v>5.0000000000000001E-4</v>
      </c>
      <c r="C49" s="2797"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3" t="s">
        <v>1242</v>
      </c>
      <c r="B50" s="122">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1243</v>
      </c>
      <c r="B51" s="123">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3" t="s">
        <v>1244</v>
      </c>
      <c r="B52" s="124">
        <f>SUMIF(A54:A63,B53,B54:B63)</f>
        <v>30</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5" t="s">
        <v>1245</v>
      </c>
      <c r="B53" s="1734" t="s">
        <v>144</v>
      </c>
      <c r="C53" s="2657" t="s">
        <v>1246</v>
      </c>
      <c r="D53" s="2799"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5"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5"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5"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5"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5"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5"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5"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5"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5"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68" t="s">
        <v>2285</v>
      </c>
      <c r="B1" s="3569"/>
      <c r="C1" s="3569"/>
      <c r="D1" s="3569"/>
      <c r="E1" s="3569"/>
      <c r="F1" s="3569"/>
      <c r="G1" s="356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5"/>
      <c r="I2" s="795"/>
      <c r="J2" s="795"/>
      <c r="K2" s="795"/>
      <c r="L2" s="795"/>
      <c r="M2" s="795"/>
      <c r="N2" s="795"/>
      <c r="O2" s="795"/>
      <c r="P2" s="795"/>
      <c r="Q2" s="795"/>
      <c r="R2" s="795"/>
    </row>
    <row r="3" spans="1:29" ht="48">
      <c r="A3" s="2437" t="s">
        <v>2282</v>
      </c>
      <c r="B3" s="2459" t="s">
        <v>2251</v>
      </c>
      <c r="C3" s="2460" t="s">
        <v>2283</v>
      </c>
      <c r="D3" s="2461"/>
      <c r="E3" s="2438" t="s">
        <v>2282</v>
      </c>
      <c r="F3" s="2462" t="s">
        <v>2252</v>
      </c>
      <c r="G3" s="2463" t="s">
        <v>2284</v>
      </c>
      <c r="H3" s="795"/>
      <c r="I3" s="795"/>
      <c r="J3" s="795"/>
      <c r="K3" s="795"/>
      <c r="L3" s="795"/>
      <c r="M3" s="795"/>
      <c r="N3" s="795"/>
      <c r="O3" s="795"/>
      <c r="P3" s="795"/>
      <c r="Q3" s="795"/>
      <c r="R3" s="795"/>
    </row>
    <row r="4" spans="1:29" ht="36.75">
      <c r="A4" s="2438"/>
      <c r="B4" s="323" t="s">
        <v>2253</v>
      </c>
      <c r="C4" s="2464" t="s">
        <v>2254</v>
      </c>
      <c r="D4" s="2461"/>
      <c r="E4" s="2465"/>
      <c r="F4" s="1369" t="s">
        <v>2255</v>
      </c>
      <c r="G4" s="2466" t="s">
        <v>2256</v>
      </c>
      <c r="H4" s="795"/>
      <c r="I4" s="795"/>
      <c r="J4" s="795"/>
      <c r="K4" s="795"/>
      <c r="L4" s="795"/>
      <c r="M4" s="795"/>
      <c r="N4" s="795"/>
      <c r="O4" s="795"/>
      <c r="P4" s="795"/>
      <c r="Q4" s="795"/>
      <c r="R4" s="795"/>
    </row>
    <row r="5" spans="1:29" ht="36.75">
      <c r="A5" s="2438"/>
      <c r="B5" s="323" t="s">
        <v>2257</v>
      </c>
      <c r="C5" s="2464" t="s">
        <v>2258</v>
      </c>
      <c r="D5" s="2461"/>
      <c r="E5" s="2465"/>
      <c r="F5" s="323" t="s">
        <v>2259</v>
      </c>
      <c r="G5" s="2466" t="s">
        <v>2260</v>
      </c>
      <c r="H5" s="795"/>
      <c r="I5" s="795"/>
      <c r="J5" s="795"/>
      <c r="K5" s="795"/>
      <c r="L5" s="795"/>
      <c r="M5" s="795"/>
      <c r="N5" s="795"/>
      <c r="O5" s="795"/>
      <c r="P5" s="795"/>
      <c r="Q5" s="795"/>
      <c r="R5" s="795"/>
    </row>
    <row r="6" spans="1:29" ht="36">
      <c r="A6" s="2438"/>
      <c r="B6" s="323" t="s">
        <v>2261</v>
      </c>
      <c r="C6" s="2466" t="s">
        <v>2256</v>
      </c>
      <c r="D6" s="2461"/>
      <c r="E6" s="2465"/>
      <c r="F6" s="323" t="s">
        <v>2262</v>
      </c>
      <c r="G6" s="2466" t="s">
        <v>2263</v>
      </c>
      <c r="H6" s="795"/>
      <c r="I6" s="795"/>
      <c r="J6" s="795"/>
      <c r="K6" s="795"/>
      <c r="L6" s="795"/>
      <c r="M6" s="795"/>
      <c r="N6" s="795"/>
      <c r="O6" s="795"/>
      <c r="P6" s="795"/>
      <c r="Q6" s="795"/>
      <c r="R6" s="795"/>
    </row>
    <row r="7" spans="1:29" ht="24.75" thickBot="1">
      <c r="A7" s="2438"/>
      <c r="B7" s="323" t="s">
        <v>2259</v>
      </c>
      <c r="C7" s="2466" t="s">
        <v>2260</v>
      </c>
      <c r="D7" s="2467"/>
      <c r="E7" s="2468"/>
      <c r="F7" s="2469" t="s">
        <v>2264</v>
      </c>
      <c r="G7" s="2470" t="s">
        <v>2265</v>
      </c>
      <c r="H7" s="795"/>
      <c r="I7" s="795"/>
      <c r="J7" s="795"/>
      <c r="K7" s="795"/>
      <c r="L7" s="795"/>
      <c r="M7" s="795"/>
      <c r="N7" s="795"/>
      <c r="O7" s="795"/>
      <c r="P7" s="795"/>
      <c r="Q7" s="795"/>
      <c r="R7" s="795"/>
    </row>
    <row r="8" spans="1:29">
      <c r="A8" s="2438"/>
      <c r="B8" s="323" t="s">
        <v>2262</v>
      </c>
      <c r="C8" s="2466" t="s">
        <v>2263</v>
      </c>
      <c r="D8" s="2467"/>
      <c r="E8" s="2467"/>
      <c r="F8" s="2471"/>
      <c r="G8" s="2471"/>
      <c r="H8" s="795"/>
      <c r="I8" s="795"/>
      <c r="J8" s="795"/>
      <c r="K8" s="795"/>
      <c r="L8" s="795"/>
      <c r="M8" s="795"/>
      <c r="N8" s="795"/>
      <c r="O8" s="795"/>
      <c r="P8" s="795"/>
      <c r="Q8" s="795"/>
      <c r="R8" s="795"/>
    </row>
    <row r="9" spans="1:29" ht="24">
      <c r="A9" s="2438"/>
      <c r="B9" s="323" t="s">
        <v>2266</v>
      </c>
      <c r="C9" s="2464" t="s">
        <v>2267</v>
      </c>
      <c r="D9" s="2461"/>
      <c r="E9" s="2467"/>
      <c r="F9" s="2471"/>
      <c r="G9" s="2471"/>
      <c r="H9" s="795"/>
      <c r="I9" s="795"/>
      <c r="J9" s="795"/>
      <c r="K9" s="795"/>
      <c r="L9" s="795"/>
      <c r="M9" s="795"/>
      <c r="N9" s="795"/>
      <c r="O9" s="795"/>
      <c r="P9" s="795"/>
      <c r="Q9" s="795"/>
      <c r="R9" s="795"/>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5" customFormat="1" ht="15" thickBot="1">
      <c r="A23" s="2442"/>
      <c r="B23" s="2498" t="s">
        <v>2277</v>
      </c>
      <c r="C23" s="2501"/>
      <c r="D23" s="1737"/>
      <c r="E23" s="2444"/>
      <c r="F23" s="2502" t="s">
        <v>2278</v>
      </c>
      <c r="G23" s="2503"/>
      <c r="H23" s="2487"/>
      <c r="I23" s="2488"/>
      <c r="J23" s="2487"/>
      <c r="K23" s="2487"/>
      <c r="L23" s="2488"/>
      <c r="M23" s="2487"/>
      <c r="N23" s="2487"/>
      <c r="O23" s="2488"/>
      <c r="P23" s="2487"/>
      <c r="Q23" s="2487"/>
      <c r="R23" s="2489"/>
    </row>
    <row r="24" spans="1:18" s="795" customFormat="1" ht="15" thickBot="1">
      <c r="A24" s="2445"/>
      <c r="B24" s="2502" t="s">
        <v>2279</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67567.27</v>
      </c>
      <c r="C1" s="2681"/>
      <c r="D1" s="2681"/>
      <c r="E1" s="2681"/>
      <c r="F1" s="2681"/>
      <c r="G1" s="2682"/>
      <c r="H1" s="2683"/>
      <c r="I1" s="2683"/>
      <c r="J1" s="2683"/>
      <c r="K1" s="2683"/>
    </row>
    <row r="2" spans="1:11" ht="16.5">
      <c r="A2" s="2508" t="s">
        <v>653</v>
      </c>
      <c r="B2" s="2508">
        <f>SUM(C14:C23)</f>
        <v>9678.19</v>
      </c>
      <c r="C2" s="2681"/>
      <c r="D2" s="2681"/>
      <c r="E2" s="2681"/>
      <c r="F2" s="2681"/>
      <c r="G2" s="2682"/>
      <c r="H2" s="2683"/>
      <c r="I2" s="2683"/>
      <c r="J2" s="2683"/>
      <c r="K2" s="2683"/>
    </row>
    <row r="3" spans="1:11" ht="16.5">
      <c r="A3" s="2508" t="s">
        <v>662</v>
      </c>
      <c r="B3" s="2510">
        <f>项目基本情况!D3</f>
        <v>45279</v>
      </c>
      <c r="C3" s="2681"/>
      <c r="D3" s="2681"/>
      <c r="E3" s="2681"/>
      <c r="F3" s="2681"/>
      <c r="G3" s="2682"/>
      <c r="H3" s="2683"/>
      <c r="I3" s="2683"/>
      <c r="J3" s="2683"/>
      <c r="K3" s="2683"/>
    </row>
    <row r="4" spans="1:11" ht="33">
      <c r="A4" s="2508" t="s">
        <v>661</v>
      </c>
      <c r="B4" s="2508" t="s">
        <v>660</v>
      </c>
      <c r="C4" s="2508" t="s">
        <v>659</v>
      </c>
      <c r="D4" s="2508" t="s">
        <v>658</v>
      </c>
      <c r="E4" s="2681"/>
      <c r="F4" s="2682"/>
      <c r="G4" s="2682"/>
      <c r="H4" s="2683"/>
      <c r="I4" s="2683"/>
      <c r="J4" s="2683"/>
      <c r="K4" s="2683"/>
    </row>
    <row r="5" spans="1:11" ht="16.5">
      <c r="A5" s="2508" t="s">
        <v>657</v>
      </c>
      <c r="B5" s="2508">
        <f ca="1">SUM(D14:D23)</f>
        <v>290693</v>
      </c>
      <c r="C5" s="2508">
        <f ca="1">IF(B5=D14,结果表!H102,ROUND(B5*10000/$B$1,0))</f>
        <v>43023</v>
      </c>
      <c r="D5" s="2508">
        <f ca="1">ROUND(B5*10000/$B$2,0)</f>
        <v>300359</v>
      </c>
      <c r="E5" s="2681"/>
      <c r="F5" s="2682"/>
      <c r="G5" s="2682"/>
      <c r="H5" s="2683"/>
      <c r="I5" s="2683"/>
      <c r="J5" s="2683"/>
      <c r="K5" s="2683"/>
    </row>
    <row r="6" spans="1:11" ht="16.5">
      <c r="A6" s="2508" t="s">
        <v>656</v>
      </c>
      <c r="B6" s="2508">
        <f ca="1">SUM(G14:G23)</f>
        <v>290693</v>
      </c>
      <c r="C6" s="2508">
        <f ca="1">IF(B6=G14,结果表!H108,ROUND(B6*10000/$B$1,0))</f>
        <v>43023</v>
      </c>
      <c r="D6" s="2508">
        <f ca="1">ROUND(B6*10000/$B$2,0)</f>
        <v>300359</v>
      </c>
      <c r="E6" s="2681"/>
      <c r="F6" s="2682"/>
      <c r="G6" s="2682"/>
      <c r="H6" s="2683"/>
      <c r="I6" s="2683"/>
      <c r="J6" s="2683"/>
      <c r="K6" s="2683"/>
    </row>
    <row r="7" spans="1:11" ht="16.5">
      <c r="A7" s="2508" t="s">
        <v>664</v>
      </c>
      <c r="B7" s="2508">
        <f>SUM(H14:H23)</f>
        <v>0</v>
      </c>
      <c r="C7" s="2508" t="str">
        <f>IF(B7=H14,结果表!H110,ROUND(B7*10000/$B$1,0))</f>
        <v>——</v>
      </c>
      <c r="D7" s="2508">
        <f>ROUND(B7*10000/$B$2,0)</f>
        <v>0</v>
      </c>
      <c r="E7" s="2681"/>
      <c r="F7" s="2682"/>
      <c r="G7" s="2682"/>
      <c r="H7" s="2683"/>
      <c r="I7" s="2683"/>
      <c r="J7" s="2683"/>
      <c r="K7" s="2683"/>
    </row>
    <row r="8" spans="1:11" ht="16.5">
      <c r="A8" s="2508" t="s">
        <v>587</v>
      </c>
      <c r="B8" s="2508">
        <f>SUM(I14:I23)</f>
        <v>0</v>
      </c>
      <c r="C8" s="2508" t="str">
        <f>IF(B8=I14,结果表!H112,ROUND(B8*10000/$B$1,0))</f>
        <v>——</v>
      </c>
      <c r="D8" s="2508">
        <f>ROUND(B8*10000/$B$2,0)</f>
        <v>0</v>
      </c>
      <c r="E8" s="2681"/>
      <c r="F8" s="2682"/>
      <c r="G8" s="2682"/>
      <c r="H8" s="2683"/>
      <c r="I8" s="2683"/>
      <c r="J8" s="2683"/>
      <c r="K8" s="2683"/>
    </row>
    <row r="9" spans="1:11" ht="16.5">
      <c r="A9" s="2508" t="s">
        <v>655</v>
      </c>
      <c r="B9" s="2516"/>
      <c r="C9" s="2681"/>
      <c r="D9" s="2681"/>
      <c r="E9" s="2681"/>
      <c r="F9" s="2682"/>
      <c r="G9" s="2682"/>
      <c r="H9" s="2683"/>
      <c r="I9" s="2683"/>
      <c r="J9" s="2683"/>
      <c r="K9" s="2683"/>
    </row>
    <row r="10" spans="1:11" ht="16.5">
      <c r="A10" s="2508" t="s">
        <v>654</v>
      </c>
      <c r="B10" s="2508">
        <f>IF(E10="",0,ROUND(B1*(E10*365/G10)/10000,0))</f>
        <v>0</v>
      </c>
      <c r="C10" s="2508" t="s">
        <v>3357</v>
      </c>
      <c r="D10" s="2508" t="s">
        <v>3358</v>
      </c>
      <c r="E10" s="3435"/>
      <c r="F10" s="3439" t="s">
        <v>3359</v>
      </c>
      <c r="G10" s="3436"/>
      <c r="H10" s="2683"/>
      <c r="I10" s="2683"/>
      <c r="J10" s="2683"/>
      <c r="K10" s="2683"/>
    </row>
    <row r="11" spans="1:11" ht="16.5">
      <c r="A11" s="2508" t="s">
        <v>670</v>
      </c>
      <c r="B11" s="2516"/>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1" t="s">
        <v>669</v>
      </c>
      <c r="B13" s="2512" t="s">
        <v>666</v>
      </c>
      <c r="C13" s="2512" t="s">
        <v>668</v>
      </c>
      <c r="D13" s="2512" t="s">
        <v>667</v>
      </c>
      <c r="E13" s="2508" t="s">
        <v>659</v>
      </c>
      <c r="F13" s="2508" t="s">
        <v>658</v>
      </c>
      <c r="G13" s="2512" t="s">
        <v>652</v>
      </c>
      <c r="H13" s="2512" t="s">
        <v>663</v>
      </c>
      <c r="I13" s="2512" t="s">
        <v>651</v>
      </c>
      <c r="J13" s="2682"/>
      <c r="K13" s="2683"/>
    </row>
    <row r="14" spans="1:11" ht="16.5">
      <c r="A14" s="2513" t="s">
        <v>650</v>
      </c>
      <c r="B14" s="2514">
        <f>结果表!B118</f>
        <v>67567.27</v>
      </c>
      <c r="C14" s="2514">
        <f>结果表!C118</f>
        <v>9678.19</v>
      </c>
      <c r="D14" s="2514">
        <f ca="1">结果表!H118</f>
        <v>290693</v>
      </c>
      <c r="E14" s="2514">
        <f ca="1">结果表!G20</f>
        <v>43023</v>
      </c>
      <c r="F14" s="2514">
        <f ca="1">ROUND(D14*10000/C14,0)</f>
        <v>300359</v>
      </c>
      <c r="G14" s="2514">
        <f ca="1">D14</f>
        <v>290693</v>
      </c>
      <c r="H14" s="2514"/>
      <c r="I14" s="2514"/>
      <c r="J14" s="2682"/>
      <c r="K14" s="2683"/>
    </row>
    <row r="15" spans="1:11" ht="16.5">
      <c r="A15" s="2513" t="s">
        <v>649</v>
      </c>
      <c r="B15" s="2515"/>
      <c r="C15" s="2515"/>
      <c r="D15" s="2515"/>
      <c r="E15" s="2514" t="e">
        <f t="shared" ref="E15:E23" si="0">ROUND(D15*10000/B15,0)</f>
        <v>#DIV/0!</v>
      </c>
      <c r="F15" s="2514" t="e">
        <f t="shared" ref="F15:F23" si="1">ROUND(D15*10000/C15,0)</f>
        <v>#DIV/0!</v>
      </c>
      <c r="G15" s="1327"/>
      <c r="H15" s="1327"/>
      <c r="I15" s="2515"/>
      <c r="J15" s="2682"/>
      <c r="K15" s="2683"/>
    </row>
    <row r="16" spans="1:11" ht="16.5">
      <c r="A16" s="2513" t="s">
        <v>648</v>
      </c>
      <c r="B16" s="2515"/>
      <c r="C16" s="2515"/>
      <c r="D16" s="2515"/>
      <c r="E16" s="2514" t="e">
        <f t="shared" si="0"/>
        <v>#DIV/0!</v>
      </c>
      <c r="F16" s="2514" t="e">
        <f t="shared" si="1"/>
        <v>#DIV/0!</v>
      </c>
      <c r="G16" s="1327"/>
      <c r="H16" s="1327"/>
      <c r="I16" s="2515"/>
      <c r="J16" s="2683"/>
      <c r="K16" s="2683"/>
    </row>
    <row r="17" spans="1:11" ht="16.5">
      <c r="A17" s="2513" t="s">
        <v>647</v>
      </c>
      <c r="B17" s="2515"/>
      <c r="C17" s="2515"/>
      <c r="D17" s="2515"/>
      <c r="E17" s="2514" t="e">
        <f t="shared" si="0"/>
        <v>#DIV/0!</v>
      </c>
      <c r="F17" s="2514" t="e">
        <f t="shared" si="1"/>
        <v>#DIV/0!</v>
      </c>
      <c r="G17" s="1327"/>
      <c r="H17" s="1327"/>
      <c r="I17" s="2515"/>
      <c r="J17" s="2683"/>
      <c r="K17" s="2683"/>
    </row>
    <row r="18" spans="1:11" ht="16.5">
      <c r="A18" s="2513" t="s">
        <v>646</v>
      </c>
      <c r="B18" s="2515"/>
      <c r="C18" s="2515"/>
      <c r="D18" s="2515"/>
      <c r="E18" s="2514" t="e">
        <f t="shared" si="0"/>
        <v>#DIV/0!</v>
      </c>
      <c r="F18" s="2514" t="e">
        <f t="shared" si="1"/>
        <v>#DIV/0!</v>
      </c>
      <c r="G18" s="2515"/>
      <c r="H18" s="2515"/>
      <c r="I18" s="2515"/>
      <c r="J18" s="2683"/>
      <c r="K18" s="2683"/>
    </row>
    <row r="19" spans="1:11" ht="16.5">
      <c r="A19" s="2513" t="s">
        <v>645</v>
      </c>
      <c r="B19" s="2515"/>
      <c r="C19" s="2515"/>
      <c r="D19" s="2515"/>
      <c r="E19" s="2514" t="e">
        <f t="shared" si="0"/>
        <v>#DIV/0!</v>
      </c>
      <c r="F19" s="2514" t="e">
        <f t="shared" si="1"/>
        <v>#DIV/0!</v>
      </c>
      <c r="G19" s="2515"/>
      <c r="H19" s="2515"/>
      <c r="I19" s="2515"/>
      <c r="J19" s="2683"/>
      <c r="K19" s="2683"/>
    </row>
    <row r="20" spans="1:11" ht="16.5">
      <c r="A20" s="2513" t="s">
        <v>644</v>
      </c>
      <c r="B20" s="2515"/>
      <c r="C20" s="2515"/>
      <c r="D20" s="2515"/>
      <c r="E20" s="2514" t="e">
        <f t="shared" si="0"/>
        <v>#DIV/0!</v>
      </c>
      <c r="F20" s="2514" t="e">
        <f t="shared" si="1"/>
        <v>#DIV/0!</v>
      </c>
      <c r="G20" s="2515"/>
      <c r="H20" s="2515"/>
      <c r="I20" s="2515"/>
      <c r="J20" s="2683"/>
      <c r="K20" s="2683"/>
    </row>
    <row r="21" spans="1:11" ht="16.5">
      <c r="A21" s="2513" t="s">
        <v>643</v>
      </c>
      <c r="B21" s="2515"/>
      <c r="C21" s="2515"/>
      <c r="D21" s="2515"/>
      <c r="E21" s="2514" t="e">
        <f t="shared" si="0"/>
        <v>#DIV/0!</v>
      </c>
      <c r="F21" s="2514" t="e">
        <f t="shared" si="1"/>
        <v>#DIV/0!</v>
      </c>
      <c r="G21" s="2515"/>
      <c r="H21" s="2515"/>
      <c r="I21" s="2515"/>
      <c r="J21" s="2683"/>
      <c r="K21" s="2683"/>
    </row>
    <row r="22" spans="1:11" ht="16.5">
      <c r="A22" s="2513" t="s">
        <v>642</v>
      </c>
      <c r="B22" s="2515"/>
      <c r="C22" s="2515"/>
      <c r="D22" s="2515"/>
      <c r="E22" s="2514" t="e">
        <f t="shared" si="0"/>
        <v>#DIV/0!</v>
      </c>
      <c r="F22" s="2514" t="e">
        <f t="shared" si="1"/>
        <v>#DIV/0!</v>
      </c>
      <c r="G22" s="2515"/>
      <c r="H22" s="2515"/>
      <c r="I22" s="2515"/>
      <c r="J22" s="2683"/>
      <c r="K22" s="2683"/>
    </row>
    <row r="23" spans="1:11" ht="16.5">
      <c r="A23" s="2513" t="s">
        <v>641</v>
      </c>
      <c r="B23" s="2515"/>
      <c r="C23" s="2515"/>
      <c r="D23" s="2515"/>
      <c r="E23" s="2516" t="e">
        <f t="shared" si="0"/>
        <v>#DIV/0!</v>
      </c>
      <c r="F23" s="2516" t="e">
        <f t="shared" si="1"/>
        <v>#DIV/0!</v>
      </c>
      <c r="G23" s="2515"/>
      <c r="H23" s="2515"/>
      <c r="I23" s="2515"/>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2" zoomScale="85" zoomScaleNormal="100" zoomScaleSheetLayoutView="85" zoomScalePageLayoutView="80" workbookViewId="0">
      <selection activeCell="H50" sqref="H50"/>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1262</v>
      </c>
      <c r="B1" s="1743"/>
      <c r="C1" s="1744"/>
      <c r="D1" s="1743"/>
      <c r="E1" s="1743"/>
      <c r="F1" s="1745" t="s">
        <v>1263</v>
      </c>
      <c r="G1" s="1557" t="s">
        <v>3484</v>
      </c>
      <c r="H1" s="1746" t="str">
        <f>IF(G1="现房","——","估价对象范围")</f>
        <v>——</v>
      </c>
      <c r="I1" s="1747"/>
    </row>
    <row r="2" spans="1:12" ht="21.75" customHeight="1" thickBot="1">
      <c r="A2" s="3637" t="str">
        <f>项目基本情况!S2</f>
        <v>北京市丰台区青塔西路58号院22号楼3层301-306/203-205房地产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0" t="s">
        <v>1265</v>
      </c>
      <c r="B4" s="1751" t="s">
        <v>1266</v>
      </c>
      <c r="C4" s="1752" t="s">
        <v>3486</v>
      </c>
      <c r="D4" s="1752" t="s">
        <v>3483</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c r="D5" s="3631"/>
      <c r="E5" s="131" t="s">
        <v>1269</v>
      </c>
      <c r="F5" s="1753"/>
      <c r="G5" s="1753"/>
      <c r="H5" s="1753"/>
      <c r="I5" s="1369"/>
    </row>
    <row r="6" spans="1:12" ht="12.75">
      <c r="A6" s="3585"/>
      <c r="B6" s="3640"/>
      <c r="C6" s="3645"/>
      <c r="D6" s="3631"/>
      <c r="E6" s="131" t="s">
        <v>1270</v>
      </c>
      <c r="F6" s="1753"/>
      <c r="G6" s="1753"/>
      <c r="H6" s="1753"/>
      <c r="I6" s="1369"/>
    </row>
    <row r="7" spans="1:12" ht="12.75">
      <c r="A7" s="3585"/>
      <c r="B7" s="3640"/>
      <c r="C7" s="3644"/>
      <c r="D7" s="3631"/>
      <c r="E7" s="131" t="s">
        <v>1271</v>
      </c>
      <c r="F7" s="1753"/>
      <c r="G7" s="1753"/>
      <c r="H7" s="1753"/>
      <c r="I7" s="1369"/>
    </row>
    <row r="8" spans="1:12" ht="12.75">
      <c r="A8" s="3585" t="s">
        <v>1272</v>
      </c>
      <c r="B8" s="3640">
        <v>15</v>
      </c>
      <c r="C8" s="3643"/>
      <c r="D8" s="3631"/>
      <c r="E8" s="131" t="s">
        <v>1273</v>
      </c>
      <c r="F8" s="1753"/>
      <c r="G8" s="1753"/>
      <c r="H8" s="1753"/>
      <c r="I8" s="1369"/>
    </row>
    <row r="9" spans="1:12" ht="12.75">
      <c r="A9" s="3585"/>
      <c r="B9" s="3640"/>
      <c r="C9" s="3644"/>
      <c r="D9" s="3631"/>
      <c r="E9" s="131" t="s">
        <v>1274</v>
      </c>
      <c r="F9" s="1753"/>
      <c r="G9" s="1753"/>
      <c r="H9" s="1753"/>
      <c r="I9" s="1369"/>
    </row>
    <row r="10" spans="1:12" ht="12.75">
      <c r="A10" s="3585" t="s">
        <v>1275</v>
      </c>
      <c r="B10" s="3640">
        <v>15</v>
      </c>
      <c r="C10" s="3643"/>
      <c r="D10" s="3631"/>
      <c r="E10" s="131" t="s">
        <v>1276</v>
      </c>
      <c r="F10" s="1753"/>
      <c r="G10" s="1753"/>
      <c r="H10" s="1753"/>
      <c r="I10" s="1369"/>
    </row>
    <row r="11" spans="1:12" ht="12.75">
      <c r="A11" s="3585"/>
      <c r="B11" s="3640"/>
      <c r="C11" s="3644"/>
      <c r="D11" s="3631"/>
      <c r="E11" s="131" t="s">
        <v>1277</v>
      </c>
      <c r="F11" s="1753"/>
      <c r="G11" s="1753"/>
      <c r="H11" s="1753"/>
      <c r="I11" s="1369"/>
    </row>
    <row r="12" spans="1:12" ht="12.75">
      <c r="A12" s="3585" t="s">
        <v>1278</v>
      </c>
      <c r="B12" s="3640">
        <v>15</v>
      </c>
      <c r="C12" s="3643"/>
      <c r="D12" s="3631"/>
      <c r="E12" s="131" t="s">
        <v>1279</v>
      </c>
      <c r="F12" s="1753"/>
      <c r="G12" s="1753"/>
      <c r="H12" s="1753"/>
      <c r="I12" s="1369"/>
    </row>
    <row r="13" spans="1:12" ht="12.75">
      <c r="A13" s="3585"/>
      <c r="B13" s="3640"/>
      <c r="C13" s="3644"/>
      <c r="D13" s="3631"/>
      <c r="E13" s="131" t="s">
        <v>1280</v>
      </c>
      <c r="F13" s="1753"/>
      <c r="G13" s="1753"/>
      <c r="H13" s="1753"/>
      <c r="I13" s="1369"/>
    </row>
    <row r="14" spans="1:12" ht="12.75">
      <c r="A14" s="3585" t="s">
        <v>1281</v>
      </c>
      <c r="B14" s="3640">
        <v>30</v>
      </c>
      <c r="C14" s="3643">
        <v>5</v>
      </c>
      <c r="D14" s="3631">
        <v>5</v>
      </c>
      <c r="E14" s="131" t="s">
        <v>1282</v>
      </c>
      <c r="F14" s="1753"/>
      <c r="G14" s="1753"/>
      <c r="H14" s="1753"/>
      <c r="I14" s="1369"/>
    </row>
    <row r="15" spans="1:12" ht="12.75">
      <c r="A15" s="3585"/>
      <c r="B15" s="3640"/>
      <c r="C15" s="3645"/>
      <c r="D15" s="3631"/>
      <c r="E15" s="131" t="s">
        <v>1283</v>
      </c>
      <c r="F15" s="1753"/>
      <c r="G15" s="1753"/>
      <c r="H15" s="1753"/>
      <c r="I15" s="1369"/>
    </row>
    <row r="16" spans="1:12" ht="12.75">
      <c r="A16" s="3585"/>
      <c r="B16" s="3640"/>
      <c r="C16" s="3644"/>
      <c r="D16" s="3631"/>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62" t="s">
        <v>2130</v>
      </c>
      <c r="F18" s="3663"/>
      <c r="G18" s="3663"/>
      <c r="H18" s="3663"/>
      <c r="I18" s="3663"/>
      <c r="K18" s="302" t="s">
        <v>1289</v>
      </c>
      <c r="L18" s="302">
        <f>IF(C1="",'数据-汇总表'!E3,SUMIF(项目类型,C1,'数据-汇总表'!E17:E26)+SUMIF(项目类型,C1,'数据-汇总表'!I17:I26))</f>
        <v>67567.27</v>
      </c>
      <c r="M18" s="302">
        <f>IF(C1="",'数据-汇总表'!E3,SUMIF(项目类型,C1,'数据-汇总表'!E17:E26))</f>
        <v>67567.27</v>
      </c>
    </row>
    <row r="19" spans="1:36" ht="15">
      <c r="A19" s="1757" t="s">
        <v>1290</v>
      </c>
      <c r="B19" s="1758" t="s">
        <v>1291</v>
      </c>
      <c r="C19" s="134">
        <f ca="1">SUMIF(INDIRECT("'"&amp;C4&amp;"'"&amp;"!A:A"),结果表!B19,INDIRECT("'"&amp;C4&amp;"'"&amp;"!B:B"))</f>
        <v>324323</v>
      </c>
      <c r="D19" s="135">
        <f ca="1">SUMIF(INDIRECT("'"&amp;D4&amp;"'"&amp;"!A:A"),结果表!B19,INDIRECT("'"&amp;D4&amp;"'"&amp;"!B:B"))</f>
        <v>257063</v>
      </c>
      <c r="E19" s="1757" t="s">
        <v>1292</v>
      </c>
      <c r="F19" s="1758" t="s">
        <v>1291</v>
      </c>
      <c r="G19" s="136">
        <f ca="1">ROUND(C19*$C$18+D19*$D$18,0)</f>
        <v>290693</v>
      </c>
      <c r="H19" s="1759" t="s">
        <v>1293</v>
      </c>
      <c r="I19" s="129"/>
      <c r="K19" s="302" t="s">
        <v>1294</v>
      </c>
      <c r="L19" s="302">
        <f>IF(C1="",'数据-汇总表'!D3,SUMIF(项目类型,C1,'数据-汇总表'!D17:D26)+SUMIF(项目类型,C1,'数据-汇总表'!H17:H27))</f>
        <v>9678.19</v>
      </c>
      <c r="M19" s="302">
        <f>IF(C1="",'数据-汇总表'!D3,SUMIF(项目类型,C1,'数据-汇总表'!D17:D26))</f>
        <v>9678.19</v>
      </c>
    </row>
    <row r="20" spans="1:36" ht="15">
      <c r="A20" s="1760"/>
      <c r="B20" s="1022" t="s">
        <v>1295</v>
      </c>
      <c r="C20" s="137">
        <f ca="1">SUMIF(INDIRECT("'"&amp;C4&amp;"'"&amp;"!A:A"),结果表!B20,INDIRECT("'"&amp;C4&amp;"'"&amp;"!B:B"))</f>
        <v>48000</v>
      </c>
      <c r="D20" s="138">
        <f ca="1">SUMIF(INDIRECT("'"&amp;D4&amp;"'"&amp;"!A:A"),结果表!B20,INDIRECT("'"&amp;D4&amp;"'"&amp;"!B:B"))</f>
        <v>38045</v>
      </c>
      <c r="E20" s="1760"/>
      <c r="F20" s="1022" t="s">
        <v>1295</v>
      </c>
      <c r="G20" s="139">
        <f ca="1">ROUND(C20*$C$18+D20*$D$18,0)</f>
        <v>43023</v>
      </c>
      <c r="H20" s="804" t="s">
        <v>1296</v>
      </c>
      <c r="I20" s="129"/>
    </row>
    <row r="21" spans="1:36" ht="15" customHeight="1" thickBot="1">
      <c r="A21" s="824"/>
      <c r="B21" s="1761" t="s">
        <v>1297</v>
      </c>
      <c r="C21" s="719">
        <f ca="1">ROUND(C19*10000/L19,0)</f>
        <v>335107</v>
      </c>
      <c r="D21" s="720">
        <f ca="1">ROUND(D19*10000/L19,0)</f>
        <v>265611</v>
      </c>
      <c r="E21" s="824"/>
      <c r="F21" s="1761" t="s">
        <v>1297</v>
      </c>
      <c r="G21" s="140">
        <f ca="1">ROUND(G19*10000/L19,0)</f>
        <v>300359</v>
      </c>
      <c r="H21" s="1762" t="s">
        <v>1296</v>
      </c>
      <c r="I21" s="129"/>
    </row>
    <row r="22" spans="1:36" ht="15" thickBot="1">
      <c r="A22" s="1684" t="s">
        <v>1298</v>
      </c>
      <c r="B22" s="1763"/>
      <c r="C22" s="1764"/>
      <c r="D22" s="721">
        <f ca="1">IF(C19&lt;D19,D19/C19-1,C19/D19-1)</f>
        <v>0.26164792288271754</v>
      </c>
      <c r="E22" s="129"/>
      <c r="F22" s="129"/>
      <c r="G22" s="129"/>
      <c r="H22" s="129"/>
      <c r="I22" s="129"/>
      <c r="K22" s="725">
        <v>44000</v>
      </c>
      <c r="L22" s="725">
        <f>K22*L18</f>
        <v>2972959880</v>
      </c>
    </row>
    <row r="23" spans="1:36" ht="13.5" thickBot="1">
      <c r="A23" s="1743"/>
      <c r="B23" s="1743"/>
      <c r="C23" s="1743"/>
      <c r="D23" s="1743"/>
      <c r="E23" s="129"/>
      <c r="F23" s="129"/>
      <c r="G23" s="129"/>
      <c r="H23" s="129"/>
      <c r="I23" s="129"/>
      <c r="K23" s="725">
        <v>45000</v>
      </c>
      <c r="L23" s="725">
        <f>K23*L18</f>
        <v>3040527150</v>
      </c>
    </row>
    <row r="24" spans="1:36" ht="14.25">
      <c r="A24" s="3655" t="s">
        <v>1299</v>
      </c>
      <c r="B24" s="1758" t="s">
        <v>1291</v>
      </c>
      <c r="C24" s="136">
        <f>IF(B30=0,0,D30)</f>
        <v>0</v>
      </c>
      <c r="D24" s="1765"/>
      <c r="E24" s="129"/>
      <c r="F24" s="129"/>
      <c r="G24" s="129"/>
      <c r="H24" s="129"/>
      <c r="I24" s="129"/>
    </row>
    <row r="25" spans="1:36" ht="14.25">
      <c r="A25" s="3656"/>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'数据-汇总表'!G31*8000/10000</f>
        <v>14346.415999999999</v>
      </c>
      <c r="E27" s="129"/>
      <c r="F27" s="129"/>
      <c r="G27" s="129"/>
      <c r="H27" s="129"/>
      <c r="I27" s="129"/>
    </row>
    <row r="28" spans="1:36" ht="14.25">
      <c r="A28" s="1767"/>
      <c r="B28" s="142"/>
      <c r="C28" s="142"/>
      <c r="D28" s="143">
        <f ca="1">G19-D27</f>
        <v>276346.58399999997</v>
      </c>
      <c r="E28" s="129"/>
      <c r="F28" s="129"/>
      <c r="G28" s="129"/>
      <c r="H28" s="129"/>
      <c r="I28" s="129"/>
    </row>
    <row r="29" spans="1:36" ht="14.25">
      <c r="A29" s="1767"/>
      <c r="B29" s="142"/>
      <c r="C29" s="142"/>
      <c r="D29" s="143">
        <f ca="1">D28/'数据-汇总表'!F31*10000</f>
        <v>55676.591063630454</v>
      </c>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290693</v>
      </c>
      <c r="D32" s="1771" t="s">
        <v>3488</v>
      </c>
      <c r="E32" s="129"/>
      <c r="F32" s="129"/>
      <c r="G32" s="129"/>
      <c r="H32" s="129"/>
      <c r="I32" s="129"/>
    </row>
    <row r="33" spans="1:15" ht="15">
      <c r="A33" s="782" t="s">
        <v>1306</v>
      </c>
      <c r="B33" s="1772"/>
      <c r="C33" s="1773" t="s">
        <v>3439</v>
      </c>
      <c r="D33" s="1774" t="s">
        <v>3388</v>
      </c>
      <c r="E33" s="1775" t="s">
        <v>1307</v>
      </c>
      <c r="F33" s="1776" t="str">
        <f>IF(D32="楼面单价","取值（单价）","取值（总价）")</f>
        <v>取值（总价）</v>
      </c>
      <c r="G33" s="129"/>
      <c r="H33" s="129"/>
      <c r="I33" s="129"/>
    </row>
    <row r="34" spans="1:15" ht="15">
      <c r="A34" s="1777"/>
      <c r="B34" s="1778" t="s">
        <v>1308</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1309</v>
      </c>
      <c r="F34" s="1326"/>
      <c r="G34" s="129"/>
      <c r="H34" s="129"/>
      <c r="I34" s="129"/>
    </row>
    <row r="35" spans="1:15" ht="15.75" thickBot="1">
      <c r="A35" s="1780"/>
      <c r="B35" s="1781" t="s">
        <v>1310</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1311</v>
      </c>
      <c r="F35" s="154"/>
      <c r="G35" s="129"/>
      <c r="H35" s="129"/>
      <c r="I35" s="129"/>
    </row>
    <row r="36" spans="1:15" ht="15.75" thickBot="1">
      <c r="A36" s="3632" t="s">
        <v>1312</v>
      </c>
      <c r="B36" s="1783" t="s">
        <v>1313</v>
      </c>
      <c r="C36" s="145"/>
      <c r="D36" s="1784"/>
      <c r="E36" s="1785"/>
      <c r="F36" s="1786"/>
      <c r="G36" s="129"/>
      <c r="H36" s="129"/>
      <c r="I36" s="129"/>
    </row>
    <row r="37" spans="1:15" ht="15.75" thickBot="1">
      <c r="A37" s="3633"/>
      <c r="B37" s="1670" t="s">
        <v>1314</v>
      </c>
      <c r="C37" s="147"/>
      <c r="D37" s="1135"/>
      <c r="E37" s="1135"/>
      <c r="F37" s="1786"/>
      <c r="G37" s="129"/>
      <c r="H37" s="129"/>
      <c r="I37" s="129"/>
    </row>
    <row r="38" spans="1:15" ht="15.75" thickBot="1">
      <c r="A38" s="3634"/>
      <c r="B38" s="1787" t="s">
        <v>1315</v>
      </c>
      <c r="C38" s="674"/>
      <c r="D38" s="1788" t="s">
        <v>1316</v>
      </c>
      <c r="E38" s="1135"/>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52" t="s">
        <v>1326</v>
      </c>
      <c r="B45" s="3653"/>
      <c r="C45" s="3654"/>
      <c r="D45" s="155">
        <f ca="1">ROUND(H101*F45,0)</f>
        <v>290693</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2"/>
      <c r="I46" s="159"/>
      <c r="J46" s="2519">
        <v>1</v>
      </c>
      <c r="K46" s="3573" t="s">
        <v>1331</v>
      </c>
      <c r="L46" s="3573"/>
      <c r="M46" s="3574"/>
      <c r="N46" s="3574"/>
      <c r="O46" s="3574"/>
    </row>
    <row r="47" spans="1:15" ht="12" customHeight="1">
      <c r="A47" s="160" t="s">
        <v>1332</v>
      </c>
      <c r="B47" s="161"/>
      <c r="C47" s="162"/>
      <c r="D47" s="1083" t="s">
        <v>1333</v>
      </c>
      <c r="E47" s="302" t="s">
        <v>1334</v>
      </c>
      <c r="F47" s="163" t="s">
        <v>1335</v>
      </c>
      <c r="G47" s="2542" t="s">
        <v>1336</v>
      </c>
      <c r="H47" s="2543"/>
      <c r="I47" s="159"/>
      <c r="J47" s="2519">
        <v>2</v>
      </c>
      <c r="K47" s="3573" t="s">
        <v>1337</v>
      </c>
      <c r="L47" s="3573"/>
      <c r="M47" s="3575">
        <f>'数据-取费表'!B2</f>
        <v>45279</v>
      </c>
      <c r="N47" s="3575"/>
      <c r="O47" s="3575"/>
    </row>
    <row r="48" spans="1:15" ht="25.5">
      <c r="A48" s="3635" t="s">
        <v>1338</v>
      </c>
      <c r="B48" s="3636"/>
      <c r="C48" s="3636"/>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573" t="s">
        <v>1340</v>
      </c>
      <c r="L48" s="3573"/>
      <c r="M48" s="3576">
        <f ca="1">H101</f>
        <v>290693</v>
      </c>
      <c r="N48" s="3576"/>
      <c r="O48" s="3576"/>
    </row>
    <row r="49" spans="1:35" ht="25.5" customHeight="1">
      <c r="A49" s="2329" t="s">
        <v>1341</v>
      </c>
      <c r="B49" s="3621" t="s">
        <v>1342</v>
      </c>
      <c r="C49" s="3621"/>
      <c r="D49" s="1586">
        <v>0</v>
      </c>
      <c r="E49" s="324" t="s">
        <v>1343</v>
      </c>
      <c r="F49" s="2420" t="s">
        <v>28</v>
      </c>
      <c r="G49" s="3604"/>
      <c r="H49" s="2306" t="s">
        <v>2133</v>
      </c>
      <c r="I49" s="2307"/>
      <c r="J49" s="2519">
        <v>4</v>
      </c>
      <c r="K49" s="3573" t="str">
        <f>IF(项目基本情况!E8="房地产抵押价值","房地产抵押价值","抵押担保权已注销时的房地产抵押价值")</f>
        <v>房地产抵押价值</v>
      </c>
      <c r="L49" s="3573"/>
      <c r="M49" s="3576">
        <f ca="1">IF(项目基本情况!E8="房地产抵押价值",H107,H109)</f>
        <v>290693</v>
      </c>
      <c r="N49" s="3576"/>
      <c r="O49" s="3576"/>
    </row>
    <row r="50" spans="1:35" ht="25.5" customHeight="1">
      <c r="A50" s="2547"/>
      <c r="B50" s="3621" t="s">
        <v>1344</v>
      </c>
      <c r="C50" s="3621"/>
      <c r="D50" s="2548"/>
      <c r="E50" s="332"/>
      <c r="F50" s="2420"/>
      <c r="G50" s="3605"/>
      <c r="H50" s="2308" t="s">
        <v>2134</v>
      </c>
      <c r="I50" s="2307"/>
      <c r="J50" s="3572" t="s">
        <v>1345</v>
      </c>
      <c r="K50" s="3572"/>
      <c r="L50" s="3572"/>
      <c r="M50" s="3572"/>
      <c r="N50" s="3572"/>
      <c r="O50" s="3572"/>
    </row>
    <row r="51" spans="1:35" ht="20.45" customHeight="1">
      <c r="A51" s="2549"/>
      <c r="B51" s="3621" t="s">
        <v>1346</v>
      </c>
      <c r="C51" s="3621"/>
      <c r="D51" s="1083"/>
      <c r="E51" s="327"/>
      <c r="F51" s="2420"/>
      <c r="G51" s="3606"/>
      <c r="H51" s="2308" t="s">
        <v>2135</v>
      </c>
      <c r="I51" s="2307"/>
      <c r="J51" s="2520" t="s">
        <v>1347</v>
      </c>
      <c r="K51" s="3573" t="s">
        <v>1348</v>
      </c>
      <c r="L51" s="3573"/>
      <c r="M51" s="2520" t="s">
        <v>1349</v>
      </c>
      <c r="N51" s="2520" t="s">
        <v>1350</v>
      </c>
      <c r="O51" s="2520" t="s">
        <v>1351</v>
      </c>
    </row>
    <row r="52" spans="1:35" ht="24" customHeight="1">
      <c r="A52" s="2331" t="s">
        <v>1352</v>
      </c>
      <c r="B52" s="3621" t="s">
        <v>1353</v>
      </c>
      <c r="C52" s="3621"/>
      <c r="D52" s="1083">
        <f ca="1">ROUND(D45*'数据-取费表'!B41/(1+'数据-取费表'!C42),0)</f>
        <v>15504</v>
      </c>
      <c r="E52" s="2330" t="s">
        <v>1354</v>
      </c>
      <c r="F52" s="2550">
        <f>'数据-取费表'!B41</f>
        <v>5.6000000000000001E-2</v>
      </c>
      <c r="G52" s="2551"/>
      <c r="H52" s="2540"/>
      <c r="I52" s="1803"/>
      <c r="J52" s="2519">
        <v>1</v>
      </c>
      <c r="K52" s="3598" t="s">
        <v>1355</v>
      </c>
      <c r="L52" s="3598"/>
      <c r="M52" s="2521" t="b">
        <f>D48</f>
        <v>0</v>
      </c>
      <c r="N52" s="2519" t="str">
        <f>E48</f>
        <v>销售额×税（费）率</v>
      </c>
      <c r="O52" s="2522">
        <f>F48</f>
        <v>5.6000000000000001E-2</v>
      </c>
    </row>
    <row r="53" spans="1:35" ht="12" customHeight="1">
      <c r="A53" s="2331" t="s">
        <v>1356</v>
      </c>
      <c r="B53" s="3622" t="s">
        <v>2290</v>
      </c>
      <c r="C53" s="3623"/>
      <c r="D53" s="1083">
        <f ca="1">ROUND(D45*'数据-取费表'!B41/(1+'数据-取费表'!C42),0)</f>
        <v>15504</v>
      </c>
      <c r="E53" s="2330" t="s">
        <v>1354</v>
      </c>
      <c r="F53" s="2550">
        <f>'数据-取费表'!B41</f>
        <v>5.6000000000000001E-2</v>
      </c>
      <c r="G53" s="2551"/>
      <c r="H53" s="2540"/>
      <c r="I53" s="1803"/>
      <c r="J53" s="2519">
        <v>2</v>
      </c>
      <c r="K53" s="3598" t="s">
        <v>1357</v>
      </c>
      <c r="L53" s="3598"/>
      <c r="M53" s="2521">
        <f t="shared" ref="M53:O54" ca="1" si="0">D55</f>
        <v>145</v>
      </c>
      <c r="N53" s="2519" t="str">
        <f t="shared" si="0"/>
        <v>销售额×税（费）率</v>
      </c>
      <c r="O53" s="2522" t="str">
        <f t="shared" si="0"/>
        <v>免征</v>
      </c>
    </row>
    <row r="54" spans="1:35" ht="12" customHeight="1">
      <c r="A54" s="2331" t="s">
        <v>1358</v>
      </c>
      <c r="B54" s="3622" t="s">
        <v>2291</v>
      </c>
      <c r="C54" s="3623"/>
      <c r="D54" s="1083">
        <f ca="1">C68</f>
        <v>15504</v>
      </c>
      <c r="E54" s="327" t="s">
        <v>1359</v>
      </c>
      <c r="F54" s="2550">
        <f>'数据-取费表'!B41</f>
        <v>5.6000000000000001E-2</v>
      </c>
      <c r="G54" s="2551"/>
      <c r="H54" s="2552"/>
      <c r="I54" s="1803"/>
      <c r="J54" s="2519">
        <v>3</v>
      </c>
      <c r="K54" s="3598" t="s">
        <v>1360</v>
      </c>
      <c r="L54" s="3598"/>
      <c r="M54" s="2521">
        <f t="shared" ca="1" si="0"/>
        <v>164532</v>
      </c>
      <c r="N54" s="2519" t="str">
        <f t="shared" si="0"/>
        <v>增值额×税（费）率</v>
      </c>
      <c r="O54" s="2523" t="str">
        <f t="shared" si="0"/>
        <v>免征</v>
      </c>
    </row>
    <row r="55" spans="1:35" ht="24" customHeight="1">
      <c r="A55" s="3658" t="s">
        <v>1361</v>
      </c>
      <c r="B55" s="3636"/>
      <c r="C55" s="3636"/>
      <c r="D55" s="2320">
        <f ca="1">IF(H55="个人住宅",0,ROUND(D45*I55,0))</f>
        <v>145</v>
      </c>
      <c r="E55" s="2330" t="s">
        <v>1362</v>
      </c>
      <c r="F55" s="2550" t="str">
        <f>IF(H55="正常",I55,"免征")</f>
        <v>免征</v>
      </c>
      <c r="G55" s="2551"/>
      <c r="H55" s="2546"/>
      <c r="I55" s="165">
        <f>'数据-取费表'!B49</f>
        <v>5.0000000000000001E-4</v>
      </c>
      <c r="J55" s="2519">
        <f>IF(H59="非个人房产","",4)</f>
        <v>4</v>
      </c>
      <c r="K55" s="3598" t="str">
        <f>IF(H59="非个人房产","——","个人所得税")</f>
        <v>个人所得税</v>
      </c>
      <c r="L55" s="3598"/>
      <c r="M55" s="2524">
        <f ca="1">D59</f>
        <v>2769</v>
      </c>
      <c r="N55" s="2036" t="str">
        <f>E59</f>
        <v>差额计税</v>
      </c>
      <c r="O55" s="2525">
        <f>F59</f>
        <v>0.01</v>
      </c>
    </row>
    <row r="56" spans="1:35" ht="24.75">
      <c r="A56" s="3658" t="s">
        <v>1363</v>
      </c>
      <c r="B56" s="3636"/>
      <c r="C56" s="3636"/>
      <c r="D56" s="2320">
        <f ca="1">IF(H56="个人住宅",D57,D58)</f>
        <v>164532</v>
      </c>
      <c r="E56" s="2330" t="s">
        <v>1364</v>
      </c>
      <c r="F56" s="2550" t="str">
        <f>IF(H56="正常",F58,"免征")</f>
        <v>免征</v>
      </c>
      <c r="G56" s="2553" t="s">
        <v>1365</v>
      </c>
      <c r="H56" s="2554"/>
      <c r="I56" s="1804"/>
      <c r="J56" s="2519" t="str">
        <f>IF(项目基本情况!K6="上海银行",IF(J55="",4,J55+1),"")</f>
        <v/>
      </c>
      <c r="K56" s="3579" t="str">
        <f>IF(项目基本情况!K6="上海银行","其他处置费用","")</f>
        <v/>
      </c>
      <c r="L56" s="3580"/>
      <c r="M56" s="2521" t="str">
        <f>IF(项目基本情况!K6="上海银行",M69,"")</f>
        <v/>
      </c>
      <c r="N56" s="3579" t="str">
        <f>IF(项目基本情况!K6="上海银行","包含处置中涉及的律师、诉讼、拍卖、评估等费用","")</f>
        <v/>
      </c>
      <c r="O56" s="3582"/>
    </row>
    <row r="57" spans="1:35" ht="12.75">
      <c r="A57" s="2331" t="s">
        <v>1341</v>
      </c>
      <c r="B57" s="3622" t="s">
        <v>1366</v>
      </c>
      <c r="C57" s="3623"/>
      <c r="D57" s="1586">
        <v>0</v>
      </c>
      <c r="E57" s="324" t="s">
        <v>1343</v>
      </c>
      <c r="F57" s="302"/>
      <c r="G57" s="2551"/>
      <c r="H57" s="2555"/>
      <c r="I57" s="1804"/>
      <c r="J57" s="3598">
        <f>IF(AND(J55="",J56=""),4,IF(项目基本情况!K6="上海银行",结果表!J56+1,结果表!J55+1))</f>
        <v>5</v>
      </c>
      <c r="K57" s="3598" t="s">
        <v>1367</v>
      </c>
      <c r="L57" s="2526" t="s">
        <v>1368</v>
      </c>
      <c r="M57" s="2527"/>
      <c r="N57" s="2528">
        <f ca="1">SUMIF(M52:M56,"&lt;9e307")</f>
        <v>167446</v>
      </c>
      <c r="O57" s="2529"/>
      <c r="P57" s="2685">
        <f ca="1">N57/M49</f>
        <v>0.57602350245791956</v>
      </c>
    </row>
    <row r="58" spans="1:35" ht="24.75">
      <c r="A58" s="2331" t="s">
        <v>1352</v>
      </c>
      <c r="B58" s="3622" t="s">
        <v>1369</v>
      </c>
      <c r="C58" s="3621"/>
      <c r="D58" s="2320">
        <f ca="1">IF(H58="转让取得",C81,C97)</f>
        <v>164532</v>
      </c>
      <c r="E58" s="2330" t="s">
        <v>1364</v>
      </c>
      <c r="F58" s="302" t="s">
        <v>28</v>
      </c>
      <c r="G58" s="2551"/>
      <c r="H58" s="2554"/>
      <c r="I58" s="1804"/>
      <c r="J58" s="3598"/>
      <c r="K58" s="3598"/>
      <c r="L58" s="2526" t="s">
        <v>1370</v>
      </c>
      <c r="M58" s="2530"/>
      <c r="N58" s="2531" t="str">
        <f ca="1">NUMBERSTRING(INT(N57*10000),2)&amp;"元整"</f>
        <v>壹拾陆亿柒仟肆佰肆拾陆万元整</v>
      </c>
      <c r="O58" s="2532"/>
    </row>
    <row r="59" spans="1:35" ht="24.75" thickBot="1">
      <c r="A59" s="3602" t="s">
        <v>1371</v>
      </c>
      <c r="B59" s="3603"/>
      <c r="C59" s="3603"/>
      <c r="D59" s="2556">
        <f ca="1">IF(H59="非个人房产","——",IF(H59="个人住宅（满五唯一有凭证）",0,IF(H59="个人其他（无凭证）",ROUND(D45*F59,0),ROUND(C67*F59,0))))</f>
        <v>2769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2136</v>
      </c>
      <c r="J59" s="3600">
        <f>J57+1</f>
        <v>6</v>
      </c>
      <c r="K59" s="3598" t="s">
        <v>1372</v>
      </c>
      <c r="L59" s="2519" t="s">
        <v>1368</v>
      </c>
      <c r="M59" s="2533"/>
      <c r="N59" s="2534">
        <f ca="1">M49-N57</f>
        <v>123247</v>
      </c>
      <c r="O59" s="2535"/>
    </row>
    <row r="60" spans="1:35" ht="12" customHeight="1">
      <c r="A60" s="1805"/>
      <c r="B60" s="1743"/>
      <c r="C60" s="1743"/>
      <c r="D60" s="1743"/>
      <c r="E60" s="1574"/>
      <c r="F60" s="1804"/>
      <c r="G60" s="1804"/>
      <c r="H60" s="1806"/>
      <c r="I60" s="129"/>
      <c r="J60" s="3601"/>
      <c r="K60" s="3598"/>
      <c r="L60" s="2526" t="s">
        <v>1370</v>
      </c>
      <c r="M60" s="2530"/>
      <c r="N60" s="2531" t="str">
        <f ca="1">NUMBERSTRING(INT(N59*10000),2)&amp;"元整"</f>
        <v>壹拾贰亿叁仟贰佰肆拾柒万元整</v>
      </c>
      <c r="O60" s="2532"/>
    </row>
    <row r="61" spans="1:35" ht="13.5" thickBot="1">
      <c r="A61" s="3657" t="s">
        <v>1373</v>
      </c>
      <c r="B61" s="3657"/>
      <c r="C61" s="3657"/>
      <c r="D61" s="3657"/>
      <c r="E61" s="3657"/>
      <c r="F61" s="1804"/>
      <c r="G61" s="1804"/>
      <c r="H61" s="1806"/>
      <c r="I61" s="129"/>
      <c r="J61" s="2519">
        <f>J59+1</f>
        <v>7</v>
      </c>
      <c r="K61" s="3598" t="s">
        <v>1374</v>
      </c>
      <c r="L61" s="3598"/>
      <c r="M61" s="2536"/>
      <c r="N61" s="2537">
        <f ca="1">ROUND(N59*10000/'数据-汇总表'!E3,0)</f>
        <v>18241</v>
      </c>
      <c r="O61" s="2538"/>
    </row>
    <row r="62" spans="1:35" ht="12.75">
      <c r="A62" s="3617" t="s">
        <v>1375</v>
      </c>
      <c r="B62" s="3618"/>
      <c r="C62" s="2017"/>
      <c r="D62" s="2017" t="s">
        <v>1376</v>
      </c>
      <c r="E62" s="166" t="s">
        <v>1377</v>
      </c>
      <c r="F62" s="1804"/>
      <c r="G62" s="1804"/>
      <c r="H62" s="1806"/>
      <c r="I62" s="129"/>
    </row>
    <row r="63" spans="1:35" ht="12.75">
      <c r="A63" s="173" t="s">
        <v>330</v>
      </c>
      <c r="B63" s="167" t="s">
        <v>1378</v>
      </c>
      <c r="C63" s="2560">
        <f ca="1">ROUND((C64+C65)/(1+'数据-取费表'!C42),0)</f>
        <v>276850</v>
      </c>
      <c r="D63" s="167"/>
      <c r="E63" s="168"/>
      <c r="F63" s="1804"/>
      <c r="G63" s="1804"/>
      <c r="H63" s="1806"/>
      <c r="I63" s="129"/>
      <c r="J63" s="3581" t="s">
        <v>1379</v>
      </c>
      <c r="K63" s="1328" t="s">
        <v>1380</v>
      </c>
      <c r="L63" s="1328">
        <f ca="1">IF(M49&gt;10000,M49*0.5%,IF(AND(M49&gt;1000,M49&lt;=10000),M49*1%,IF(AND(M49&gt;100,M49&lt;=1000),M49*3%,IF(AND(M49&gt;10,M49&lt;=100),M49*5%,M49*8%))))</f>
        <v>1453.4649999999999</v>
      </c>
      <c r="M63" s="302">
        <f ca="1">ROUND(L63,1)</f>
        <v>1453.5</v>
      </c>
      <c r="N63" s="2539"/>
      <c r="Z63" s="1748"/>
      <c r="AI63" s="1749"/>
    </row>
    <row r="64" spans="1:35" ht="14.25" customHeight="1">
      <c r="A64" s="169" t="s">
        <v>325</v>
      </c>
      <c r="B64" s="170" t="s">
        <v>1381</v>
      </c>
      <c r="C64" s="2561">
        <f ca="1">D45</f>
        <v>290693</v>
      </c>
      <c r="D64" s="170" t="s">
        <v>26</v>
      </c>
      <c r="E64" s="172"/>
      <c r="F64" s="1804"/>
      <c r="G64" s="1804"/>
      <c r="H64" s="1806"/>
      <c r="I64" s="129"/>
      <c r="J64" s="3581"/>
      <c r="K64" s="1328" t="s">
        <v>1382</v>
      </c>
      <c r="L64" s="1328">
        <f ca="1">IF(M49&gt;2000,M49*0.5%,IF(AND(M49&gt;1000,M49&lt;=2000),M49*0.6%,IF(AND(M49&gt;500,M49&lt;=1000),M49*0.7%,IF(AND(M49&gt;200,M49&lt;=500),M49*0.8%,IF(AND(M49&gt;100,M49&lt;=200),M49*0.9%,IF(AND(M49&gt;50,M49&lt;=100),M49*1%,IF(AND(M49&gt;20,M49&lt;=50),M49*1.5%,IF(AND(M49&gt;10,M49&lt;=20),M49*2%,IF(AND(M49&gt;1,M49&lt;=10),M49*2.5%)))))))))</f>
        <v>1453.4649999999999</v>
      </c>
      <c r="M64" s="302">
        <f t="shared" ref="M64:M65" ca="1" si="1">ROUND(L64,1)</f>
        <v>1453.5</v>
      </c>
      <c r="N64" s="2540" t="s">
        <v>1383</v>
      </c>
      <c r="Z64" s="1748"/>
      <c r="AI64" s="1749"/>
    </row>
    <row r="65" spans="1:35" ht="14.25" customHeight="1">
      <c r="A65" s="169" t="s">
        <v>326</v>
      </c>
      <c r="B65" s="170" t="s">
        <v>1384</v>
      </c>
      <c r="C65" s="2562"/>
      <c r="D65" s="170"/>
      <c r="E65" s="172"/>
      <c r="F65" s="1804"/>
      <c r="G65" s="1804"/>
      <c r="H65" s="1806"/>
      <c r="I65" s="129"/>
      <c r="J65" s="3581"/>
      <c r="K65" s="1328" t="s">
        <v>1385</v>
      </c>
      <c r="L65" s="1328">
        <f ca="1">IF(M49&gt;1000,M49*0.1%,IF(AND(M49&gt;500,M49&lt;=1000),M49*0.5%,IF(AND(M49&gt;50,M49&lt;=500),M49*1%,IF(AND(M49&gt;1,M49&lt;=50),M49*1.5%))))</f>
        <v>290.69299999999998</v>
      </c>
      <c r="M65" s="302">
        <f t="shared" ca="1" si="1"/>
        <v>290.7</v>
      </c>
      <c r="N65" s="2540" t="s">
        <v>1383</v>
      </c>
      <c r="Z65" s="1748"/>
      <c r="AI65" s="1749"/>
    </row>
    <row r="66" spans="1:35" ht="14.25" customHeight="1">
      <c r="A66" s="173" t="s">
        <v>327</v>
      </c>
      <c r="B66" s="174" t="s">
        <v>1386</v>
      </c>
      <c r="C66" s="2563"/>
      <c r="D66" s="174" t="s">
        <v>26</v>
      </c>
      <c r="E66" s="1334" t="s">
        <v>671</v>
      </c>
      <c r="F66" s="1804"/>
      <c r="G66" s="1804"/>
      <c r="H66" s="1806"/>
      <c r="I66" s="129"/>
      <c r="J66" s="3581"/>
      <c r="K66" s="1328" t="s">
        <v>1387</v>
      </c>
      <c r="L66" s="1328">
        <f ca="1">M49*0.5%</f>
        <v>1453.4649999999999</v>
      </c>
      <c r="M66" s="302">
        <f ca="1">IF(L66&gt;0.5,0.5,ROUND(L66,0))</f>
        <v>0.5</v>
      </c>
      <c r="N66" s="2540" t="s">
        <v>1388</v>
      </c>
      <c r="Z66" s="1748"/>
      <c r="AI66" s="1749"/>
    </row>
    <row r="67" spans="1:35" ht="14.25" customHeight="1">
      <c r="A67" s="173" t="s">
        <v>328</v>
      </c>
      <c r="B67" s="174" t="s">
        <v>1389</v>
      </c>
      <c r="C67" s="2564">
        <f ca="1">C63-C66</f>
        <v>276850</v>
      </c>
      <c r="D67" s="170" t="s">
        <v>26</v>
      </c>
      <c r="E67" s="172"/>
      <c r="F67" s="1804"/>
      <c r="G67" s="1804"/>
      <c r="H67" s="1806"/>
      <c r="I67" s="129"/>
      <c r="J67" s="3581"/>
      <c r="K67" s="1328" t="s">
        <v>1390</v>
      </c>
      <c r="L67" s="1328">
        <f ca="1">IF(M49&gt;=10000,(8.25+(M49-10000)*0.01%),IF(AND(M49&gt;=8000,M49&lt;10000),(7.85+(M49-8000)*0.02%),IF(AND(M49&gt;=5000,M49&lt;8000),(6.65+(M49-5000)*0.04%),IF(AND(M49&gt;=2000,M49&lt;5000),(4.25+(PM49-2000)*0.08%),IF(AND(M49&gt;=1000,M49&lt;2000),(2.75+(M49-1000)*0.15%),IF(AND(M49&gt;=100,M49&lt;1000),(0.5+(M49-100)*0.25%),IF(AND(M49&gt;0,M49&lt;100),M49*0.5%)))))))</f>
        <v>36.319299999999998</v>
      </c>
      <c r="M67" s="302">
        <f ca="1">ROUND(L67*0.9,1)</f>
        <v>32.700000000000003</v>
      </c>
      <c r="N67" s="2539"/>
      <c r="Z67" s="1748"/>
      <c r="AI67" s="1749"/>
    </row>
    <row r="68" spans="1:35" ht="14.25" customHeight="1" thickBot="1">
      <c r="A68" s="176" t="s">
        <v>329</v>
      </c>
      <c r="B68" s="177" t="s">
        <v>1391</v>
      </c>
      <c r="C68" s="2565">
        <f ca="1">IF(C67&lt;=0,0,ROUND(C67*D68,0))</f>
        <v>15504</v>
      </c>
      <c r="D68" s="2566">
        <f>'数据-取费表'!B41</f>
        <v>5.6000000000000001E-2</v>
      </c>
      <c r="E68" s="178"/>
      <c r="F68" s="1804"/>
      <c r="G68" s="1804"/>
      <c r="H68" s="1806"/>
      <c r="I68" s="129"/>
      <c r="J68" s="3581"/>
      <c r="K68" s="1328" t="s">
        <v>1392</v>
      </c>
      <c r="L68" s="1328">
        <f ca="1">IF(M49&gt;10000,M49*0.5%,IF(AND(M49&gt;5000,M49&lt;=10000),M49*1%,IF(AND(M49&gt;1000,M49&lt;=5000),M49*2%,IF(AND(M49&gt;200,M49&lt;=1000),M49*3%,M49*5%))))</f>
        <v>1453.4649999999999</v>
      </c>
      <c r="M68" s="302">
        <f ca="1">ROUND(L68,1)</f>
        <v>1453.5</v>
      </c>
      <c r="N68" s="2539"/>
      <c r="Z68" s="1748"/>
      <c r="AI68" s="1749"/>
    </row>
    <row r="69" spans="1:35" s="1768" customFormat="1" ht="16.5" customHeight="1">
      <c r="A69" s="1807"/>
      <c r="B69" s="1808"/>
      <c r="C69" s="1809"/>
      <c r="D69" s="1810"/>
      <c r="E69" s="1811"/>
      <c r="F69" s="1574"/>
      <c r="G69" s="1574"/>
      <c r="H69" s="1573"/>
      <c r="I69" s="1743"/>
      <c r="J69" s="3581"/>
      <c r="K69" s="1328" t="s">
        <v>1393</v>
      </c>
      <c r="L69" s="1328"/>
      <c r="M69" s="302">
        <f ca="1">ROUND(SUM(M63:M68),0)</f>
        <v>4684</v>
      </c>
      <c r="N69" s="2541">
        <f ca="1">M69/M49</f>
        <v>1.6113219100563136E-2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thickBot="1">
      <c r="A70" s="3625" t="s">
        <v>1394</v>
      </c>
      <c r="B70" s="3626"/>
      <c r="C70" s="3626"/>
      <c r="D70" s="3626"/>
      <c r="E70" s="3626"/>
      <c r="F70" s="3626"/>
      <c r="G70" s="3626"/>
      <c r="H70" s="3626"/>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7" t="s">
        <v>1375</v>
      </c>
      <c r="B71" s="3618"/>
      <c r="C71" s="2017"/>
      <c r="D71" s="2017" t="s">
        <v>1376</v>
      </c>
      <c r="E71" s="179" t="s">
        <v>1377</v>
      </c>
      <c r="F71" s="180"/>
      <c r="G71" s="180"/>
      <c r="H71" s="181"/>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276850</v>
      </c>
      <c r="D72" s="170" t="s">
        <v>26</v>
      </c>
      <c r="E72" s="2327"/>
      <c r="F72" s="2326"/>
      <c r="G72" s="2326"/>
      <c r="H72" s="182"/>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1661</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22" t="s">
        <v>1402</v>
      </c>
      <c r="F76" s="3621"/>
      <c r="G76" s="3621"/>
      <c r="H76" s="3624"/>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1661</v>
      </c>
      <c r="D78" s="2573">
        <f>'数据-取费表'!B43</f>
        <v>6.000000000000001E-3</v>
      </c>
      <c r="E78" s="3614" t="s">
        <v>1406</v>
      </c>
      <c r="F78" s="3615"/>
      <c r="G78" s="3615"/>
      <c r="H78" s="361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275189</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165.67670078266104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164532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25" t="s">
        <v>1410</v>
      </c>
      <c r="B83" s="3626"/>
      <c r="C83" s="3626"/>
      <c r="D83" s="3626"/>
      <c r="E83" s="3626"/>
      <c r="F83" s="3626"/>
      <c r="G83" s="3626"/>
      <c r="H83" s="3626"/>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7" t="s">
        <v>1375</v>
      </c>
      <c r="B84" s="3618"/>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276850</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1661</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2287</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583" t="s">
        <v>2128</v>
      </c>
      <c r="H90" s="3584"/>
      <c r="I90" s="1817"/>
      <c r="J90" s="2517" t="s">
        <v>2288</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14" t="s">
        <v>1419</v>
      </c>
      <c r="F91" s="3615"/>
      <c r="G91" s="361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14" t="s">
        <v>1422</v>
      </c>
      <c r="F92" s="3615"/>
      <c r="G92" s="3615"/>
      <c r="H92" s="3616"/>
      <c r="I92" s="1817"/>
      <c r="J92" s="2518" t="s">
        <v>2289</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1661</v>
      </c>
      <c r="D93" s="2573">
        <f>'数据-取费表'!B43</f>
        <v>6.000000000000001E-3</v>
      </c>
      <c r="E93" s="3614" t="s">
        <v>1406</v>
      </c>
      <c r="F93" s="3615"/>
      <c r="G93" s="3615"/>
      <c r="H93" s="361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59" t="s">
        <v>1426</v>
      </c>
      <c r="F94" s="3660"/>
      <c r="G94" s="3660"/>
      <c r="H94" s="366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275189</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165.67670078266104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164532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1" t="str">
        <f>C4</f>
        <v>比较法-办公</v>
      </c>
      <c r="D101" s="2582" t="str">
        <f>D4</f>
        <v>收益法（汇总）</v>
      </c>
      <c r="E101" s="3577" t="s">
        <v>1431</v>
      </c>
      <c r="F101" s="3578"/>
      <c r="G101" s="1823" t="s">
        <v>1432</v>
      </c>
      <c r="H101" s="2591">
        <f ca="1">H118</f>
        <v>290693</v>
      </c>
      <c r="I101" s="129"/>
    </row>
    <row r="102" spans="1:35" ht="18.75" customHeight="1">
      <c r="A102" s="3609" t="s">
        <v>1433</v>
      </c>
      <c r="B102" s="2580" t="s">
        <v>1432</v>
      </c>
      <c r="C102" s="2581">
        <f ca="1">IF(D32="楼面单价",ROUND(C19,0),C19)</f>
        <v>324323</v>
      </c>
      <c r="D102" s="2582">
        <f ca="1">IF(D32="楼面单价",ROUND(D19,0),D19)</f>
        <v>257063</v>
      </c>
      <c r="E102" s="3577"/>
      <c r="F102" s="3578"/>
      <c r="G102" s="1823" t="s">
        <v>1434</v>
      </c>
      <c r="H102" s="2551">
        <f ca="1">I118</f>
        <v>43023</v>
      </c>
      <c r="I102" s="129"/>
    </row>
    <row r="103" spans="1:35" ht="42.75" customHeight="1">
      <c r="A103" s="3609"/>
      <c r="B103" s="2580" t="s">
        <v>1434</v>
      </c>
      <c r="C103" s="2583">
        <f ca="1">C20</f>
        <v>48000</v>
      </c>
      <c r="D103" s="2584">
        <f ca="1">D20</f>
        <v>38045</v>
      </c>
      <c r="E103" s="3570" t="s">
        <v>1435</v>
      </c>
      <c r="F103" s="3571"/>
      <c r="G103" s="1824" t="s">
        <v>1436</v>
      </c>
      <c r="H103" s="2591">
        <f>IF(D36="正常操作",H104+H105+H106,H105+H106)</f>
        <v>0</v>
      </c>
      <c r="I103" s="129"/>
    </row>
    <row r="104" spans="1:35" ht="18.75" customHeight="1">
      <c r="A104" s="3609" t="s">
        <v>1437</v>
      </c>
      <c r="B104" s="2585" t="s">
        <v>1432</v>
      </c>
      <c r="C104" s="2586">
        <f ca="1">H118</f>
        <v>290693</v>
      </c>
      <c r="D104" s="2587"/>
      <c r="E104" s="1670" t="s">
        <v>1438</v>
      </c>
      <c r="F104" s="1662"/>
      <c r="G104" s="1824" t="s">
        <v>1436</v>
      </c>
      <c r="H104" s="2592">
        <f>IF(D36="同一抵押权人同一抵押物续贷",C36&amp;"（续贷，未扣减，详见特别提示）",C36)</f>
        <v>0</v>
      </c>
      <c r="I104" s="129"/>
    </row>
    <row r="105" spans="1:35" ht="18.75" customHeight="1" thickBot="1">
      <c r="A105" s="3619"/>
      <c r="B105" s="2588" t="s">
        <v>1434</v>
      </c>
      <c r="C105" s="2589">
        <f ca="1">I118</f>
        <v>43023</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10" t="str">
        <f>IF(项目基本情况!E8="已注销","——","3.房地产抵押价值")</f>
        <v>3.房地产抵押价值</v>
      </c>
      <c r="F107" s="3578"/>
      <c r="G107" s="1823" t="s">
        <v>1432</v>
      </c>
      <c r="H107" s="2591">
        <f ca="1">IF(E107="——","——",H101-H103)</f>
        <v>290693</v>
      </c>
      <c r="I107" s="129"/>
    </row>
    <row r="108" spans="1:35" ht="18.75" customHeight="1">
      <c r="A108" s="129"/>
      <c r="B108" s="129"/>
      <c r="C108" s="129"/>
      <c r="D108" s="129"/>
      <c r="E108" s="3610"/>
      <c r="F108" s="3578"/>
      <c r="G108" s="1823" t="s">
        <v>1434</v>
      </c>
      <c r="H108" s="2551">
        <f ca="1">IF(H107=H101,H102,ROUND(H107*10000/'数据-汇总表'!E3,0))</f>
        <v>43023</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3" t="s">
        <v>1432</v>
      </c>
      <c r="H109" s="2594" t="str">
        <f>IF(E109="——","——",H101-H105-H106)</f>
        <v>——</v>
      </c>
      <c r="I109" s="129"/>
    </row>
    <row r="110" spans="1:35" ht="18.75" customHeight="1">
      <c r="A110" s="129"/>
      <c r="B110" s="129"/>
      <c r="C110" s="129"/>
      <c r="D110" s="129"/>
      <c r="E110" s="3610"/>
      <c r="F110" s="3578"/>
      <c r="G110" s="1823" t="s">
        <v>1434</v>
      </c>
      <c r="H110" s="2551"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3" t="s">
        <v>1432</v>
      </c>
      <c r="H111" s="2591" t="str">
        <f>IF(E111="——","——",N59)</f>
        <v>——</v>
      </c>
      <c r="I111" s="129"/>
    </row>
    <row r="112" spans="1:35" ht="18.75" customHeight="1" thickBot="1">
      <c r="A112" s="129"/>
      <c r="B112" s="129"/>
      <c r="C112" s="129"/>
      <c r="D112" s="129"/>
      <c r="E112" s="3612"/>
      <c r="F112" s="3613"/>
      <c r="G112" s="1826" t="s">
        <v>1434</v>
      </c>
      <c r="H112" s="2595" t="str">
        <f>IF(E111="——","——",N61)</f>
        <v>——</v>
      </c>
      <c r="I112" s="129"/>
    </row>
    <row r="113" spans="1:27" ht="18.75" customHeight="1">
      <c r="A113" s="129"/>
      <c r="B113" s="129"/>
      <c r="C113" s="129"/>
      <c r="D113" s="129"/>
      <c r="E113" s="3620" t="s">
        <v>1440</v>
      </c>
      <c r="F113" s="3620"/>
      <c r="G113" s="3620"/>
      <c r="H113" s="3620"/>
      <c r="I113" s="129"/>
    </row>
    <row r="114" spans="1:27" ht="3.75" customHeight="1">
      <c r="A114" s="1743"/>
      <c r="B114" s="1743"/>
      <c r="C114" s="1743"/>
      <c r="D114" s="1743"/>
      <c r="E114" s="1805"/>
      <c r="F114" s="1805"/>
      <c r="G114" s="1805"/>
      <c r="H114" s="1805"/>
      <c r="I114" s="1743"/>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5" t="s">
        <v>1449</v>
      </c>
      <c r="E117" s="2325" t="s">
        <v>1450</v>
      </c>
      <c r="F117" s="2325" t="s">
        <v>1449</v>
      </c>
      <c r="G117" s="2325" t="s">
        <v>1451</v>
      </c>
      <c r="H117" s="2325" t="s">
        <v>1449</v>
      </c>
      <c r="I117" s="2325" t="s">
        <v>1451</v>
      </c>
    </row>
    <row r="118" spans="1:27" ht="24.75" customHeight="1">
      <c r="A118" s="2596" t="str">
        <f>项目基本情况!S2</f>
        <v>北京市丰台区青塔西路58号院22号楼3层301-306/203-205房地产</v>
      </c>
      <c r="B118" s="2325">
        <f>M18</f>
        <v>67567.27</v>
      </c>
      <c r="C118" s="2325">
        <f>M19</f>
        <v>9678.19</v>
      </c>
      <c r="D118" s="2325" t="e">
        <f ca="1">ROUND(IF(D32="总价",C34,E118*B118/10000),0)</f>
        <v>#N/A</v>
      </c>
      <c r="E118" s="2325" t="e">
        <f ca="1">ROUND(IF(C33="自定义",IF(D32="楼面单价",C34,D118*10000/B118),I118-G118),0)</f>
        <v>#N/A</v>
      </c>
      <c r="F118" s="2325" t="e">
        <f ca="1">ROUND(IF(D32="总价",C35,G118*B118/10000),0)</f>
        <v>#N/A</v>
      </c>
      <c r="G118" s="2325" t="e">
        <f ca="1">ROUND(IF(D32="楼面单价",C35,F118*10000/B118),0)</f>
        <v>#N/A</v>
      </c>
      <c r="H118" s="2325">
        <f ca="1">ROUND(IF(D32="总价",C32,I118*B118/10000),0)</f>
        <v>290693</v>
      </c>
      <c r="I118" s="2325">
        <f ca="1">ROUND(IF(D32="楼面单价",C32,H118*10000/B118),0)</f>
        <v>43023</v>
      </c>
    </row>
    <row r="119" spans="1:27" ht="18.75" customHeight="1">
      <c r="A119" s="3585" t="s">
        <v>1452</v>
      </c>
      <c r="B119" s="3585"/>
      <c r="C119" s="3585"/>
      <c r="D119" s="3591" t="e">
        <f ca="1">NUMBERSTRING(INT(D118*10000),2)&amp;"元整"</f>
        <v>#N/A</v>
      </c>
      <c r="E119" s="3592"/>
      <c r="F119" s="3591" t="e">
        <f ca="1">NUMBERSTRING(INT(F118*10000),2)&amp;"元整"</f>
        <v>#N/A</v>
      </c>
      <c r="G119" s="3592"/>
      <c r="H119" s="3591" t="str">
        <f ca="1">NUMBERSTRING(INT(H118*10000),2)&amp;"元整"</f>
        <v>贰拾玖亿零陆佰玖拾叁万元整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f ca="1">H107</f>
        <v>290693</v>
      </c>
      <c r="E122" s="3587"/>
      <c r="F122" s="3587"/>
      <c r="G122" s="3587"/>
      <c r="H122" s="3587"/>
      <c r="I122" s="3588"/>
      <c r="AA122" s="725"/>
    </row>
    <row r="123" spans="1:27" ht="18.75" customHeight="1">
      <c r="A123" s="3585" t="s">
        <v>1452</v>
      </c>
      <c r="B123" s="3585"/>
      <c r="C123" s="3585"/>
      <c r="D123" s="3591" t="str">
        <f ca="1">NUMBERSTRING(INT(D122*10000),2)&amp;"元整"</f>
        <v>贰拾玖亿零陆佰玖拾叁万元整</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F48" sqref="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1810</v>
      </c>
      <c r="C1" s="1220" t="s">
        <v>1662</v>
      </c>
      <c r="D1" s="1221"/>
      <c r="E1" s="3427" t="s">
        <v>3487</v>
      </c>
      <c r="F1" s="1875" t="s">
        <v>3405</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f>IF(E1="项目模式",IF(C2="——",ROUND(C50*D3/10000,0),ROUND(C50*D3/10000,0)-D2),IF(E1="单套模式",IF(C2="——",ROUND(C50*D3/10000,4),ROUND(C50*D3/10000,4)-D2)))</f>
        <v>324323</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48000</v>
      </c>
      <c r="C3" s="354" t="s">
        <v>1768</v>
      </c>
      <c r="D3" s="353">
        <f>'数据-汇总表'!E3</f>
        <v>67567.27</v>
      </c>
      <c r="E3" s="1950"/>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0"/>
      <c r="M4" s="2711"/>
      <c r="N4" s="2711"/>
      <c r="O4" s="2711"/>
      <c r="P4" s="3689" t="s">
        <v>1775</v>
      </c>
      <c r="Q4" s="3690"/>
      <c r="R4" s="3669" t="s">
        <v>1771</v>
      </c>
      <c r="S4" s="3670"/>
      <c r="T4" s="3669" t="s">
        <v>1772</v>
      </c>
      <c r="U4" s="3670"/>
      <c r="V4" s="3697" t="s">
        <v>1773</v>
      </c>
      <c r="W4" s="3697"/>
      <c r="X4" s="1954"/>
      <c r="Y4" s="3669" t="s">
        <v>1775</v>
      </c>
      <c r="Z4" s="3670"/>
      <c r="AA4" s="3664" t="s">
        <v>1771</v>
      </c>
      <c r="AB4" s="3664" t="s">
        <v>1772</v>
      </c>
      <c r="AC4" s="3682" t="s">
        <v>1773</v>
      </c>
    </row>
    <row r="5" spans="1:29" ht="15">
      <c r="A5" s="358"/>
      <c r="B5" s="359"/>
      <c r="C5" s="3675" t="s">
        <v>1673</v>
      </c>
      <c r="D5" s="3676"/>
      <c r="E5" s="3673" t="s">
        <v>1674</v>
      </c>
      <c r="F5" s="3674"/>
      <c r="G5" s="3675" t="s">
        <v>1675</v>
      </c>
      <c r="H5" s="3676"/>
      <c r="I5" s="3675" t="s">
        <v>1676</v>
      </c>
      <c r="J5" s="3676"/>
      <c r="K5" s="559"/>
      <c r="L5" s="2710"/>
      <c r="M5" s="2711"/>
      <c r="N5" s="2711"/>
      <c r="O5" s="2711"/>
      <c r="P5" s="3691"/>
      <c r="Q5" s="3692"/>
      <c r="R5" s="3671"/>
      <c r="S5" s="3672"/>
      <c r="T5" s="3671"/>
      <c r="U5" s="3672"/>
      <c r="V5" s="3698"/>
      <c r="W5" s="3698"/>
      <c r="X5" s="1351"/>
      <c r="Y5" s="3671"/>
      <c r="Z5" s="3672"/>
      <c r="AA5" s="3665"/>
      <c r="AB5" s="3665"/>
      <c r="AC5" s="3683"/>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693"/>
      <c r="Q6" s="3694"/>
      <c r="R6" s="3671"/>
      <c r="S6" s="3672"/>
      <c r="T6" s="3695"/>
      <c r="U6" s="3696"/>
      <c r="V6" s="3698"/>
      <c r="W6" s="3698"/>
      <c r="X6" s="1351"/>
      <c r="Y6" s="3695"/>
      <c r="Z6" s="3696"/>
      <c r="AA6" s="3666"/>
      <c r="AB6" s="3666"/>
      <c r="AC6" s="3684"/>
    </row>
    <row r="7" spans="1:29" s="108" customFormat="1" ht="15.75" thickBot="1">
      <c r="A7" s="362" t="s">
        <v>1679</v>
      </c>
      <c r="B7" s="363"/>
      <c r="C7" s="364">
        <f>'数据-取费表'!B2</f>
        <v>45279</v>
      </c>
      <c r="D7" s="365">
        <v>100</v>
      </c>
      <c r="E7" s="366">
        <v>45261</v>
      </c>
      <c r="F7" s="367">
        <f>SUMIF(59:59,YEAR(E7)&amp;"-"&amp;MONTH(E7),60:60)</f>
        <v>100</v>
      </c>
      <c r="G7" s="366">
        <v>45261</v>
      </c>
      <c r="H7" s="365">
        <f>SUMIF(59:59,YEAR(G7)&amp;"-"&amp;MONTH(G7),60:60)</f>
        <v>100</v>
      </c>
      <c r="I7" s="366">
        <v>45261</v>
      </c>
      <c r="J7" s="365">
        <f>SUMIF(59:59,YEAR(I7)&amp;"-"&amp;MONTH(I7),60:60)</f>
        <v>100</v>
      </c>
      <c r="K7" s="560"/>
      <c r="L7" s="2712"/>
      <c r="M7" s="2713"/>
      <c r="N7" s="2713"/>
      <c r="O7" s="2713"/>
      <c r="P7" s="3699" t="s">
        <v>1680</v>
      </c>
      <c r="Q7" s="3700"/>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1955">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699"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1" t="s">
        <v>1686</v>
      </c>
      <c r="Q9" s="1339"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5">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81"/>
      <c r="Q10" s="1339"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1"/>
      <c r="Q11" s="1339"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681"/>
      <c r="Q12" s="1339">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681"/>
      <c r="Q13" s="1339">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681"/>
      <c r="Q14" s="1339">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1" t="s">
        <v>1691</v>
      </c>
      <c r="Q15" s="1348" t="str">
        <f t="shared" si="6"/>
        <v>办公集聚程度</v>
      </c>
      <c r="R15" s="705" t="s">
        <v>14</v>
      </c>
      <c r="S15" s="706">
        <f t="shared" si="0"/>
        <v>100</v>
      </c>
      <c r="T15" s="705" t="s">
        <v>14</v>
      </c>
      <c r="U15" s="706">
        <f t="shared" si="1"/>
        <v>100</v>
      </c>
      <c r="V15" s="705" t="s">
        <v>14</v>
      </c>
      <c r="W15" s="706">
        <f t="shared" si="2"/>
        <v>100</v>
      </c>
      <c r="X15" s="1351"/>
      <c r="Y15" s="3703"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7"/>
      <c r="M16" s="2711"/>
      <c r="N16" s="2711"/>
      <c r="O16" s="2711"/>
      <c r="P16" s="3702"/>
      <c r="Q16" s="1348"/>
      <c r="R16" s="705"/>
      <c r="S16" s="706"/>
      <c r="T16" s="705"/>
      <c r="U16" s="706"/>
      <c r="V16" s="705"/>
      <c r="W16" s="706"/>
      <c r="X16" s="1351"/>
      <c r="Y16" s="3704"/>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2"/>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7"/>
      <c r="M18" s="2711"/>
      <c r="N18" s="2711"/>
      <c r="O18" s="2711"/>
      <c r="P18" s="3702"/>
      <c r="Q18" s="1348"/>
      <c r="R18" s="705"/>
      <c r="S18" s="706"/>
      <c r="T18" s="705"/>
      <c r="U18" s="706"/>
      <c r="V18" s="705"/>
      <c r="W18" s="706"/>
      <c r="X18" s="1351"/>
      <c r="Y18" s="3704"/>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2"/>
      <c r="Q19" s="1348" t="str">
        <f>B19</f>
        <v>公共配套设施</v>
      </c>
      <c r="R19" s="705" t="s">
        <v>14</v>
      </c>
      <c r="S19" s="706">
        <f>F19</f>
        <v>100</v>
      </c>
      <c r="T19" s="705" t="s">
        <v>14</v>
      </c>
      <c r="U19" s="706">
        <f>H19</f>
        <v>100</v>
      </c>
      <c r="V19" s="705" t="s">
        <v>14</v>
      </c>
      <c r="W19" s="706">
        <f>J19</f>
        <v>100</v>
      </c>
      <c r="X19" s="1351"/>
      <c r="Y19" s="3704"/>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7"/>
      <c r="M20" s="2711"/>
      <c r="N20" s="2711"/>
      <c r="O20" s="2711"/>
      <c r="P20" s="3702"/>
      <c r="Q20" s="1348"/>
      <c r="R20" s="705"/>
      <c r="S20" s="706"/>
      <c r="T20" s="705"/>
      <c r="U20" s="706"/>
      <c r="V20" s="705"/>
      <c r="W20" s="706"/>
      <c r="X20" s="1351"/>
      <c r="Y20" s="3704"/>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2"/>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7"/>
      <c r="M22" s="2711"/>
      <c r="N22" s="2711"/>
      <c r="O22" s="2711"/>
      <c r="P22" s="3702"/>
      <c r="Q22" s="1348"/>
      <c r="R22" s="705"/>
      <c r="S22" s="706"/>
      <c r="T22" s="705"/>
      <c r="U22" s="706"/>
      <c r="V22" s="705"/>
      <c r="W22" s="706"/>
      <c r="X22" s="1351"/>
      <c r="Y22" s="3704"/>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2"/>
      <c r="Q23" s="1348" t="str">
        <f>B23</f>
        <v>环境质量</v>
      </c>
      <c r="R23" s="705" t="s">
        <v>14</v>
      </c>
      <c r="S23" s="706">
        <f>F23</f>
        <v>100</v>
      </c>
      <c r="T23" s="705" t="s">
        <v>14</v>
      </c>
      <c r="U23" s="706">
        <f>H23</f>
        <v>100</v>
      </c>
      <c r="V23" s="705" t="s">
        <v>14</v>
      </c>
      <c r="W23" s="706">
        <f>J23</f>
        <v>100</v>
      </c>
      <c r="X23" s="1351"/>
      <c r="Y23" s="3704"/>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7"/>
      <c r="M24" s="2711"/>
      <c r="N24" s="2711"/>
      <c r="O24" s="2711"/>
      <c r="P24" s="3702"/>
      <c r="Q24" s="1348"/>
      <c r="R24" s="705"/>
      <c r="S24" s="706"/>
      <c r="T24" s="705"/>
      <c r="U24" s="706"/>
      <c r="V24" s="705"/>
      <c r="W24" s="706"/>
      <c r="X24" s="1351"/>
      <c r="Y24" s="3704"/>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02"/>
      <c r="Q25" s="1348" t="str">
        <f>B25</f>
        <v>毗邻道路的类型与等级</v>
      </c>
      <c r="R25" s="705" t="s">
        <v>14</v>
      </c>
      <c r="S25" s="706">
        <f>F25</f>
        <v>100</v>
      </c>
      <c r="T25" s="705" t="s">
        <v>14</v>
      </c>
      <c r="U25" s="706">
        <f>H25</f>
        <v>100</v>
      </c>
      <c r="V25" s="705" t="s">
        <v>14</v>
      </c>
      <c r="W25" s="706">
        <f>J25</f>
        <v>100</v>
      </c>
      <c r="X25" s="1351"/>
      <c r="Y25" s="3704"/>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7"/>
      <c r="M26" s="2711"/>
      <c r="N26" s="2711"/>
      <c r="O26" s="2711"/>
      <c r="P26" s="3702"/>
      <c r="Q26" s="1348"/>
      <c r="R26" s="705"/>
      <c r="S26" s="706"/>
      <c r="T26" s="705"/>
      <c r="U26" s="706"/>
      <c r="V26" s="705"/>
      <c r="W26" s="706"/>
      <c r="X26" s="1351"/>
      <c r="Y26" s="3704"/>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02"/>
      <c r="Q27" s="1348" t="str">
        <f t="shared" ref="Q27:Q47" si="11">B27</f>
        <v>楼层</v>
      </c>
      <c r="R27" s="705" t="s">
        <v>14</v>
      </c>
      <c r="S27" s="706">
        <f>F27</f>
        <v>100</v>
      </c>
      <c r="T27" s="705" t="s">
        <v>14</v>
      </c>
      <c r="U27" s="706">
        <f>H27</f>
        <v>100</v>
      </c>
      <c r="V27" s="705" t="s">
        <v>14</v>
      </c>
      <c r="W27" s="706">
        <f>J27</f>
        <v>100</v>
      </c>
      <c r="X27" s="1351"/>
      <c r="Y27" s="3704"/>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02"/>
      <c r="Q28" s="1339" t="str">
        <f t="shared" si="11"/>
        <v>朝向</v>
      </c>
      <c r="R28" s="701" t="s">
        <v>14</v>
      </c>
      <c r="S28" s="702">
        <f>F28</f>
        <v>100</v>
      </c>
      <c r="T28" s="701" t="s">
        <v>14</v>
      </c>
      <c r="U28" s="702">
        <f>H28</f>
        <v>100</v>
      </c>
      <c r="V28" s="701" t="s">
        <v>14</v>
      </c>
      <c r="W28" s="702">
        <f>J28</f>
        <v>100</v>
      </c>
      <c r="X28" s="703"/>
      <c r="Y28" s="3704"/>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02"/>
      <c r="Q29" s="1348">
        <f t="shared" si="11"/>
        <v>111</v>
      </c>
      <c r="R29" s="705" t="s">
        <v>14</v>
      </c>
      <c r="S29" s="706">
        <f t="shared" ref="S29:S47" si="12">F29</f>
        <v>100</v>
      </c>
      <c r="T29" s="705" t="s">
        <v>14</v>
      </c>
      <c r="U29" s="706">
        <f t="shared" ref="U29:U47" si="13">H29</f>
        <v>100</v>
      </c>
      <c r="V29" s="705" t="s">
        <v>14</v>
      </c>
      <c r="W29" s="706">
        <f t="shared" ref="W29:W47" si="14">J29</f>
        <v>100</v>
      </c>
      <c r="X29" s="1351"/>
      <c r="Y29" s="3704"/>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02"/>
      <c r="Q30" s="1348">
        <f t="shared" si="11"/>
        <v>111</v>
      </c>
      <c r="R30" s="705" t="s">
        <v>14</v>
      </c>
      <c r="S30" s="706">
        <f t="shared" si="12"/>
        <v>100</v>
      </c>
      <c r="T30" s="705" t="s">
        <v>14</v>
      </c>
      <c r="U30" s="706">
        <f t="shared" si="13"/>
        <v>100</v>
      </c>
      <c r="V30" s="705" t="s">
        <v>14</v>
      </c>
      <c r="W30" s="706">
        <f t="shared" si="14"/>
        <v>100</v>
      </c>
      <c r="X30" s="1351"/>
      <c r="Y30" s="3704"/>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02"/>
      <c r="Q31" s="1348">
        <f t="shared" si="11"/>
        <v>111</v>
      </c>
      <c r="R31" s="705" t="s">
        <v>14</v>
      </c>
      <c r="S31" s="706">
        <f t="shared" si="12"/>
        <v>100</v>
      </c>
      <c r="T31" s="705" t="s">
        <v>14</v>
      </c>
      <c r="U31" s="706">
        <f t="shared" si="13"/>
        <v>100</v>
      </c>
      <c r="V31" s="705" t="s">
        <v>14</v>
      </c>
      <c r="W31" s="706">
        <f t="shared" si="14"/>
        <v>100</v>
      </c>
      <c r="X31" s="1351"/>
      <c r="Y31" s="3704"/>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02"/>
      <c r="Q32" s="1348">
        <f t="shared" si="11"/>
        <v>111</v>
      </c>
      <c r="R32" s="705" t="s">
        <v>14</v>
      </c>
      <c r="S32" s="706">
        <f t="shared" si="12"/>
        <v>100</v>
      </c>
      <c r="T32" s="705" t="s">
        <v>14</v>
      </c>
      <c r="U32" s="706">
        <f t="shared" si="13"/>
        <v>100</v>
      </c>
      <c r="V32" s="705" t="s">
        <v>14</v>
      </c>
      <c r="W32" s="706">
        <f t="shared" si="14"/>
        <v>100</v>
      </c>
      <c r="X32" s="1351"/>
      <c r="Y32" s="3704"/>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05" t="s">
        <v>1696</v>
      </c>
      <c r="Q33" s="1348" t="str">
        <f t="shared" si="11"/>
        <v>建筑类型</v>
      </c>
      <c r="R33" s="705" t="s">
        <v>14</v>
      </c>
      <c r="S33" s="706">
        <f t="shared" si="12"/>
        <v>100</v>
      </c>
      <c r="T33" s="705" t="s">
        <v>14</v>
      </c>
      <c r="U33" s="706">
        <f t="shared" si="13"/>
        <v>100</v>
      </c>
      <c r="V33" s="705" t="s">
        <v>14</v>
      </c>
      <c r="W33" s="706">
        <f t="shared" si="14"/>
        <v>100</v>
      </c>
      <c r="X33" s="1351"/>
      <c r="Y33" s="3708" t="s">
        <v>1696</v>
      </c>
      <c r="Z33" s="1352" t="str">
        <f t="shared" si="15"/>
        <v>建筑类型</v>
      </c>
      <c r="AA33" s="1349">
        <f t="shared" si="3"/>
        <v>1</v>
      </c>
      <c r="AB33" s="1349">
        <f t="shared" si="4"/>
        <v>1</v>
      </c>
      <c r="AC33" s="1958">
        <f t="shared" si="5"/>
        <v>1</v>
      </c>
    </row>
    <row r="34" spans="1:29" s="422" customFormat="1" ht="15">
      <c r="A34" s="419"/>
      <c r="B34" s="375" t="s">
        <v>1697</v>
      </c>
      <c r="C34" s="420">
        <v>100</v>
      </c>
      <c r="D34" s="127">
        <v>100</v>
      </c>
      <c r="E34" s="420">
        <v>100</v>
      </c>
      <c r="F34" s="376">
        <f>LOOKUP(E34,104:104,105:105)-LOOKUP(C34,104:104,105:105)+100</f>
        <v>100</v>
      </c>
      <c r="G34" s="420">
        <v>100</v>
      </c>
      <c r="H34" s="127">
        <f>LOOKUP(G34,104:104,105:105)-LOOKUP(C34,104:104,105:105)+100</f>
        <v>100</v>
      </c>
      <c r="I34" s="420">
        <v>100</v>
      </c>
      <c r="J34" s="127">
        <f>LOOKUP(I34,104:104,105:105)-LOOKUP(C34,104:104,105:105)+100</f>
        <v>100</v>
      </c>
      <c r="K34" s="562"/>
      <c r="L34" s="2716"/>
      <c r="M34" s="2718"/>
      <c r="N34" s="2718"/>
      <c r="O34" s="2718"/>
      <c r="P34" s="3706"/>
      <c r="Q34" s="707" t="str">
        <f t="shared" si="11"/>
        <v>项目建筑规模</v>
      </c>
      <c r="R34" s="708" t="s">
        <v>14</v>
      </c>
      <c r="S34" s="709">
        <f t="shared" si="12"/>
        <v>100</v>
      </c>
      <c r="T34" s="708" t="s">
        <v>14</v>
      </c>
      <c r="U34" s="709">
        <f t="shared" si="13"/>
        <v>100</v>
      </c>
      <c r="V34" s="708" t="s">
        <v>14</v>
      </c>
      <c r="W34" s="709">
        <f t="shared" si="14"/>
        <v>100</v>
      </c>
      <c r="X34" s="710"/>
      <c r="Y34" s="3708"/>
      <c r="Z34" s="711" t="str">
        <f t="shared" si="15"/>
        <v>项目建筑规模</v>
      </c>
      <c r="AA34" s="1349">
        <f t="shared" si="3"/>
        <v>1</v>
      </c>
      <c r="AB34" s="1349">
        <f t="shared" si="4"/>
        <v>1</v>
      </c>
      <c r="AC34" s="1958">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06"/>
      <c r="Q35" s="1348" t="str">
        <f t="shared" si="11"/>
        <v>建筑结构</v>
      </c>
      <c r="R35" s="705" t="s">
        <v>14</v>
      </c>
      <c r="S35" s="706">
        <f t="shared" si="12"/>
        <v>100</v>
      </c>
      <c r="T35" s="705" t="s">
        <v>14</v>
      </c>
      <c r="U35" s="706">
        <f t="shared" si="13"/>
        <v>100</v>
      </c>
      <c r="V35" s="705" t="s">
        <v>14</v>
      </c>
      <c r="W35" s="706">
        <f t="shared" si="14"/>
        <v>100</v>
      </c>
      <c r="X35" s="1351"/>
      <c r="Y35" s="3708"/>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06"/>
      <c r="Q36" s="1348" t="str">
        <f t="shared" si="11"/>
        <v>公共部分装修</v>
      </c>
      <c r="R36" s="705" t="s">
        <v>14</v>
      </c>
      <c r="S36" s="706">
        <f t="shared" si="12"/>
        <v>100</v>
      </c>
      <c r="T36" s="705" t="s">
        <v>14</v>
      </c>
      <c r="U36" s="706">
        <f t="shared" si="13"/>
        <v>100</v>
      </c>
      <c r="V36" s="705" t="s">
        <v>14</v>
      </c>
      <c r="W36" s="706">
        <f t="shared" si="14"/>
        <v>100</v>
      </c>
      <c r="X36" s="1351"/>
      <c r="Y36" s="3708"/>
      <c r="Z36" s="1352" t="str">
        <f t="shared" si="15"/>
        <v>公共部分装修</v>
      </c>
      <c r="AA36" s="1349">
        <f t="shared" si="3"/>
        <v>1</v>
      </c>
      <c r="AB36" s="1349">
        <f t="shared" si="4"/>
        <v>1</v>
      </c>
      <c r="AC36" s="1958">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17"/>
      <c r="M37" s="2711"/>
      <c r="N37" s="2711"/>
      <c r="O37" s="2711"/>
      <c r="P37" s="3706"/>
      <c r="Q37" s="1348" t="str">
        <f t="shared" si="11"/>
        <v>成新度</v>
      </c>
      <c r="R37" s="705" t="s">
        <v>14</v>
      </c>
      <c r="S37" s="706">
        <f t="shared" si="12"/>
        <v>100</v>
      </c>
      <c r="T37" s="705" t="s">
        <v>14</v>
      </c>
      <c r="U37" s="706">
        <f t="shared" si="13"/>
        <v>100</v>
      </c>
      <c r="V37" s="705" t="s">
        <v>14</v>
      </c>
      <c r="W37" s="706">
        <f t="shared" si="14"/>
        <v>100</v>
      </c>
      <c r="X37" s="1351"/>
      <c r="Y37" s="3708"/>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6"/>
      <c r="Q38" s="1339"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06" t="s">
        <v>1696</v>
      </c>
      <c r="Q39" s="1348" t="str">
        <f t="shared" si="11"/>
        <v>物业管理</v>
      </c>
      <c r="R39" s="705" t="s">
        <v>14</v>
      </c>
      <c r="S39" s="706">
        <f t="shared" si="12"/>
        <v>100</v>
      </c>
      <c r="T39" s="705" t="s">
        <v>14</v>
      </c>
      <c r="U39" s="706">
        <f t="shared" si="13"/>
        <v>100</v>
      </c>
      <c r="V39" s="705" t="s">
        <v>14</v>
      </c>
      <c r="W39" s="706">
        <f t="shared" si="14"/>
        <v>100</v>
      </c>
      <c r="X39" s="1351"/>
      <c r="Y39" s="3708"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06"/>
      <c r="Q40" s="1348" t="str">
        <f t="shared" si="11"/>
        <v>市政基础设施</v>
      </c>
      <c r="R40" s="705" t="s">
        <v>14</v>
      </c>
      <c r="S40" s="706">
        <f t="shared" si="12"/>
        <v>100</v>
      </c>
      <c r="T40" s="705" t="s">
        <v>14</v>
      </c>
      <c r="U40" s="706">
        <f t="shared" si="13"/>
        <v>100</v>
      </c>
      <c r="V40" s="705" t="s">
        <v>14</v>
      </c>
      <c r="W40" s="706">
        <f t="shared" si="14"/>
        <v>100</v>
      </c>
      <c r="X40" s="1351"/>
      <c r="Y40" s="3708"/>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06"/>
      <c r="Q41" s="1348" t="str">
        <f t="shared" si="11"/>
        <v>层高</v>
      </c>
      <c r="R41" s="705" t="s">
        <v>14</v>
      </c>
      <c r="S41" s="706">
        <f t="shared" si="12"/>
        <v>100</v>
      </c>
      <c r="T41" s="705" t="s">
        <v>14</v>
      </c>
      <c r="U41" s="706">
        <f t="shared" si="13"/>
        <v>100</v>
      </c>
      <c r="V41" s="705" t="s">
        <v>14</v>
      </c>
      <c r="W41" s="706">
        <f t="shared" si="14"/>
        <v>100</v>
      </c>
      <c r="X41" s="1351"/>
      <c r="Y41" s="3708"/>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06"/>
      <c r="Q43" s="1348" t="str">
        <f t="shared" si="11"/>
        <v>内部装修</v>
      </c>
      <c r="R43" s="705" t="s">
        <v>14</v>
      </c>
      <c r="S43" s="706">
        <f t="shared" si="12"/>
        <v>100</v>
      </c>
      <c r="T43" s="705" t="s">
        <v>14</v>
      </c>
      <c r="U43" s="706">
        <f t="shared" si="13"/>
        <v>100</v>
      </c>
      <c r="V43" s="705" t="s">
        <v>14</v>
      </c>
      <c r="W43" s="706">
        <f t="shared" si="14"/>
        <v>100</v>
      </c>
      <c r="X43" s="1351"/>
      <c r="Y43" s="3708"/>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06"/>
      <c r="Q44" s="1348" t="str">
        <f t="shared" si="11"/>
        <v>内部装修维护情况</v>
      </c>
      <c r="R44" s="705" t="s">
        <v>14</v>
      </c>
      <c r="S44" s="706">
        <f t="shared" si="12"/>
        <v>100</v>
      </c>
      <c r="T44" s="705" t="s">
        <v>14</v>
      </c>
      <c r="U44" s="706">
        <f t="shared" si="13"/>
        <v>100</v>
      </c>
      <c r="V44" s="705" t="s">
        <v>14</v>
      </c>
      <c r="W44" s="706">
        <f t="shared" si="14"/>
        <v>100</v>
      </c>
      <c r="X44" s="1351"/>
      <c r="Y44" s="3708"/>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6"/>
      <c r="Q45" s="1339">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6"/>
      <c r="Q46" s="1348">
        <f t="shared" si="11"/>
        <v>111</v>
      </c>
      <c r="R46" s="705" t="s">
        <v>14</v>
      </c>
      <c r="S46" s="706">
        <f t="shared" si="12"/>
        <v>100</v>
      </c>
      <c r="T46" s="705" t="s">
        <v>14</v>
      </c>
      <c r="U46" s="706">
        <f t="shared" si="13"/>
        <v>100</v>
      </c>
      <c r="V46" s="705" t="s">
        <v>14</v>
      </c>
      <c r="W46" s="706">
        <f t="shared" si="14"/>
        <v>100</v>
      </c>
      <c r="X46" s="1351"/>
      <c r="Y46" s="3708"/>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7"/>
      <c r="Q47" s="1348">
        <f t="shared" si="11"/>
        <v>111</v>
      </c>
      <c r="R47" s="705" t="s">
        <v>14</v>
      </c>
      <c r="S47" s="706">
        <f t="shared" si="12"/>
        <v>100</v>
      </c>
      <c r="T47" s="705" t="s">
        <v>14</v>
      </c>
      <c r="U47" s="706">
        <f t="shared" si="13"/>
        <v>100</v>
      </c>
      <c r="V47" s="705" t="s">
        <v>14</v>
      </c>
      <c r="W47" s="706">
        <f t="shared" si="14"/>
        <v>100</v>
      </c>
      <c r="X47" s="1351"/>
      <c r="Y47" s="3709"/>
      <c r="Z47" s="1352">
        <f t="shared" si="15"/>
        <v>111</v>
      </c>
      <c r="AA47" s="1349">
        <f t="shared" si="3"/>
        <v>1</v>
      </c>
      <c r="AB47" s="1349">
        <f t="shared" si="4"/>
        <v>1</v>
      </c>
      <c r="AC47" s="1958">
        <f t="shared" si="5"/>
        <v>1</v>
      </c>
    </row>
    <row r="48" spans="1:29" ht="15">
      <c r="A48" s="430" t="s">
        <v>1708</v>
      </c>
      <c r="B48" s="431"/>
      <c r="C48" s="1150" t="s">
        <v>0</v>
      </c>
      <c r="D48" s="1151"/>
      <c r="E48" s="1152">
        <v>48000</v>
      </c>
      <c r="F48" s="1153"/>
      <c r="G48" s="1154">
        <f>E48</f>
        <v>48000</v>
      </c>
      <c r="H48" s="1155"/>
      <c r="I48" s="1152">
        <f>G48</f>
        <v>48000</v>
      </c>
      <c r="J48" s="436"/>
      <c r="K48" s="714"/>
      <c r="L48" s="2719"/>
      <c r="M48" s="2711"/>
      <c r="N48" s="2711"/>
      <c r="O48" s="2711"/>
      <c r="P48" s="3681" t="str">
        <f>A48</f>
        <v>成交单价（元/平方米）</v>
      </c>
      <c r="Q48" s="3710"/>
      <c r="R48" s="3711">
        <f>E48</f>
        <v>48000</v>
      </c>
      <c r="S48" s="3711"/>
      <c r="T48" s="3711">
        <f>G48</f>
        <v>48000</v>
      </c>
      <c r="U48" s="3711"/>
      <c r="V48" s="3711">
        <f>I48</f>
        <v>48000</v>
      </c>
      <c r="W48" s="3711"/>
      <c r="X48" s="397"/>
      <c r="Y48" s="712"/>
      <c r="Z48" s="397"/>
      <c r="AA48" s="397"/>
      <c r="AB48" s="397"/>
      <c r="AC48" s="578"/>
    </row>
    <row r="49" spans="1:29" ht="15.75" thickBot="1">
      <c r="A49" s="437" t="s">
        <v>1793</v>
      </c>
      <c r="B49" s="438"/>
      <c r="C49" s="1156">
        <f>R50</f>
        <v>48000</v>
      </c>
      <c r="D49" s="2313" t="s">
        <v>2137</v>
      </c>
      <c r="E49" s="1157">
        <f>R49</f>
        <v>48000</v>
      </c>
      <c r="F49" s="2314"/>
      <c r="G49" s="1156">
        <f>T49</f>
        <v>48000</v>
      </c>
      <c r="H49" s="2314"/>
      <c r="I49" s="1157">
        <f>V49</f>
        <v>48000</v>
      </c>
      <c r="J49" s="2314"/>
      <c r="K49" s="2316">
        <f>F49+H49+J49</f>
        <v>0</v>
      </c>
      <c r="L49" s="2719"/>
      <c r="M49" s="2711"/>
      <c r="N49" s="2711"/>
      <c r="O49" s="2711"/>
      <c r="P49" s="3681" t="str">
        <f>A49</f>
        <v>比较价值（元/平方米）</v>
      </c>
      <c r="Q49" s="3710"/>
      <c r="R49" s="3711">
        <f>IF(F1="售价",ROUND(PRODUCT(R48,AA7:AA47),0),ROUND(PRODUCT(R48,AA7:AA47),1))</f>
        <v>48000</v>
      </c>
      <c r="S49" s="3711"/>
      <c r="T49" s="3711">
        <f>IF(F1="售价",ROUND(PRODUCT(T48,AB7:AB47),0),ROUND(PRODUCT(T48,AB7:AB47),1))</f>
        <v>48000</v>
      </c>
      <c r="U49" s="3711"/>
      <c r="V49" s="3711">
        <f>IF(F1="售价",ROUND(PRODUCT(V48,AC7:AC47),0),ROUND(PRODUCT(V48,AC7:AC47),1))</f>
        <v>48000</v>
      </c>
      <c r="W49" s="3711"/>
      <c r="X49" s="397"/>
      <c r="Y49" s="397"/>
      <c r="Z49" s="397"/>
      <c r="AA49" s="397"/>
      <c r="AB49" s="397"/>
      <c r="AC49" s="578"/>
    </row>
    <row r="50" spans="1:29" ht="15.75" thickBot="1">
      <c r="A50" s="441" t="s">
        <v>1794</v>
      </c>
      <c r="B50" s="442"/>
      <c r="C50" s="1159">
        <f>R50</f>
        <v>48000</v>
      </c>
      <c r="D50" s="1159"/>
      <c r="E50" s="1159"/>
      <c r="F50" s="1159"/>
      <c r="G50" s="1159"/>
      <c r="H50" s="1159"/>
      <c r="I50" s="1159"/>
      <c r="J50" s="443"/>
      <c r="K50" s="715"/>
      <c r="L50" s="2719"/>
      <c r="M50" s="2711"/>
      <c r="N50" s="2711"/>
      <c r="O50" s="2711"/>
      <c r="P50" s="3712" t="str">
        <f>A50</f>
        <v>估价对象XX用房的比较价值（楼面单价，元/平方米）</v>
      </c>
      <c r="Q50" s="3713"/>
      <c r="R50" s="3714">
        <f>IF(F1="售价",ROUND(IF(D49="简单平均",AVERAGE(R49:V49),R49*F49+T49*H49+V49*J49),0),ROUND(IF(D49="简单平均",AVERAGE(R49:V49),R49*F49+T49*H49+V49*J49),1))</f>
        <v>48000</v>
      </c>
      <c r="S50" s="3714"/>
      <c r="T50" s="3714"/>
      <c r="U50" s="3714"/>
      <c r="V50" s="3714"/>
      <c r="W50" s="3714"/>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0" t="str">
        <f>YEAR(C7)&amp;"-"&amp;MONTH(C7)</f>
        <v>2023-12</v>
      </c>
      <c r="D59" s="1181">
        <f>EDATE(C59,-1)</f>
        <v>45231</v>
      </c>
      <c r="E59" s="1181">
        <f>EDATE(D59,-1)</f>
        <v>45200</v>
      </c>
      <c r="F59" s="1181">
        <f t="shared" ref="F59:O59" si="16">EDATE(E59,-1)</f>
        <v>45170</v>
      </c>
      <c r="G59" s="1181">
        <f t="shared" si="16"/>
        <v>45139</v>
      </c>
      <c r="H59" s="1181">
        <f t="shared" si="16"/>
        <v>45108</v>
      </c>
      <c r="I59" s="1181">
        <f t="shared" si="16"/>
        <v>45078</v>
      </c>
      <c r="J59" s="1181">
        <f t="shared" si="16"/>
        <v>45047</v>
      </c>
      <c r="K59" s="1181">
        <f t="shared" si="16"/>
        <v>45017</v>
      </c>
      <c r="L59" s="1181">
        <f t="shared" si="16"/>
        <v>44986</v>
      </c>
      <c r="M59" s="1181">
        <f t="shared" si="16"/>
        <v>44958</v>
      </c>
      <c r="N59" s="1181">
        <f t="shared" si="16"/>
        <v>44927</v>
      </c>
      <c r="O59" s="1181">
        <f t="shared" si="16"/>
        <v>44896</v>
      </c>
      <c r="P59" s="2754"/>
      <c r="Q59" s="2736"/>
      <c r="R59" s="2736"/>
      <c r="S59" s="2736"/>
      <c r="T59" s="2736"/>
      <c r="U59" s="2736"/>
      <c r="V59" s="2736"/>
      <c r="W59" s="2736"/>
      <c r="X59" s="2736"/>
      <c r="Y59" s="2736"/>
      <c r="Z59" s="2736"/>
      <c r="AA59" s="2736"/>
      <c r="AB59" s="2736"/>
      <c r="AC59" s="2736"/>
    </row>
    <row r="60" spans="1:29" s="108" customFormat="1" ht="15">
      <c r="A60" s="458"/>
      <c r="B60" s="459"/>
      <c r="C60" s="1179">
        <v>100</v>
      </c>
      <c r="D60" s="461"/>
      <c r="E60" s="461"/>
      <c r="F60" s="461"/>
      <c r="G60" s="461"/>
      <c r="H60" s="461"/>
      <c r="I60" s="461"/>
      <c r="J60" s="461"/>
      <c r="K60" s="461"/>
      <c r="L60" s="461"/>
      <c r="M60" s="462"/>
      <c r="N60" s="461"/>
      <c r="O60" s="462"/>
      <c r="P60" s="2755"/>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5"/>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0(含)-100</v>
      </c>
      <c r="D103" s="527" t="str">
        <f t="shared" ref="D103:L103" si="23">D104&amp;"(含)"&amp;"-"&amp;E104</f>
        <v>100(含)-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01" priority="20" stopIfTrue="1" operator="containsText" text="超过">
      <formula>NOT(ISERROR(SEARCH("超过",F53)))</formula>
    </cfRule>
  </conditionalFormatting>
  <conditionalFormatting sqref="H55">
    <cfRule type="containsText" dxfId="200" priority="19" stopIfTrue="1" operator="containsText" text="超过">
      <formula>NOT(ISERROR(SEARCH("超过",H55)))</formula>
    </cfRule>
  </conditionalFormatting>
  <conditionalFormatting sqref="F55">
    <cfRule type="containsText" dxfId="199" priority="18" stopIfTrue="1" operator="containsText" text="超过">
      <formula>NOT(ISERROR(SEARCH("超过",F55)))</formula>
    </cfRule>
  </conditionalFormatting>
  <conditionalFormatting sqref="F54 H54">
    <cfRule type="containsText" dxfId="198" priority="17" stopIfTrue="1" operator="containsText" text="超过">
      <formula>NOT(ISERROR(SEARCH("超过",F54)))</formula>
    </cfRule>
  </conditionalFormatting>
  <conditionalFormatting sqref="E53">
    <cfRule type="expression" dxfId="197" priority="16" stopIfTrue="1">
      <formula>$F$53="超过30%"</formula>
    </cfRule>
  </conditionalFormatting>
  <conditionalFormatting sqref="E54">
    <cfRule type="expression" dxfId="196" priority="15" stopIfTrue="1">
      <formula>$F$54="超过20%"</formula>
    </cfRule>
  </conditionalFormatting>
  <conditionalFormatting sqref="E55">
    <cfRule type="expression" dxfId="195" priority="14" stopIfTrue="1">
      <formula>$F$55="超过30%"</formula>
    </cfRule>
  </conditionalFormatting>
  <conditionalFormatting sqref="G55">
    <cfRule type="expression" dxfId="194" priority="13" stopIfTrue="1">
      <formula>$H$55="超过30%"</formula>
    </cfRule>
  </conditionalFormatting>
  <conditionalFormatting sqref="G53">
    <cfRule type="expression" dxfId="193" priority="12" stopIfTrue="1">
      <formula>$H$53="超过30%"</formula>
    </cfRule>
  </conditionalFormatting>
  <conditionalFormatting sqref="G54">
    <cfRule type="expression" dxfId="192" priority="11" stopIfTrue="1">
      <formula>$H$54="超过20%"</formula>
    </cfRule>
  </conditionalFormatting>
  <conditionalFormatting sqref="J53">
    <cfRule type="containsText" dxfId="191" priority="10" stopIfTrue="1" operator="containsText" text="超过">
      <formula>NOT(ISERROR(SEARCH("超过",J53)))</formula>
    </cfRule>
  </conditionalFormatting>
  <conditionalFormatting sqref="J55">
    <cfRule type="containsText" dxfId="190" priority="9" stopIfTrue="1" operator="containsText" text="超过">
      <formula>NOT(ISERROR(SEARCH("超过",J55)))</formula>
    </cfRule>
  </conditionalFormatting>
  <conditionalFormatting sqref="J54">
    <cfRule type="containsText" dxfId="189" priority="8" stopIfTrue="1" operator="containsText" text="超过">
      <formula>NOT(ISERROR(SEARCH("超过",J54)))</formula>
    </cfRule>
  </conditionalFormatting>
  <conditionalFormatting sqref="I53">
    <cfRule type="expression" dxfId="188" priority="7" stopIfTrue="1">
      <formula>$J$53="超过30%"</formula>
    </cfRule>
  </conditionalFormatting>
  <conditionalFormatting sqref="I54">
    <cfRule type="expression" dxfId="187" priority="6" stopIfTrue="1">
      <formula>$J$53+$J$54="超过20%"</formula>
    </cfRule>
  </conditionalFormatting>
  <conditionalFormatting sqref="I55">
    <cfRule type="expression" dxfId="186" priority="5" stopIfTrue="1">
      <formula>$J$55="超过30%"</formula>
    </cfRule>
  </conditionalFormatting>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F7:F47 H7:H47 J7:J47">
    <cfRule type="cellIs" dxfId="1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1" t="str">
        <f>项目基本情况!B1</f>
        <v>北京市丰台区青塔西路58号院22号楼3层301-306/203-205房地产抵押价值预评估</v>
      </c>
      <c r="C37" s="3481"/>
      <c r="D37" s="3481"/>
      <c r="E37" s="3481"/>
      <c r="F37" s="3481"/>
      <c r="G37" s="3481"/>
      <c r="H37" s="3481"/>
      <c r="I37" s="3481"/>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B3" sqref="B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1926</v>
      </c>
      <c r="B1" s="197"/>
      <c r="C1" s="201" t="s">
        <v>1927</v>
      </c>
      <c r="D1" s="342">
        <f>SUM(D33:D34,D37:D42)</f>
        <v>65998.39</v>
      </c>
      <c r="E1" s="1991"/>
      <c r="F1" s="1991"/>
      <c r="G1" s="1991"/>
      <c r="H1" s="1991"/>
      <c r="I1" s="1991"/>
      <c r="J1" s="1991"/>
      <c r="K1" s="1115"/>
      <c r="L1" s="1992" t="s">
        <v>1928</v>
      </c>
      <c r="M1" s="859">
        <f>SUMPRODUCT((区片价!B5:B9=I2)*(区片价!C3:G3=E2)*(区片价!C5:G9))</f>
        <v>34850</v>
      </c>
      <c r="N1" s="862">
        <f>SUMPRODUCT((因素修正幅度!B5:B9=I2)*(因素修正幅度!C3:G3=E2)*(因素修正幅度!C5:G9))</f>
        <v>9.7000000000000003E-2</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f>C30</f>
        <v>145957</v>
      </c>
      <c r="C2" s="1995" t="s">
        <v>1935</v>
      </c>
      <c r="D2" s="1996" t="s">
        <v>1936</v>
      </c>
      <c r="E2" s="3417" t="s">
        <v>673</v>
      </c>
      <c r="F2" s="1996" t="s">
        <v>1937</v>
      </c>
      <c r="G2" s="1997" t="str">
        <f>IF(E2="商业",项目基本情况!B37,IF(E2="办公",项目基本情况!C37,IF(E2="住宅",项目基本情况!D37,IF(E2="工业",项目基本情况!E37,项目基本情况!F37))))</f>
        <v>一级</v>
      </c>
      <c r="H2" s="1996" t="s">
        <v>1938</v>
      </c>
      <c r="I2" s="1997" t="str">
        <f>IF(E2="商业",项目基本情况!B38,IF(E2="办公",项目基本情况!C38,IF(E2="住宅",项目基本情况!D38,IF(E2="工业",项目基本情况!E38,项目基本情况!F38))))</f>
        <v>Ⅰ—03</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6">
        <f>ROUND(SUMPRODUCT((B106:B110=R2)*(C105:N105=G2)*(C106:N110)),4)</f>
        <v>1.5206</v>
      </c>
      <c r="T2" s="3356">
        <f t="shared" ref="T2:T16" si="0">ROUND($C$5*$C$22*$C$23*$C$24*S2*$C$28,0)</f>
        <v>41993</v>
      </c>
      <c r="U2" s="1209">
        <f>'数据-基础表'!I13/2</f>
        <v>1564.5550000000001</v>
      </c>
      <c r="V2" s="3356">
        <f>ROUND(T2*U2/10000,0)</f>
        <v>6570</v>
      </c>
      <c r="W2" s="1212"/>
      <c r="X2" s="1212"/>
      <c r="Y2" s="1212"/>
      <c r="Z2" s="1212"/>
      <c r="AA2" s="1212"/>
      <c r="AB2" s="1212"/>
      <c r="AC2" s="1213"/>
      <c r="AD2" s="1214"/>
      <c r="AE2" s="1214"/>
      <c r="AF2" s="1214"/>
      <c r="AG2" s="1214"/>
      <c r="AH2" s="1214"/>
      <c r="AI2" s="1214"/>
      <c r="AJ2" s="1215"/>
    </row>
    <row r="3" spans="1:36" ht="15.75">
      <c r="A3" s="203" t="s">
        <v>1940</v>
      </c>
      <c r="B3" s="204">
        <f>ROUND(B2*10000/D1,0)</f>
        <v>22115</v>
      </c>
      <c r="C3" s="1995" t="s">
        <v>1941</v>
      </c>
      <c r="D3" s="1996" t="s">
        <v>1942</v>
      </c>
      <c r="E3" s="3415" t="s">
        <v>2442</v>
      </c>
      <c r="F3" s="2000" t="s">
        <v>3474</v>
      </c>
      <c r="G3" s="748">
        <f>IF(F3="宗地容积率",'数据-汇总表'!I4,IF(F3="估价对象容积率",'数据-汇总表'!I6,'数据-汇总表'!I7))</f>
        <v>5.13</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6">
        <f>ROUND(SUMPRODUCT((B106:B110=R3)*(C105:N105=G2)*(C106:N110)),4)</f>
        <v>1.2072000000000001</v>
      </c>
      <c r="T3" s="3356">
        <f t="shared" si="0"/>
        <v>33338</v>
      </c>
      <c r="U3" s="1209">
        <f>U2</f>
        <v>1564.5550000000001</v>
      </c>
      <c r="V3" s="3356">
        <f t="shared" ref="V3:V16" si="1">ROUND(T3*U3/10000,0)</f>
        <v>5216</v>
      </c>
      <c r="W3" s="1212"/>
      <c r="X3" s="1212"/>
      <c r="Y3" s="1212"/>
      <c r="Z3" s="1212"/>
      <c r="AA3" s="1212"/>
      <c r="AB3" s="1212"/>
      <c r="AC3" s="1213"/>
      <c r="AD3" s="1214"/>
      <c r="AE3" s="1214"/>
      <c r="AF3" s="1214"/>
      <c r="AG3" s="1214"/>
      <c r="AH3" s="1214"/>
      <c r="AI3" s="1214"/>
      <c r="AJ3" s="1215"/>
    </row>
    <row r="4" spans="1:36" ht="15.75">
      <c r="A4" s="3722"/>
      <c r="B4" s="3723"/>
      <c r="C4" s="3723"/>
      <c r="D4" s="3724"/>
      <c r="E4" s="3724"/>
      <c r="F4" s="3724"/>
      <c r="G4" s="3724"/>
      <c r="H4" s="3724"/>
      <c r="I4" s="3724"/>
      <c r="J4" s="3725"/>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6">
        <f>ROUND(SUMPRODUCT((B106:B110=R4)*(C105:N105=G2)*(C106:N110)),4)</f>
        <v>1.0430999999999999</v>
      </c>
      <c r="T4" s="3356">
        <f t="shared" si="0"/>
        <v>28806</v>
      </c>
      <c r="U4" s="1209"/>
      <c r="V4" s="3356">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1947</v>
      </c>
      <c r="C5" s="749">
        <f>ROUND(IF(E2="商业",C6*C7*C17+C20,(IF(E2="住宅",C6*C13*C17+C20,IF(E2="办公",C6*C12*C17+C20,C6+C20)))),0)</f>
        <v>34819</v>
      </c>
      <c r="D5" s="1335">
        <f>ROUND(C6*C17+C20,0)</f>
        <v>34819</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6">
        <f>ROUND(SUMPRODUCT((B106:B110=R5)*(C105:N105=G2)*(C106:N110)),4)</f>
        <v>0.94389999999999996</v>
      </c>
      <c r="T5" s="3356">
        <f t="shared" si="0"/>
        <v>26067</v>
      </c>
      <c r="U5" s="1209"/>
      <c r="V5" s="3356">
        <f t="shared" si="1"/>
        <v>0</v>
      </c>
      <c r="W5" s="1212"/>
      <c r="X5" s="1212"/>
      <c r="Y5" s="1212"/>
      <c r="Z5" s="1212"/>
      <c r="AA5" s="1212"/>
      <c r="AB5" s="1212"/>
      <c r="AC5" s="2007"/>
      <c r="AD5" s="2008"/>
      <c r="AE5" s="2008"/>
      <c r="AF5" s="2008"/>
      <c r="AG5" s="2008"/>
      <c r="AH5" s="2008"/>
      <c r="AI5" s="2008"/>
      <c r="AJ5" s="2009"/>
    </row>
    <row r="6" spans="1:36" ht="15.75" thickBot="1">
      <c r="A6" s="2011" t="s">
        <v>1949</v>
      </c>
      <c r="B6" s="2012" t="s">
        <v>1950</v>
      </c>
      <c r="C6" s="750">
        <f>SUMIF(L1:L12,G2,M1:M12)</f>
        <v>34850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6">
        <f>ROUND(SUMPRODUCT((B106:B110=R6)*(C105:N105=G2)*(C106:N110)),4)</f>
        <v>0.89959999999999996</v>
      </c>
      <c r="T6" s="3356">
        <f t="shared" si="0"/>
        <v>24844</v>
      </c>
      <c r="U6" s="1209"/>
      <c r="V6" s="3356">
        <f t="shared" si="1"/>
        <v>0</v>
      </c>
      <c r="W6" s="1212"/>
      <c r="X6" s="1212"/>
      <c r="Y6" s="1212"/>
      <c r="Z6" s="1212"/>
      <c r="AA6" s="1212"/>
      <c r="AB6" s="1212"/>
      <c r="AC6" s="2007"/>
      <c r="AD6" s="2008"/>
      <c r="AE6" s="2008"/>
      <c r="AF6" s="2008"/>
      <c r="AG6" s="2008"/>
      <c r="AH6" s="2008"/>
      <c r="AI6" s="2008"/>
      <c r="AJ6" s="2009"/>
    </row>
    <row r="7" spans="1:36" ht="24.75" thickBot="1">
      <c r="A7" s="3299" t="s">
        <v>3240</v>
      </c>
      <c r="B7" s="2017" t="s">
        <v>1952</v>
      </c>
      <c r="C7" s="751">
        <f>IF(C8="不临65条商业街",1,ROUND(1+(1.6*E8+1.2*E9+0.8*E10+0.4*E11)*C9,4))</f>
        <v>1</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4"/>
      <c r="T7" s="3356">
        <f t="shared" si="0"/>
        <v>0</v>
      </c>
      <c r="U7" s="1209"/>
      <c r="V7" s="3356">
        <f t="shared" si="1"/>
        <v>0</v>
      </c>
      <c r="W7" s="1354" t="s">
        <v>1955</v>
      </c>
      <c r="X7" s="1210" t="str">
        <f>G2</f>
        <v>一级</v>
      </c>
      <c r="Y7" s="1210" t="s">
        <v>1956</v>
      </c>
      <c r="Z7" s="1211">
        <f>G3</f>
        <v>5.13</v>
      </c>
      <c r="AA7" s="1212"/>
      <c r="AB7" s="1212"/>
      <c r="AC7" s="1213"/>
      <c r="AD7" s="1214"/>
      <c r="AE7" s="1214"/>
      <c r="AF7" s="1214"/>
      <c r="AG7" s="1214"/>
      <c r="AH7" s="1214"/>
      <c r="AI7" s="1214"/>
      <c r="AJ7" s="1215"/>
    </row>
    <row r="8" spans="1:36" ht="25.5">
      <c r="A8" s="3294"/>
      <c r="B8" s="170" t="s">
        <v>1957</v>
      </c>
      <c r="C8" s="2022" t="s">
        <v>3389</v>
      </c>
      <c r="D8" s="752" t="s">
        <v>112</v>
      </c>
      <c r="E8" s="753" t="e">
        <f>ROUND(C11/E7,4)</f>
        <v>#DIV/0!</v>
      </c>
      <c r="F8" s="2023" t="s">
        <v>1958</v>
      </c>
      <c r="G8" s="2024"/>
      <c r="H8" s="2024"/>
      <c r="I8" s="2024"/>
      <c r="J8" s="2025"/>
      <c r="K8" s="1115"/>
      <c r="L8" s="1999" t="s">
        <v>1959</v>
      </c>
      <c r="M8" s="860">
        <f>SUMPRODUCT((区片价!B234:B276=I2)*(区片价!C3:G3=E2)*(区片价!C234:G276))</f>
        <v>0</v>
      </c>
      <c r="N8" s="862">
        <f>SUMPRODUCT((因素修正幅度!B234:B276=I2)*(因素修正幅度!C3:G3=E2)*(因素修正幅度!C234:G276))</f>
        <v>0</v>
      </c>
      <c r="O8" s="1115"/>
      <c r="P8" s="1115"/>
      <c r="Q8" s="1115"/>
      <c r="R8" s="1208">
        <v>7</v>
      </c>
      <c r="S8" s="1209"/>
      <c r="T8" s="3356">
        <f t="shared" si="0"/>
        <v>0</v>
      </c>
      <c r="U8" s="1209"/>
      <c r="V8" s="3356">
        <f t="shared" si="1"/>
        <v>0</v>
      </c>
      <c r="W8" s="3719" t="s">
        <v>1960</v>
      </c>
      <c r="X8" s="3720"/>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4"/>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6">
        <f t="shared" si="0"/>
        <v>0</v>
      </c>
      <c r="U9" s="1209"/>
      <c r="V9" s="3356">
        <f t="shared" si="1"/>
        <v>0</v>
      </c>
      <c r="W9" s="3721"/>
      <c r="X9" s="3357" t="s">
        <v>3270</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6">
        <f t="shared" si="0"/>
        <v>0</v>
      </c>
      <c r="U10" s="1209"/>
      <c r="V10" s="3356">
        <f t="shared" si="1"/>
        <v>0</v>
      </c>
      <c r="W10" s="372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6">
        <f t="shared" si="0"/>
        <v>0</v>
      </c>
      <c r="U11" s="1209"/>
      <c r="V11" s="3356">
        <f t="shared" si="1"/>
        <v>0</v>
      </c>
      <c r="W11" s="1212"/>
      <c r="X11" s="1212"/>
      <c r="Y11" s="1212"/>
      <c r="Z11" s="1212"/>
      <c r="AA11" s="1212"/>
      <c r="AB11" s="1212"/>
      <c r="AC11" s="1213"/>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6">
        <f t="shared" si="0"/>
        <v>0</v>
      </c>
      <c r="U12" s="1209"/>
      <c r="V12" s="3356">
        <f t="shared" si="1"/>
        <v>0</v>
      </c>
      <c r="W12" s="1212"/>
      <c r="X12" s="1212"/>
      <c r="Y12" s="1212"/>
      <c r="Z12" s="1212"/>
      <c r="AA12" s="1212"/>
      <c r="AB12" s="1212"/>
      <c r="AC12" s="1213"/>
      <c r="AD12" s="2784"/>
      <c r="AE12" s="2784"/>
      <c r="AF12" s="2784"/>
      <c r="AG12" s="2784"/>
      <c r="AH12" s="2784"/>
      <c r="AI12" s="2784"/>
      <c r="AJ12" s="2785"/>
    </row>
    <row r="13" spans="1:36" ht="15.75" thickBot="1">
      <c r="A13" s="3299" t="s">
        <v>3245</v>
      </c>
      <c r="B13" s="2030" t="s">
        <v>1982</v>
      </c>
      <c r="C13" s="751">
        <f>ROUND(C16*D16*E16*F16*G16*H16*I16*J16,4)</f>
        <v>0</v>
      </c>
      <c r="D13" s="2031" t="s">
        <v>1983</v>
      </c>
      <c r="E13" s="2032"/>
      <c r="F13" s="2032"/>
      <c r="G13" s="2033"/>
      <c r="H13" s="2033"/>
      <c r="I13" s="2033"/>
      <c r="J13" s="2034"/>
      <c r="K13" s="1115"/>
      <c r="L13" s="3295"/>
      <c r="M13" s="3296"/>
      <c r="N13" s="3297"/>
      <c r="O13" s="1115"/>
      <c r="P13" s="1115"/>
      <c r="Q13" s="1115"/>
      <c r="R13" s="1208">
        <v>12</v>
      </c>
      <c r="S13" s="1209"/>
      <c r="T13" s="3356">
        <f t="shared" si="0"/>
        <v>0</v>
      </c>
      <c r="U13" s="1209"/>
      <c r="V13" s="3356">
        <f t="shared" si="1"/>
        <v>0</v>
      </c>
      <c r="W13" s="1212"/>
      <c r="X13" s="1212"/>
      <c r="Y13" s="1212"/>
      <c r="Z13" s="1212"/>
      <c r="AA13" s="1212"/>
      <c r="AB13" s="1212"/>
      <c r="AC13" s="1213"/>
      <c r="AD13" s="2784"/>
      <c r="AE13" s="2784"/>
      <c r="AF13" s="2784"/>
      <c r="AG13" s="2784"/>
      <c r="AH13" s="2784"/>
      <c r="AI13" s="2784"/>
      <c r="AJ13" s="2785"/>
    </row>
    <row r="14" spans="1:36" ht="15">
      <c r="A14" s="3293"/>
      <c r="B14" s="2036" t="s">
        <v>1985</v>
      </c>
      <c r="C14" s="2037" t="s">
        <v>1986</v>
      </c>
      <c r="D14" s="1346" t="s">
        <v>1987</v>
      </c>
      <c r="E14" s="27" t="s">
        <v>1988</v>
      </c>
      <c r="F14" s="3307" t="s">
        <v>3246</v>
      </c>
      <c r="G14" s="3307" t="s">
        <v>3246</v>
      </c>
      <c r="H14" s="3307" t="s">
        <v>3246</v>
      </c>
      <c r="I14" s="3307" t="s">
        <v>3246</v>
      </c>
      <c r="J14" s="3307" t="s">
        <v>3246</v>
      </c>
      <c r="K14" s="1115"/>
      <c r="L14" s="1115"/>
      <c r="M14" s="1115"/>
      <c r="N14" s="1115"/>
      <c r="O14" s="1115"/>
      <c r="P14" s="1115"/>
      <c r="Q14" s="1115"/>
      <c r="R14" s="1208">
        <v>13</v>
      </c>
      <c r="S14" s="1209"/>
      <c r="T14" s="3356">
        <f t="shared" si="0"/>
        <v>0</v>
      </c>
      <c r="U14" s="1209"/>
      <c r="V14" s="3356">
        <f t="shared" si="1"/>
        <v>0</v>
      </c>
      <c r="W14" s="1212"/>
      <c r="X14" s="1212"/>
      <c r="Y14" s="1212"/>
      <c r="Z14" s="1212"/>
      <c r="AA14" s="1212"/>
      <c r="AB14" s="1212"/>
      <c r="AC14" s="1213"/>
      <c r="AD14" s="2784"/>
      <c r="AE14" s="2784"/>
      <c r="AF14" s="2784"/>
      <c r="AG14" s="2784"/>
      <c r="AH14" s="2784"/>
      <c r="AI14" s="2784"/>
      <c r="AJ14" s="2785"/>
    </row>
    <row r="15" spans="1:36" ht="15">
      <c r="A15" s="3293"/>
      <c r="B15" s="2038"/>
      <c r="C15" s="2039"/>
      <c r="D15" s="2040"/>
      <c r="E15" s="2041"/>
      <c r="F15" s="3308" t="s">
        <v>3247</v>
      </c>
      <c r="G15" s="3309"/>
      <c r="H15" s="3310"/>
      <c r="I15" s="3311"/>
      <c r="J15" s="3312"/>
      <c r="K15" s="1115"/>
      <c r="L15" s="1115"/>
      <c r="M15" s="1115"/>
      <c r="N15" s="1115"/>
      <c r="O15" s="1115"/>
      <c r="P15" s="1115"/>
      <c r="Q15" s="1115"/>
      <c r="R15" s="1208">
        <v>14</v>
      </c>
      <c r="S15" s="1209"/>
      <c r="T15" s="3356">
        <f t="shared" si="0"/>
        <v>0</v>
      </c>
      <c r="U15" s="1209"/>
      <c r="V15" s="3356">
        <f t="shared" si="1"/>
        <v>0</v>
      </c>
      <c r="W15" s="1212"/>
      <c r="X15" s="1212"/>
      <c r="Y15" s="1212"/>
      <c r="Z15" s="1212"/>
      <c r="AA15" s="1212"/>
      <c r="AB15" s="1212"/>
      <c r="AC15" s="1213"/>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3"/>
      <c r="M16" s="1993"/>
      <c r="N16" s="1993"/>
      <c r="O16" s="1993"/>
      <c r="P16" s="1993"/>
      <c r="Q16" s="1115"/>
      <c r="R16" s="1208">
        <v>15</v>
      </c>
      <c r="S16" s="1209"/>
      <c r="T16" s="3356">
        <f t="shared" si="0"/>
        <v>0</v>
      </c>
      <c r="U16" s="1209"/>
      <c r="V16" s="3356">
        <f t="shared" si="1"/>
        <v>0</v>
      </c>
      <c r="W16" s="1212"/>
      <c r="X16" s="1212"/>
      <c r="Y16" s="1212"/>
      <c r="Z16" s="1212"/>
      <c r="AA16" s="1212"/>
      <c r="AB16" s="1212"/>
      <c r="AC16" s="1213"/>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f>ROUND(G18/I18,2)</f>
        <v>0</v>
      </c>
      <c r="F17" s="3317" t="s">
        <v>3253</v>
      </c>
      <c r="G17" s="3326" t="e">
        <f>ROUND(E19/G19,2)</f>
        <v>#DIV/0!</v>
      </c>
      <c r="H17" s="3326"/>
      <c r="I17" s="3326"/>
      <c r="J17" s="3327"/>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8"/>
      <c r="B18" s="3005"/>
      <c r="C18" s="3323"/>
      <c r="D18" s="3318" t="s">
        <v>3251</v>
      </c>
      <c r="E18" s="3324"/>
      <c r="F18" s="3319" t="s">
        <v>3254</v>
      </c>
      <c r="G18" s="3323">
        <f>ROUND(1-(1/(POWER(1+G24,E18))),4)</f>
        <v>0</v>
      </c>
      <c r="H18" s="3319" t="s">
        <v>3256</v>
      </c>
      <c r="I18" s="3323">
        <f>ROUND(1-(1/(POWER(1+G24,J24))),4)</f>
        <v>0.88249999999999995</v>
      </c>
      <c r="J18" s="3329"/>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3"/>
    </row>
    <row r="19" spans="1:37" s="2010" customFormat="1" ht="15" thickBot="1">
      <c r="A19" s="3330"/>
      <c r="B19" s="3331"/>
      <c r="C19" s="3332"/>
      <c r="D19" s="3332" t="s">
        <v>3252</v>
      </c>
      <c r="E19" s="3333"/>
      <c r="F19" s="3334" t="s">
        <v>3255</v>
      </c>
      <c r="G19" s="3333"/>
      <c r="H19" s="3332"/>
      <c r="I19" s="3332"/>
      <c r="J19" s="3335"/>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6"/>
      <c r="AH19" s="2137"/>
      <c r="AI19" s="2787"/>
      <c r="AJ19" s="2787"/>
      <c r="AK19" s="2053"/>
    </row>
    <row r="20" spans="1:37" s="2010" customFormat="1" ht="14.25">
      <c r="A20" s="3726" t="s">
        <v>3257</v>
      </c>
      <c r="B20" s="167" t="s">
        <v>1994</v>
      </c>
      <c r="C20" s="3320">
        <f>ROUND(IF(F21="与级别开发程度一致",0,(G21-E21)/C21),0)</f>
        <v>-31</v>
      </c>
      <c r="D20" s="3336" t="s">
        <v>1998</v>
      </c>
      <c r="E20" s="3337"/>
      <c r="F20" s="3732" t="s">
        <v>1995</v>
      </c>
      <c r="G20" s="3733"/>
      <c r="H20" s="3321" t="s">
        <v>3390</v>
      </c>
      <c r="I20" s="3321" t="s">
        <v>3391</v>
      </c>
      <c r="J20" s="3322" t="s">
        <v>3391</v>
      </c>
      <c r="K20" s="2043" t="s">
        <v>3392</v>
      </c>
      <c r="L20" s="2043" t="s">
        <v>3393</v>
      </c>
      <c r="M20" s="2043"/>
      <c r="N20" s="2043" t="s">
        <v>3394</v>
      </c>
      <c r="O20" s="2044" t="s">
        <v>3395</v>
      </c>
      <c r="P20" s="1993"/>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10" customFormat="1" ht="15" thickBot="1">
      <c r="A21" s="3727"/>
      <c r="B21" s="2160" t="s">
        <v>1997</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c r="G21" s="2153">
        <f>SUM(H21:O21)</f>
        <v>265</v>
      </c>
      <c r="H21" s="2161">
        <f>SUMPRODUCT((七通一平=H20)*(修正!B1:M1=G2)*(修正!B8:M16))</f>
        <v>80</v>
      </c>
      <c r="I21" s="2161">
        <f>SUMPRODUCT((七通一平=I20)*(修正!B1:M1=G2)*(修正!B8:M16))</f>
        <v>20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0</v>
      </c>
      <c r="N21" s="2161">
        <f>SUMPRODUCT((七通一平=N20)*(修正!B1:M1=G2)*(修正!B8:M16))</f>
        <v>50</v>
      </c>
      <c r="O21" s="2163">
        <f>SUMPRODUCT((七通一平=O20)*(修正!B1:M1=G2)*(修正!B8:M16))</f>
        <v>20</v>
      </c>
      <c r="P21" s="1993"/>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0" t="s">
        <v>2002</v>
      </c>
      <c r="E23" s="757">
        <v>44197</v>
      </c>
      <c r="F23" s="2050" t="s">
        <v>2003</v>
      </c>
      <c r="G23" s="758">
        <f>'数据-取费表'!B2</f>
        <v>45279</v>
      </c>
      <c r="H23" s="3338" t="s">
        <v>3258</v>
      </c>
      <c r="I23" s="3339" t="str">
        <f>IF(H23="季度增幅（自定义）",SUMIF(N25:N28,E2,O25:O28),"")</f>
        <v/>
      </c>
      <c r="J23" s="3440" t="s">
        <v>3475</v>
      </c>
      <c r="K23" s="1121"/>
      <c r="L23" s="2051" t="s">
        <v>2004</v>
      </c>
      <c r="M23" s="1324">
        <f>ROUND(SUMIF(地价!B2:G2,E2,地价!B16:G16),0)</f>
        <v>350</v>
      </c>
      <c r="N23" s="2052" t="s">
        <v>2005</v>
      </c>
      <c r="O23" s="759">
        <f>ROUNDDOWN(DATEDIF(E23,G23,"M")/3,0)</f>
        <v>11</v>
      </c>
      <c r="P23" s="1118"/>
      <c r="Q23" s="2783"/>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2006</v>
      </c>
      <c r="C24" s="760">
        <f>ROUND(POWER(1+G24,J24-I24)*(POWER(1+G24,I24)-1)/(POWER(1+G24,J24)-1),4)</f>
        <v>0.75919999999999999</v>
      </c>
      <c r="D24" s="2056" t="s">
        <v>2007</v>
      </c>
      <c r="E24" s="1331">
        <f>存贷款利率!E24/100</f>
        <v>4.3499999999999997E-2</v>
      </c>
      <c r="F24" s="2056" t="s">
        <v>1999</v>
      </c>
      <c r="G24" s="764">
        <f>SUMIF(M30:Q30,E2,M33:Q33)</f>
        <v>5.5E-2</v>
      </c>
      <c r="H24" s="2056" t="s">
        <v>2008</v>
      </c>
      <c r="I24" s="765">
        <f>SUMIF('数据-取费表'!C6:C15,E2,'数据-取费表'!F6:F15)/COUNTIF('数据-取费表'!C6:C15,E2)</f>
        <v>20.71</v>
      </c>
      <c r="J24" s="766">
        <f>IF(E2="住宅",70,IF(E2="商业",40,50))</f>
        <v>40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1" t="s">
        <v>366</v>
      </c>
      <c r="B25" s="2062" t="s">
        <v>3463</v>
      </c>
      <c r="C25" s="767">
        <f>IF(B25="容积率修正",IF(G3&lt;10,D26,J26),C27)</f>
        <v>0.95679999999999998</v>
      </c>
      <c r="D25" s="2063"/>
      <c r="E25" s="2063"/>
      <c r="F25" s="2063"/>
      <c r="G25" s="2063"/>
      <c r="H25" s="2063"/>
      <c r="I25" s="2063"/>
      <c r="J25" s="2064"/>
      <c r="K25" s="1121"/>
      <c r="L25" s="2783"/>
      <c r="M25" s="2783"/>
      <c r="N25" s="2065"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2014</v>
      </c>
      <c r="B26" s="2066" t="s">
        <v>2015</v>
      </c>
      <c r="C26" s="3340" t="s">
        <v>3259</v>
      </c>
      <c r="D26" s="1348">
        <f>IF(E26=G26,F26,IF(G3&lt;10,ROUND(F26+(H26-F26)*(G3-E26)/(G26-E26),4),"——"))</f>
        <v>0.95679999999999998</v>
      </c>
      <c r="E26" s="748">
        <f>ROUNDDOWN(G3,1)</f>
        <v>5.0999999999999996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0.95740000000000003</v>
      </c>
      <c r="G26" s="748">
        <f>ROUNDUP(G3,1)</f>
        <v>5.1999999999999993</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0.95540000000000003</v>
      </c>
      <c r="I26" s="3340" t="s">
        <v>3260</v>
      </c>
      <c r="J26" s="768" t="str">
        <f>IF(G3&gt;=10,D115,"——")</f>
        <v>——</v>
      </c>
      <c r="K26" s="1121"/>
      <c r="L26" s="2783"/>
      <c r="M26" s="2783"/>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2020</v>
      </c>
      <c r="C28" s="756">
        <f>SUMIF(A47:A101,E2,B47:B101)</f>
        <v>1</v>
      </c>
      <c r="D28" s="2048"/>
      <c r="E28" s="2073"/>
      <c r="F28" s="2073"/>
      <c r="G28" s="2073"/>
      <c r="H28" s="2073"/>
      <c r="I28" s="2073"/>
      <c r="J28" s="2074"/>
      <c r="K28" s="1121"/>
      <c r="L28" s="2783"/>
      <c r="M28" s="2783"/>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2022</v>
      </c>
      <c r="C29" s="761"/>
      <c r="D29" s="2020"/>
      <c r="E29" s="2020"/>
      <c r="F29" s="2077"/>
      <c r="G29" s="2020"/>
      <c r="H29" s="2020"/>
      <c r="I29" s="2020"/>
      <c r="J29" s="2021"/>
      <c r="K29" s="1115"/>
      <c r="L29" s="1993"/>
      <c r="M29" s="1993"/>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2024</v>
      </c>
      <c r="C30" s="2317">
        <f>IF(B25="容积率修正",E33+SUM(E37:E42),SUM(V2:V16)+SUM(E37:E42))</f>
        <v>145957</v>
      </c>
      <c r="D30" s="2079"/>
      <c r="E30" s="2042"/>
      <c r="F30" s="2080"/>
      <c r="G30" s="2042"/>
      <c r="H30" s="2042"/>
      <c r="I30" s="2042"/>
      <c r="J30" s="2081"/>
      <c r="K30" s="1115"/>
      <c r="L30" s="3346" t="s">
        <v>1936</v>
      </c>
      <c r="M30" s="3347" t="s">
        <v>1990</v>
      </c>
      <c r="N30" s="3347" t="s">
        <v>1991</v>
      </c>
      <c r="O30" s="3347" t="s">
        <v>1992</v>
      </c>
      <c r="P30" s="3347" t="s">
        <v>1993</v>
      </c>
      <c r="Q30" s="3350"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2025</v>
      </c>
      <c r="C31" s="762">
        <f>E34+SUM(I37:I42)</f>
        <v>3703</v>
      </c>
      <c r="D31" s="2083"/>
      <c r="E31" s="2084"/>
      <c r="F31" s="2085"/>
      <c r="G31" s="2084"/>
      <c r="H31" s="2084"/>
      <c r="I31" s="2084"/>
      <c r="J31" s="2086"/>
      <c r="K31" s="1115"/>
      <c r="L31" s="3348" t="s">
        <v>1996</v>
      </c>
      <c r="M31" s="1996">
        <v>0.25</v>
      </c>
      <c r="N31" s="1996">
        <v>0.2</v>
      </c>
      <c r="O31" s="1996">
        <v>0.15</v>
      </c>
      <c r="P31" s="1996">
        <v>0.1</v>
      </c>
      <c r="Q31" s="3343">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5"/>
      <c r="L32" s="3349" t="s">
        <v>1999</v>
      </c>
      <c r="M32" s="2566">
        <f>ROUND($E$24*(1+M31),3)</f>
        <v>5.3999999999999999E-2</v>
      </c>
      <c r="N32" s="2566">
        <f>ROUND($E$24*(1+N31),3)</f>
        <v>5.1999999999999998E-2</v>
      </c>
      <c r="O32" s="2566">
        <f>ROUND($E$24*(1+O31),3)</f>
        <v>0.05</v>
      </c>
      <c r="P32" s="2566">
        <f>ROUND($E$24*(1+P31),3)</f>
        <v>4.8000000000000001E-2</v>
      </c>
      <c r="Q32" s="3351">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2030</v>
      </c>
      <c r="C33" s="175">
        <f>ROUND(C5*C22*C23*C24*C25*C28,0)</f>
        <v>26423</v>
      </c>
      <c r="D33" s="2094">
        <f>'数据-汇总表'!E8</f>
        <v>49634.25</v>
      </c>
      <c r="E33" s="769">
        <f>ROUND(C33*D33/10000,0)</f>
        <v>131149</v>
      </c>
      <c r="F33" s="3341" t="s">
        <v>3262</v>
      </c>
      <c r="G33" s="2095"/>
      <c r="H33" s="2095"/>
      <c r="I33" s="2095"/>
      <c r="J33" s="2096"/>
      <c r="K33" s="1115"/>
      <c r="L33" s="3344" t="s">
        <v>3265</v>
      </c>
      <c r="M33" s="3345">
        <v>5.5E-2</v>
      </c>
      <c r="N33" s="3345">
        <v>5.5E-2</v>
      </c>
      <c r="O33" s="3345">
        <v>0.05</v>
      </c>
      <c r="P33" s="3345">
        <v>0.05</v>
      </c>
      <c r="Q33" s="3345">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2031</v>
      </c>
      <c r="C34" s="187">
        <f>ROUND(IF(E2="工业",C33*M42,IF(B25="楼层修正",SUM(V2:V16)*M41*10000/D34,C33*M41)),0)</f>
        <v>6606</v>
      </c>
      <c r="D34" s="2099"/>
      <c r="E34" s="769">
        <f>ROUND(IF(B25="楼层修正",SUM(V2:V16)*M40,C34*D34/10000),0)</f>
        <v>0</v>
      </c>
      <c r="F34" s="2100" t="s">
        <v>2032</v>
      </c>
      <c r="G34" s="2101"/>
      <c r="H34" s="2101"/>
      <c r="I34" s="2101"/>
      <c r="J34" s="2102"/>
      <c r="K34" s="1115"/>
      <c r="L34" s="3344" t="s">
        <v>3266</v>
      </c>
      <c r="M34" s="3345">
        <v>6.5000000000000002E-2</v>
      </c>
      <c r="N34" s="3345">
        <v>6.5000000000000002E-2</v>
      </c>
      <c r="O34" s="3345">
        <v>0.06</v>
      </c>
      <c r="P34" s="3345">
        <v>0.06</v>
      </c>
      <c r="Q34" s="3345">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2" t="s">
        <v>3263</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3267</v>
      </c>
      <c r="L36" s="3441">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30"/>
      <c r="B37" s="2109" t="s">
        <v>2036</v>
      </c>
      <c r="C37" s="175">
        <f>ROUND(D5*C22*C23*C24*C28*F37,0)</f>
        <v>19331</v>
      </c>
      <c r="D37" s="2094">
        <f>'数据-基础表'!M13</f>
        <v>3312.19</v>
      </c>
      <c r="E37" s="171">
        <f>ROUND(C37*D37/10000,0)</f>
        <v>6403</v>
      </c>
      <c r="F37" s="171">
        <f>SUMIF(修正!A57:A68,G2,修正!B57:B68)</f>
        <v>0.7</v>
      </c>
      <c r="G37" s="171">
        <f>ROUND(IF(E2="工业",C37*$M$42,C37*$M$41),0)</f>
        <v>4833</v>
      </c>
      <c r="H37" s="171">
        <f>D37</f>
        <v>3312.19</v>
      </c>
      <c r="I37" s="171">
        <f>ROUND(G37*H37/10000,0)</f>
        <v>1601</v>
      </c>
      <c r="J37" s="3007"/>
      <c r="K37" s="3354" t="s">
        <v>3268</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31"/>
      <c r="B38" s="2037" t="s">
        <v>2037</v>
      </c>
      <c r="C38" s="175">
        <f>ROUND(D5*C22*C23*C24*C28*F38,0)</f>
        <v>11046</v>
      </c>
      <c r="D38" s="2094"/>
      <c r="E38" s="171">
        <f t="shared" ref="E38:E42" si="4">ROUND(C38*D38/10000,0)</f>
        <v>0</v>
      </c>
      <c r="F38" s="171">
        <f>SUMIF(修正!A57:A68,G2,修正!C57:C68)</f>
        <v>0.4</v>
      </c>
      <c r="G38" s="171">
        <f>ROUND(IF(E2="工业",C38*$M$42,C38*$M$41),0)</f>
        <v>2762</v>
      </c>
      <c r="H38" s="171">
        <f t="shared" ref="H38:H42" si="5">D38</f>
        <v>0</v>
      </c>
      <c r="I38" s="171">
        <f t="shared" ref="I38:I42" si="6">ROUND(G38*H38/10000,0)</f>
        <v>0</v>
      </c>
      <c r="J38" s="3006"/>
      <c r="K38" s="3352">
        <v>5.0000000000000001E-3</v>
      </c>
      <c r="L38" s="3352"/>
      <c r="M38" s="3352"/>
      <c r="N38" s="3352"/>
      <c r="O38" s="3352"/>
      <c r="P38" s="3352"/>
      <c r="Q38" s="3352"/>
      <c r="R38" s="1115"/>
      <c r="S38" s="1115"/>
      <c r="T38" s="1115"/>
      <c r="U38" s="1115"/>
      <c r="V38" s="1115"/>
      <c r="W38" s="1115"/>
      <c r="X38" s="1115"/>
      <c r="Y38" s="1115"/>
      <c r="Z38" s="1116"/>
      <c r="AA38" s="1116"/>
      <c r="AB38" s="1116"/>
      <c r="AC38" s="1116"/>
      <c r="AD38" s="1116"/>
    </row>
    <row r="39" spans="1:37" ht="13.5" thickBot="1">
      <c r="A39" s="3731"/>
      <c r="B39" s="2037" t="s">
        <v>3261</v>
      </c>
      <c r="C39" s="175">
        <f>ROUND(D5*C22*C23*C24*C28*F39,0)</f>
        <v>8285</v>
      </c>
      <c r="D39" s="2094"/>
      <c r="E39" s="171">
        <f t="shared" si="4"/>
        <v>0</v>
      </c>
      <c r="F39" s="171">
        <f>SUMIF(修正!A57:A68,G2,修正!D57:D68)</f>
        <v>0.3</v>
      </c>
      <c r="G39" s="171">
        <f>ROUND(IF(E2="工业",C39*$M$42,C39*$M$41),0)</f>
        <v>2071</v>
      </c>
      <c r="H39" s="171">
        <f t="shared" si="5"/>
        <v>0</v>
      </c>
      <c r="I39" s="171">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8285</v>
      </c>
      <c r="D40" s="2094"/>
      <c r="E40" s="171">
        <f t="shared" si="4"/>
        <v>0</v>
      </c>
      <c r="F40" s="175">
        <f>SUMIF(修正!A57:A68,G2,修正!E57:E68)</f>
        <v>0.3</v>
      </c>
      <c r="G40" s="171">
        <f>ROUND(IF(E2="工业",C40*$M$42,C40*$M$41),0)</f>
        <v>2071</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9455</v>
      </c>
      <c r="D41" s="2094">
        <f>'数据-汇总表'!G21</f>
        <v>566.19000000000005</v>
      </c>
      <c r="E41" s="171">
        <f t="shared" si="4"/>
        <v>535</v>
      </c>
      <c r="F41" s="175">
        <f>SUMIF(修正!A57:A68,G2,修正!F57:F68)</f>
        <v>0.3</v>
      </c>
      <c r="G41" s="171">
        <f>ROUND(IF(E2="工业",C41*$M$42,C41*$M$41),0)</f>
        <v>2364</v>
      </c>
      <c r="H41" s="171">
        <f t="shared" si="5"/>
        <v>566.19000000000005</v>
      </c>
      <c r="I41" s="171">
        <f t="shared" si="6"/>
        <v>134</v>
      </c>
      <c r="J41" s="2110"/>
      <c r="L41" s="3355" t="s">
        <v>3269</v>
      </c>
      <c r="M41" s="2114">
        <v>0.25</v>
      </c>
      <c r="Z41" s="1116"/>
      <c r="AA41" s="1116"/>
      <c r="AB41" s="1116"/>
      <c r="AC41" s="1116"/>
      <c r="AD41" s="1116"/>
      <c r="AE41" s="1116"/>
      <c r="AF41" s="1116"/>
      <c r="AG41" s="1116"/>
      <c r="AH41" s="1116"/>
      <c r="AI41" s="1116"/>
      <c r="AJ41" s="1116"/>
    </row>
    <row r="42" spans="1:37" s="1115" customFormat="1" ht="13.5" thickBot="1">
      <c r="A42" s="2097"/>
      <c r="B42" s="2115" t="s">
        <v>2041</v>
      </c>
      <c r="C42" s="187">
        <f>ROUND(D5*C22*C23*C44*C28*F42,0)</f>
        <v>6303</v>
      </c>
      <c r="D42" s="2099">
        <f>'数据-汇总表'!G22</f>
        <v>12485.76</v>
      </c>
      <c r="E42" s="187">
        <f t="shared" si="4"/>
        <v>7870</v>
      </c>
      <c r="F42" s="763">
        <f>SUMIF(修正!A57:A68,G2,修正!G57:G68)</f>
        <v>0.2</v>
      </c>
      <c r="G42" s="187">
        <f>ROUND(IF(E2="工业",C42*$M$42,C42*$M$41),0)</f>
        <v>1576</v>
      </c>
      <c r="H42" s="187">
        <f t="shared" si="5"/>
        <v>12485.76</v>
      </c>
      <c r="I42" s="187">
        <f t="shared" si="6"/>
        <v>1968</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2121</v>
      </c>
      <c r="C44" s="342">
        <f>ROUND(POWER(1+E44,H44-G44)*(POWER(1+E44,G44)-1)/(POWER(1+E44,H44)-1),4)</f>
        <v>0.86639999999999995</v>
      </c>
      <c r="D44" s="171" t="s">
        <v>1999</v>
      </c>
      <c r="E44" s="2149">
        <f>G24</f>
        <v>5.5E-2</v>
      </c>
      <c r="F44" s="171" t="s">
        <v>2008</v>
      </c>
      <c r="G44" s="183">
        <f>项目基本情况!F15</f>
        <v>30.71</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6" t="s">
        <v>2052</v>
      </c>
      <c r="B50" s="2129" t="str">
        <f>估价对象房地状况!C4</f>
        <v>估价对象位于XX商圈，周边商业氛围成熟，人流量大，商业繁华度好</v>
      </c>
      <c r="C50" s="2040" t="s">
        <v>3397</v>
      </c>
      <c r="D50" s="1061">
        <f t="shared" ref="D50:D58" si="7">SUMIF($J$49:$N$49,C50,J50:N50)</f>
        <v>0</v>
      </c>
      <c r="E50" s="740">
        <f>ROUND(SUM(D50:D58),4)</f>
        <v>0</v>
      </c>
      <c r="F50" s="1810">
        <f>IF(E2="商业",SUMIF(L1:L12,G2,N1:N12),"——")</f>
        <v>9.7000000000000003E-2</v>
      </c>
      <c r="G50" s="1059">
        <f>H50</f>
        <v>1.4500000000000001E-2</v>
      </c>
      <c r="H50" s="1062">
        <f t="shared" ref="H50:H58" si="8">IFERROR(ROUNDDOWN($F$50*I50/2,4),"——")</f>
        <v>1.4500000000000001E-2</v>
      </c>
      <c r="I50" s="3362">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38.25">
      <c r="A51" s="2126" t="s">
        <v>2053</v>
      </c>
      <c r="B51" s="2130" t="str">
        <f>估价对象房地状况!C18</f>
        <v>估价对象周边道路状况、公共交通通达情况、停车便捷程度，综合评价交通便捷度较好</v>
      </c>
      <c r="C51" s="2040" t="s">
        <v>3397</v>
      </c>
      <c r="D51" s="1061">
        <f t="shared" si="7"/>
        <v>0</v>
      </c>
      <c r="E51" s="741"/>
      <c r="F51" s="1810"/>
      <c r="G51" s="1059">
        <f t="shared" ref="G51:G58" si="12">H51</f>
        <v>1.06E-2</v>
      </c>
      <c r="H51" s="1062">
        <f t="shared" si="8"/>
        <v>1.06E-2</v>
      </c>
      <c r="I51" s="3362">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64" t="s">
        <v>3271</v>
      </c>
      <c r="B52" s="2130">
        <f>估价对象房地状况!C19</f>
        <v>0</v>
      </c>
      <c r="C52" s="2040" t="s">
        <v>3397</v>
      </c>
      <c r="D52" s="1061">
        <f t="shared" si="7"/>
        <v>0</v>
      </c>
      <c r="E52" s="741"/>
      <c r="F52" s="1810"/>
      <c r="G52" s="1059">
        <f t="shared" si="12"/>
        <v>5.7999999999999996E-3</v>
      </c>
      <c r="H52" s="1062">
        <f t="shared" si="8"/>
        <v>5.7999999999999996E-3</v>
      </c>
      <c r="I52" s="3362">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6" t="s">
        <v>2054</v>
      </c>
      <c r="B53" s="2131" t="s">
        <v>2055</v>
      </c>
      <c r="C53" s="2040" t="s">
        <v>3397</v>
      </c>
      <c r="D53" s="1061">
        <f t="shared" si="7"/>
        <v>0</v>
      </c>
      <c r="E53" s="741"/>
      <c r="F53" s="1810"/>
      <c r="G53" s="1059">
        <f t="shared" si="12"/>
        <v>2.3999999999999998E-3</v>
      </c>
      <c r="H53" s="1062">
        <f t="shared" si="8"/>
        <v>2.3999999999999998E-3</v>
      </c>
      <c r="I53" s="3362">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t="s">
        <v>3397</v>
      </c>
      <c r="D54" s="1061">
        <f t="shared" si="7"/>
        <v>0</v>
      </c>
      <c r="E54" s="741"/>
      <c r="F54" s="1810"/>
      <c r="G54" s="1059">
        <f t="shared" si="12"/>
        <v>3.8E-3</v>
      </c>
      <c r="H54" s="1062">
        <f t="shared" si="8"/>
        <v>3.8E-3</v>
      </c>
      <c r="I54" s="3362">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6" t="s">
        <v>2057</v>
      </c>
      <c r="B55" s="2132" t="s">
        <v>2058</v>
      </c>
      <c r="C55" s="2040" t="s">
        <v>3397</v>
      </c>
      <c r="D55" s="1061">
        <f t="shared" si="7"/>
        <v>0</v>
      </c>
      <c r="E55" s="741"/>
      <c r="F55" s="1810"/>
      <c r="G55" s="1059">
        <f t="shared" si="12"/>
        <v>2.3999999999999998E-3</v>
      </c>
      <c r="H55" s="1062">
        <f t="shared" si="8"/>
        <v>2.3999999999999998E-3</v>
      </c>
      <c r="I55" s="3362">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5.5">
      <c r="A56" s="2133" t="s">
        <v>2059</v>
      </c>
      <c r="B56" s="1322" t="str">
        <f>估价对象房地状况!C21</f>
        <v>估价对象所在区域公共配套设施齐备情况</v>
      </c>
      <c r="C56" s="2040" t="s">
        <v>3397</v>
      </c>
      <c r="D56" s="1061">
        <f t="shared" si="7"/>
        <v>0</v>
      </c>
      <c r="E56" s="741"/>
      <c r="F56" s="1810"/>
      <c r="G56" s="1059">
        <f t="shared" si="12"/>
        <v>2.3999999999999998E-3</v>
      </c>
      <c r="H56" s="1062">
        <f t="shared" si="8"/>
        <v>2.3999999999999998E-3</v>
      </c>
      <c r="I56" s="3362">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5.5">
      <c r="A57" s="2133" t="s">
        <v>2060</v>
      </c>
      <c r="B57" s="2130" t="str">
        <f>估价对象房地状况!C22</f>
        <v>估价对象所在区域基础设施水平</v>
      </c>
      <c r="C57" s="2040" t="s">
        <v>3397</v>
      </c>
      <c r="D57" s="1061">
        <f t="shared" si="7"/>
        <v>0</v>
      </c>
      <c r="E57" s="741"/>
      <c r="F57" s="1810"/>
      <c r="G57" s="1059">
        <f t="shared" si="12"/>
        <v>3.8E-3</v>
      </c>
      <c r="H57" s="1062">
        <f t="shared" si="8"/>
        <v>3.8E-3</v>
      </c>
      <c r="I57" s="3362">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6.25" thickBot="1">
      <c r="A58" s="2134" t="s">
        <v>2061</v>
      </c>
      <c r="B58" s="2135" t="str">
        <f>估价对象房地状况!C20</f>
        <v>区域自然环境：；人文环境；综合评价环境状况一般</v>
      </c>
      <c r="C58" s="2040" t="s">
        <v>3397</v>
      </c>
      <c r="D58" s="1061">
        <f t="shared" si="7"/>
        <v>0</v>
      </c>
      <c r="E58" s="742"/>
      <c r="F58" s="1810"/>
      <c r="G58" s="1059">
        <f t="shared" si="12"/>
        <v>2.3999999999999998E-3</v>
      </c>
      <c r="H58" s="1062">
        <f t="shared" si="8"/>
        <v>2.3999999999999998E-3</v>
      </c>
      <c r="I58" s="3363">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6" t="s">
        <v>2064</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2">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2053</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2">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4" t="s">
        <v>3271</v>
      </c>
      <c r="B63" s="2130">
        <f>估价对象房地状况!C19</f>
        <v>0</v>
      </c>
      <c r="C63" s="2040"/>
      <c r="D63" s="1061">
        <f t="shared" si="13"/>
        <v>0</v>
      </c>
      <c r="E63" s="741"/>
      <c r="F63" s="1810"/>
      <c r="G63" s="1059"/>
      <c r="H63" s="1062" t="str">
        <f t="shared" si="14"/>
        <v>——</v>
      </c>
      <c r="I63" s="3362">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2054</v>
      </c>
      <c r="B64" s="2131" t="s">
        <v>2055</v>
      </c>
      <c r="C64" s="2040"/>
      <c r="D64" s="1061">
        <f t="shared" si="13"/>
        <v>0</v>
      </c>
      <c r="E64" s="741"/>
      <c r="F64" s="1810"/>
      <c r="G64" s="1059"/>
      <c r="H64" s="1062" t="str">
        <f t="shared" si="14"/>
        <v>——</v>
      </c>
      <c r="I64" s="3362">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3"/>
        <v>0</v>
      </c>
      <c r="E65" s="741"/>
      <c r="F65" s="1810"/>
      <c r="G65" s="1059"/>
      <c r="H65" s="1062" t="str">
        <f t="shared" si="14"/>
        <v>——</v>
      </c>
      <c r="I65" s="3362">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2057</v>
      </c>
      <c r="B66" s="2132" t="s">
        <v>2058</v>
      </c>
      <c r="C66" s="2040"/>
      <c r="D66" s="1061">
        <f t="shared" si="13"/>
        <v>0</v>
      </c>
      <c r="E66" s="741"/>
      <c r="F66" s="1810"/>
      <c r="G66" s="1059"/>
      <c r="H66" s="1062" t="str">
        <f t="shared" si="14"/>
        <v>——</v>
      </c>
      <c r="I66" s="3362">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2059</v>
      </c>
      <c r="B67" s="1322" t="str">
        <f>估价对象房地状况!C21</f>
        <v>估价对象所在区域公共配套设施齐备情况</v>
      </c>
      <c r="C67" s="2040"/>
      <c r="D67" s="1061">
        <f t="shared" si="13"/>
        <v>0</v>
      </c>
      <c r="E67" s="741"/>
      <c r="F67" s="1810"/>
      <c r="G67" s="1059"/>
      <c r="H67" s="1062" t="str">
        <f t="shared" si="14"/>
        <v>——</v>
      </c>
      <c r="I67" s="3362">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2060</v>
      </c>
      <c r="B68" s="1322" t="str">
        <f>估价对象房地状况!C22</f>
        <v>估价对象所在区域基础设施水平</v>
      </c>
      <c r="C68" s="2040"/>
      <c r="D68" s="1061">
        <f t="shared" si="13"/>
        <v>0</v>
      </c>
      <c r="E68" s="741"/>
      <c r="F68" s="1810"/>
      <c r="G68" s="1059"/>
      <c r="H68" s="1062" t="str">
        <f t="shared" si="14"/>
        <v>——</v>
      </c>
      <c r="I68" s="3362">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2061</v>
      </c>
      <c r="B69" s="2136" t="str">
        <f>估价对象房地状况!C20</f>
        <v>区域自然环境：；人文环境；综合评价环境状况一般</v>
      </c>
      <c r="C69" s="2040"/>
      <c r="D69" s="1061">
        <f t="shared" si="13"/>
        <v>0</v>
      </c>
      <c r="E69" s="742"/>
      <c r="F69" s="1810"/>
      <c r="G69" s="1059"/>
      <c r="H69" s="1062" t="str">
        <f t="shared" si="14"/>
        <v>——</v>
      </c>
      <c r="I69" s="3363">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6" t="s">
        <v>2066</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2">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2053</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2">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4" t="s">
        <v>3271</v>
      </c>
      <c r="B74" s="2130">
        <f>估价对象房地状况!C19</f>
        <v>0</v>
      </c>
      <c r="C74" s="2040"/>
      <c r="D74" s="1061">
        <f t="shared" si="18"/>
        <v>0</v>
      </c>
      <c r="E74" s="743"/>
      <c r="F74" s="1810"/>
      <c r="G74" s="1059"/>
      <c r="H74" s="1062" t="str">
        <f t="shared" si="19"/>
        <v>——</v>
      </c>
      <c r="I74" s="3362">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2067</v>
      </c>
      <c r="B75" s="2130">
        <f>估价对象房地状况!C24</f>
        <v>0</v>
      </c>
      <c r="C75" s="2040"/>
      <c r="D75" s="1061">
        <f t="shared" si="18"/>
        <v>0</v>
      </c>
      <c r="E75" s="743"/>
      <c r="F75" s="1810"/>
      <c r="G75" s="1059"/>
      <c r="H75" s="1062" t="str">
        <f t="shared" si="19"/>
        <v>——</v>
      </c>
      <c r="I75" s="3362">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2059</v>
      </c>
      <c r="B76" s="1322" t="str">
        <f>估价对象房地状况!C21</f>
        <v>估价对象所在区域公共配套设施齐备情况</v>
      </c>
      <c r="C76" s="2040"/>
      <c r="D76" s="1061">
        <f t="shared" si="18"/>
        <v>0</v>
      </c>
      <c r="E76" s="743"/>
      <c r="F76" s="1810"/>
      <c r="G76" s="1059"/>
      <c r="H76" s="1062" t="str">
        <f t="shared" si="19"/>
        <v>——</v>
      </c>
      <c r="I76" s="3362">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2060</v>
      </c>
      <c r="B77" s="1322" t="str">
        <f>估价对象房地状况!C22</f>
        <v>估价对象所在区域基础设施水平</v>
      </c>
      <c r="C77" s="2040"/>
      <c r="D77" s="1061">
        <f t="shared" si="18"/>
        <v>0</v>
      </c>
      <c r="E77" s="743"/>
      <c r="F77" s="1810"/>
      <c r="G77" s="1059"/>
      <c r="H77" s="1062" t="str">
        <f t="shared" si="19"/>
        <v>——</v>
      </c>
      <c r="I77" s="3362">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2057</v>
      </c>
      <c r="B78" s="2132" t="s">
        <v>2058</v>
      </c>
      <c r="C78" s="2040"/>
      <c r="D78" s="1061">
        <f t="shared" si="18"/>
        <v>0</v>
      </c>
      <c r="E78" s="743"/>
      <c r="F78" s="1810"/>
      <c r="G78" s="1059"/>
      <c r="H78" s="1062" t="str">
        <f t="shared" si="19"/>
        <v>——</v>
      </c>
      <c r="I78" s="3362">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2061</v>
      </c>
      <c r="B79" s="2129" t="str">
        <f>估价对象房地状况!C20</f>
        <v>区域自然环境：；人文环境；综合评价环境状况一般</v>
      </c>
      <c r="C79" s="2040"/>
      <c r="D79" s="1061">
        <f t="shared" si="18"/>
        <v>0</v>
      </c>
      <c r="E79" s="743"/>
      <c r="F79" s="1810"/>
      <c r="G79" s="1059"/>
      <c r="H79" s="1062" t="str">
        <f t="shared" si="19"/>
        <v>——</v>
      </c>
      <c r="I79" s="3362">
        <v>0.12</v>
      </c>
      <c r="J79" s="1060">
        <f t="shared" si="20"/>
        <v>0</v>
      </c>
      <c r="K79" s="1060">
        <f t="shared" si="21"/>
        <v>0</v>
      </c>
      <c r="L79" s="1060">
        <v>0</v>
      </c>
      <c r="M79" s="1060">
        <f t="shared" si="22"/>
        <v>0</v>
      </c>
      <c r="N79" s="1060">
        <f t="shared" si="22"/>
        <v>0</v>
      </c>
      <c r="Z79" s="1994"/>
      <c r="AA79" s="2049"/>
      <c r="AG79" s="1117"/>
      <c r="AK79" s="2049"/>
    </row>
    <row r="80" spans="1:37" ht="24.75" thickBot="1">
      <c r="A80" s="2134" t="s">
        <v>2068</v>
      </c>
      <c r="B80" s="2138"/>
      <c r="C80" s="2040"/>
      <c r="D80" s="1061">
        <f t="shared" si="18"/>
        <v>0</v>
      </c>
      <c r="E80" s="744"/>
      <c r="F80" s="1810"/>
      <c r="G80" s="1059"/>
      <c r="H80" s="1062" t="str">
        <f t="shared" si="19"/>
        <v>——</v>
      </c>
      <c r="I80" s="3363">
        <v>0.05</v>
      </c>
      <c r="J80" s="1060">
        <f t="shared" si="20"/>
        <v>0</v>
      </c>
      <c r="K80" s="1060">
        <f t="shared" si="21"/>
        <v>0</v>
      </c>
      <c r="L80" s="1060">
        <v>0</v>
      </c>
      <c r="M80" s="1060">
        <f t="shared" si="22"/>
        <v>0</v>
      </c>
      <c r="N80" s="1060">
        <f t="shared" si="22"/>
        <v>0</v>
      </c>
      <c r="Z80" s="1994"/>
      <c r="AA80" s="2049"/>
      <c r="AG80" s="1117"/>
      <c r="AK80" s="2049"/>
    </row>
    <row r="81" spans="1:37" ht="15">
      <c r="A81" s="2122" t="s">
        <v>2069</v>
      </c>
      <c r="B81" s="2123">
        <f>1+E83</f>
        <v>1</v>
      </c>
      <c r="C81" s="737"/>
      <c r="D81" s="737"/>
      <c r="E81" s="738"/>
      <c r="F81" s="2125"/>
      <c r="G81" s="3"/>
      <c r="H81" s="3"/>
      <c r="I81" s="3"/>
      <c r="J81" s="4"/>
      <c r="K81" s="4"/>
      <c r="L81" s="4"/>
      <c r="M81" s="4"/>
      <c r="N81" s="4"/>
      <c r="Z81" s="1994"/>
      <c r="AA81" s="2049"/>
      <c r="AG81" s="1117"/>
      <c r="AK81" s="2049"/>
    </row>
    <row r="82" spans="1:37" ht="24.75">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8.25">
      <c r="A83" s="2126" t="s">
        <v>2070</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2">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2053</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2">
        <v>0.3</v>
      </c>
      <c r="J84" s="1060">
        <f t="shared" si="25"/>
        <v>0</v>
      </c>
      <c r="K84" s="1060">
        <f t="shared" si="26"/>
        <v>0</v>
      </c>
      <c r="L84" s="1060">
        <v>0</v>
      </c>
      <c r="M84" s="1060">
        <f t="shared" si="27"/>
        <v>0</v>
      </c>
      <c r="N84" s="1060">
        <f t="shared" si="27"/>
        <v>0</v>
      </c>
      <c r="Z84" s="1994"/>
      <c r="AA84" s="2049"/>
      <c r="AG84" s="1117"/>
      <c r="AK84" s="2049"/>
    </row>
    <row r="85" spans="1:37" ht="36">
      <c r="A85" s="3364" t="s">
        <v>3272</v>
      </c>
      <c r="B85" s="2130">
        <f>估价对象房地状况!G17</f>
        <v>0</v>
      </c>
      <c r="C85" s="2040"/>
      <c r="D85" s="1061">
        <f t="shared" si="23"/>
        <v>0</v>
      </c>
      <c r="E85" s="743"/>
      <c r="F85" s="1810"/>
      <c r="G85" s="1059"/>
      <c r="H85" s="1062" t="str">
        <f t="shared" si="24"/>
        <v>——</v>
      </c>
      <c r="I85" s="3362">
        <v>0.1</v>
      </c>
      <c r="J85" s="1060">
        <f t="shared" si="25"/>
        <v>0</v>
      </c>
      <c r="K85" s="1060">
        <f t="shared" si="26"/>
        <v>0</v>
      </c>
      <c r="L85" s="1060">
        <v>0</v>
      </c>
      <c r="M85" s="1060">
        <f t="shared" si="27"/>
        <v>0</v>
      </c>
      <c r="N85" s="1060">
        <f t="shared" si="27"/>
        <v>0</v>
      </c>
      <c r="Z85" s="1994"/>
      <c r="AA85" s="2049"/>
      <c r="AG85" s="1117"/>
      <c r="AK85" s="2049"/>
    </row>
    <row r="86" spans="1:37" ht="14.25">
      <c r="A86" s="2126" t="s">
        <v>2067</v>
      </c>
      <c r="B86" s="2130">
        <f>估价对象房地状况!G22</f>
        <v>0</v>
      </c>
      <c r="C86" s="2040"/>
      <c r="D86" s="1061">
        <f t="shared" si="23"/>
        <v>0</v>
      </c>
      <c r="E86" s="743"/>
      <c r="F86" s="1810"/>
      <c r="G86" s="1059"/>
      <c r="H86" s="1062" t="str">
        <f t="shared" si="24"/>
        <v>——</v>
      </c>
      <c r="I86" s="3362">
        <v>0.05</v>
      </c>
      <c r="J86" s="1060">
        <f t="shared" si="25"/>
        <v>0</v>
      </c>
      <c r="K86" s="1060">
        <f t="shared" si="26"/>
        <v>0</v>
      </c>
      <c r="L86" s="1060">
        <v>0</v>
      </c>
      <c r="M86" s="1060">
        <f t="shared" si="27"/>
        <v>0</v>
      </c>
      <c r="N86" s="1060">
        <f t="shared" si="27"/>
        <v>0</v>
      </c>
      <c r="Z86" s="1994"/>
      <c r="AA86" s="2049"/>
      <c r="AG86" s="1117"/>
      <c r="AK86" s="2049"/>
    </row>
    <row r="87" spans="1:37" ht="25.5">
      <c r="A87" s="2126" t="s">
        <v>2059</v>
      </c>
      <c r="B87" s="1322" t="str">
        <f>估价对象房地状况!G19</f>
        <v>估价对象所在区域公共配套设施齐备情况</v>
      </c>
      <c r="C87" s="2040"/>
      <c r="D87" s="1061">
        <f t="shared" si="23"/>
        <v>0</v>
      </c>
      <c r="E87" s="743"/>
      <c r="F87" s="1810"/>
      <c r="G87" s="1059"/>
      <c r="H87" s="1062" t="str">
        <f t="shared" si="24"/>
        <v>——</v>
      </c>
      <c r="I87" s="3362">
        <v>0.06</v>
      </c>
      <c r="J87" s="1060">
        <f t="shared" si="25"/>
        <v>0</v>
      </c>
      <c r="K87" s="1060">
        <f t="shared" si="26"/>
        <v>0</v>
      </c>
      <c r="L87" s="1060">
        <v>0</v>
      </c>
      <c r="M87" s="1060">
        <f t="shared" si="27"/>
        <v>0</v>
      </c>
      <c r="N87" s="1060">
        <f t="shared" si="27"/>
        <v>0</v>
      </c>
    </row>
    <row r="88" spans="1:37" ht="25.5">
      <c r="A88" s="2126" t="s">
        <v>2060</v>
      </c>
      <c r="B88" s="1322" t="str">
        <f>估价对象房地状况!G20</f>
        <v>估价对象所在区域基础设施水平</v>
      </c>
      <c r="C88" s="2040"/>
      <c r="D88" s="1061">
        <f t="shared" si="23"/>
        <v>0</v>
      </c>
      <c r="E88" s="743"/>
      <c r="F88" s="1810"/>
      <c r="G88" s="1059"/>
      <c r="H88" s="1062" t="str">
        <f t="shared" si="24"/>
        <v>——</v>
      </c>
      <c r="I88" s="3362">
        <v>0.12</v>
      </c>
      <c r="J88" s="1060">
        <f t="shared" si="25"/>
        <v>0</v>
      </c>
      <c r="K88" s="1060">
        <f t="shared" si="26"/>
        <v>0</v>
      </c>
      <c r="L88" s="1060">
        <v>0</v>
      </c>
      <c r="M88" s="1060">
        <f t="shared" si="27"/>
        <v>0</v>
      </c>
      <c r="N88" s="1060">
        <f t="shared" si="27"/>
        <v>0</v>
      </c>
    </row>
    <row r="89" spans="1:37" ht="24">
      <c r="A89" s="2126" t="s">
        <v>2057</v>
      </c>
      <c r="B89" s="2132" t="s">
        <v>2071</v>
      </c>
      <c r="C89" s="2040"/>
      <c r="D89" s="1061">
        <f t="shared" si="23"/>
        <v>0</v>
      </c>
      <c r="E89" s="743"/>
      <c r="F89" s="1810"/>
      <c r="G89" s="1059"/>
      <c r="H89" s="1062" t="str">
        <f t="shared" si="24"/>
        <v>——</v>
      </c>
      <c r="I89" s="3362">
        <v>0.06</v>
      </c>
      <c r="J89" s="1060">
        <f t="shared" si="25"/>
        <v>0</v>
      </c>
      <c r="K89" s="1060">
        <f t="shared" si="26"/>
        <v>0</v>
      </c>
      <c r="L89" s="1060">
        <v>0</v>
      </c>
      <c r="M89" s="1060">
        <f t="shared" si="27"/>
        <v>0</v>
      </c>
      <c r="N89" s="1060">
        <f t="shared" si="27"/>
        <v>0</v>
      </c>
    </row>
    <row r="90" spans="1:37" ht="39" thickBot="1">
      <c r="A90" s="2134" t="s">
        <v>2072</v>
      </c>
      <c r="B90" s="2139" t="str">
        <f>估价对象房地状况!G18</f>
        <v>该园区内是否有污染型企业，绿化情况，卫生条件，整体环境状况判断</v>
      </c>
      <c r="C90" s="2040"/>
      <c r="D90" s="1061">
        <f t="shared" si="23"/>
        <v>0</v>
      </c>
      <c r="E90" s="744"/>
      <c r="F90" s="1810"/>
      <c r="G90" s="1059"/>
      <c r="H90" s="1062" t="str">
        <f t="shared" si="24"/>
        <v>——</v>
      </c>
      <c r="I90" s="3363">
        <v>0.05</v>
      </c>
      <c r="J90" s="1060">
        <f t="shared" si="25"/>
        <v>0</v>
      </c>
      <c r="K90" s="1060">
        <f t="shared" si="26"/>
        <v>0</v>
      </c>
      <c r="L90" s="1060">
        <v>0</v>
      </c>
      <c r="M90" s="1060">
        <f t="shared" si="27"/>
        <v>0</v>
      </c>
      <c r="N90" s="1060">
        <f t="shared" si="27"/>
        <v>0</v>
      </c>
    </row>
    <row r="91" spans="1:37" ht="15">
      <c r="A91" s="3372" t="s">
        <v>2615</v>
      </c>
      <c r="B91" s="3373">
        <f>1+E93</f>
        <v>1</v>
      </c>
      <c r="C91" s="3366"/>
      <c r="D91" s="3367"/>
      <c r="E91" s="1810"/>
      <c r="F91" s="1810"/>
      <c r="G91" s="3368"/>
      <c r="H91" s="3369"/>
      <c r="I91" s="3370"/>
      <c r="J91" s="3371"/>
      <c r="K91" s="3371"/>
      <c r="L91" s="3371"/>
      <c r="M91" s="3371"/>
      <c r="N91" s="3371"/>
    </row>
    <row r="92" spans="1:37" ht="24.75">
      <c r="A92" s="3374" t="s">
        <v>3273</v>
      </c>
      <c r="B92" s="3361"/>
      <c r="C92" s="3361" t="s">
        <v>3282</v>
      </c>
      <c r="D92" s="3361" t="s">
        <v>3283</v>
      </c>
      <c r="E92" s="3343" t="s">
        <v>3284</v>
      </c>
      <c r="F92" s="3376" t="s">
        <v>3285</v>
      </c>
      <c r="G92" s="3361" t="s">
        <v>3286</v>
      </c>
      <c r="H92" s="3383" t="s">
        <v>3289</v>
      </c>
      <c r="I92" s="3361" t="s">
        <v>3290</v>
      </c>
      <c r="J92" s="3384" t="s">
        <v>3291</v>
      </c>
      <c r="K92" s="3384" t="s">
        <v>3292</v>
      </c>
      <c r="L92" s="3384" t="s">
        <v>3293</v>
      </c>
      <c r="M92" s="3384" t="s">
        <v>3294</v>
      </c>
      <c r="N92" s="3384" t="s">
        <v>3295</v>
      </c>
    </row>
    <row r="93" spans="1:37" ht="24">
      <c r="A93" s="3364" t="s">
        <v>3274</v>
      </c>
      <c r="B93" s="1302"/>
      <c r="C93" s="2040"/>
      <c r="D93" s="3361">
        <f>SUMIF($J$92:$N$92,C93,J93:N93)</f>
        <v>0</v>
      </c>
      <c r="E93" s="3377">
        <f>ROUND(SUM(D93:D101),4)</f>
        <v>0</v>
      </c>
      <c r="F93" s="1810" t="str">
        <f>IF(E2="公共服务",SUMIF(L1:L12,G2,N1:N12),"——")</f>
        <v>——</v>
      </c>
      <c r="G93" s="3368"/>
      <c r="H93" s="3416" t="str">
        <f>IFERROR(ROUNDDOWN($F$93*I93/2,4),"——")</f>
        <v>——</v>
      </c>
      <c r="I93" s="3362">
        <v>0.25</v>
      </c>
      <c r="J93" s="3340">
        <f t="shared" ref="J93:J101" si="28">K93+$G93</f>
        <v>0</v>
      </c>
      <c r="K93" s="3340">
        <f t="shared" ref="K93:K101" si="29">$L93+$G93</f>
        <v>0</v>
      </c>
      <c r="L93" s="3340">
        <v>0</v>
      </c>
      <c r="M93" s="3340">
        <f t="shared" ref="M93:N101" si="30">L93-$G93</f>
        <v>0</v>
      </c>
      <c r="N93" s="3340">
        <f t="shared" si="30"/>
        <v>0</v>
      </c>
    </row>
    <row r="94" spans="1:37" ht="38.25">
      <c r="A94" s="3374" t="s">
        <v>3275</v>
      </c>
      <c r="B94" s="3365" t="str">
        <f>估价对象房地状况!C18</f>
        <v>估价对象周边道路状况、公共交通通达情况、停车便捷程度，综合评价交通便捷度较好</v>
      </c>
      <c r="C94" s="2040"/>
      <c r="D94" s="3361">
        <f t="shared" ref="D94:D101" si="31">SUMIF($J$60:$N$60,C94,J94:N94)</f>
        <v>0</v>
      </c>
      <c r="E94" s="3378"/>
      <c r="F94" s="1810"/>
      <c r="G94" s="3368"/>
      <c r="H94" s="3416" t="str">
        <f>IFERROR(ROUNDDOWN($F$93*I94/2,4),"——")</f>
        <v>——</v>
      </c>
      <c r="I94" s="3362">
        <v>0.26</v>
      </c>
      <c r="J94" s="3340">
        <f t="shared" si="28"/>
        <v>0</v>
      </c>
      <c r="K94" s="3340">
        <f t="shared" si="29"/>
        <v>0</v>
      </c>
      <c r="L94" s="3340">
        <v>0</v>
      </c>
      <c r="M94" s="3340">
        <f t="shared" si="30"/>
        <v>0</v>
      </c>
      <c r="N94" s="3340">
        <f t="shared" si="30"/>
        <v>0</v>
      </c>
    </row>
    <row r="95" spans="1:37" ht="36">
      <c r="A95" s="3364" t="s">
        <v>3271</v>
      </c>
      <c r="B95" s="3365">
        <f>估价对象房地状况!C19</f>
        <v>0</v>
      </c>
      <c r="C95" s="2040"/>
      <c r="D95" s="3361">
        <f t="shared" si="31"/>
        <v>0</v>
      </c>
      <c r="E95" s="3378"/>
      <c r="F95" s="1810"/>
      <c r="G95" s="3368"/>
      <c r="H95" s="3416" t="str">
        <f t="shared" ref="H95:H101" si="32">IFERROR(ROUNDDOWN($F$93*I95/2,4),"——")</f>
        <v>——</v>
      </c>
      <c r="I95" s="3362">
        <v>0.11</v>
      </c>
      <c r="J95" s="3340">
        <f t="shared" si="28"/>
        <v>0</v>
      </c>
      <c r="K95" s="3340">
        <f t="shared" si="29"/>
        <v>0</v>
      </c>
      <c r="L95" s="3340">
        <v>0</v>
      </c>
      <c r="M95" s="3340">
        <f t="shared" si="30"/>
        <v>0</v>
      </c>
      <c r="N95" s="3340">
        <f t="shared" si="30"/>
        <v>0</v>
      </c>
    </row>
    <row r="96" spans="1:37" ht="36.75">
      <c r="A96" s="3374" t="s">
        <v>3276</v>
      </c>
      <c r="B96" s="3380" t="s">
        <v>3287</v>
      </c>
      <c r="C96" s="2040"/>
      <c r="D96" s="3361">
        <f t="shared" si="31"/>
        <v>0</v>
      </c>
      <c r="E96" s="3378"/>
      <c r="F96" s="1810"/>
      <c r="G96" s="3368"/>
      <c r="H96" s="3416" t="str">
        <f t="shared" si="32"/>
        <v>——</v>
      </c>
      <c r="I96" s="3362">
        <v>0.05</v>
      </c>
      <c r="J96" s="3340">
        <f t="shared" si="28"/>
        <v>0</v>
      </c>
      <c r="K96" s="3340">
        <f t="shared" si="29"/>
        <v>0</v>
      </c>
      <c r="L96" s="3340">
        <v>0</v>
      </c>
      <c r="M96" s="3340">
        <f t="shared" si="30"/>
        <v>0</v>
      </c>
      <c r="N96" s="3340">
        <f t="shared" si="30"/>
        <v>0</v>
      </c>
    </row>
    <row r="97" spans="1:14" ht="24">
      <c r="A97" s="3374" t="s">
        <v>3277</v>
      </c>
      <c r="B97" s="3365">
        <f>估价对象房地状况!C24</f>
        <v>0</v>
      </c>
      <c r="C97" s="2040"/>
      <c r="D97" s="3361">
        <f t="shared" si="31"/>
        <v>0</v>
      </c>
      <c r="E97" s="3378"/>
      <c r="F97" s="1810"/>
      <c r="G97" s="3368"/>
      <c r="H97" s="3416" t="str">
        <f t="shared" si="32"/>
        <v>——</v>
      </c>
      <c r="I97" s="3362">
        <v>0.05</v>
      </c>
      <c r="J97" s="3340">
        <f t="shared" si="28"/>
        <v>0</v>
      </c>
      <c r="K97" s="3340">
        <f t="shared" si="29"/>
        <v>0</v>
      </c>
      <c r="L97" s="3340">
        <v>0</v>
      </c>
      <c r="M97" s="3340">
        <f t="shared" si="30"/>
        <v>0</v>
      </c>
      <c r="N97" s="3340">
        <f t="shared" si="30"/>
        <v>0</v>
      </c>
    </row>
    <row r="98" spans="1:14" ht="24">
      <c r="A98" s="3374" t="s">
        <v>3278</v>
      </c>
      <c r="B98" s="3381" t="s">
        <v>3288</v>
      </c>
      <c r="C98" s="2040"/>
      <c r="D98" s="3361">
        <f t="shared" si="31"/>
        <v>0</v>
      </c>
      <c r="E98" s="3378"/>
      <c r="F98" s="1810"/>
      <c r="G98" s="3368"/>
      <c r="H98" s="3416" t="str">
        <f t="shared" si="32"/>
        <v>——</v>
      </c>
      <c r="I98" s="3362">
        <v>0.06</v>
      </c>
      <c r="J98" s="3340">
        <f t="shared" si="28"/>
        <v>0</v>
      </c>
      <c r="K98" s="3340">
        <f t="shared" si="29"/>
        <v>0</v>
      </c>
      <c r="L98" s="3340">
        <v>0</v>
      </c>
      <c r="M98" s="3340">
        <f t="shared" si="30"/>
        <v>0</v>
      </c>
      <c r="N98" s="3340">
        <f t="shared" si="30"/>
        <v>0</v>
      </c>
    </row>
    <row r="99" spans="1:14" ht="25.5">
      <c r="A99" s="3374" t="s">
        <v>3279</v>
      </c>
      <c r="B99" s="3365" t="str">
        <f>估价对象房地状况!C21</f>
        <v>估价对象所在区域公共配套设施齐备情况</v>
      </c>
      <c r="C99" s="2040"/>
      <c r="D99" s="3361">
        <f t="shared" si="31"/>
        <v>0</v>
      </c>
      <c r="E99" s="3378"/>
      <c r="F99" s="1810"/>
      <c r="G99" s="3368"/>
      <c r="H99" s="3416" t="str">
        <f t="shared" si="32"/>
        <v>——</v>
      </c>
      <c r="I99" s="3362">
        <v>0.06</v>
      </c>
      <c r="J99" s="3340">
        <f t="shared" si="28"/>
        <v>0</v>
      </c>
      <c r="K99" s="3340">
        <f t="shared" si="29"/>
        <v>0</v>
      </c>
      <c r="L99" s="3340">
        <v>0</v>
      </c>
      <c r="M99" s="3340">
        <f t="shared" si="30"/>
        <v>0</v>
      </c>
      <c r="N99" s="3340">
        <f t="shared" si="30"/>
        <v>0</v>
      </c>
    </row>
    <row r="100" spans="1:14" ht="25.5">
      <c r="A100" s="3374" t="s">
        <v>3280</v>
      </c>
      <c r="B100" s="3365" t="str">
        <f>估价对象房地状况!C22</f>
        <v>估价对象所在区域基础设施水平</v>
      </c>
      <c r="C100" s="2040"/>
      <c r="D100" s="3361">
        <f t="shared" si="31"/>
        <v>0</v>
      </c>
      <c r="E100" s="3378"/>
      <c r="F100" s="1810"/>
      <c r="G100" s="3368"/>
      <c r="H100" s="3416" t="str">
        <f t="shared" si="32"/>
        <v>——</v>
      </c>
      <c r="I100" s="3362">
        <v>0.09</v>
      </c>
      <c r="J100" s="3340">
        <f t="shared" si="28"/>
        <v>0</v>
      </c>
      <c r="K100" s="3340">
        <f t="shared" si="29"/>
        <v>0</v>
      </c>
      <c r="L100" s="3340">
        <v>0</v>
      </c>
      <c r="M100" s="3340">
        <f t="shared" si="30"/>
        <v>0</v>
      </c>
      <c r="N100" s="3340">
        <f t="shared" si="30"/>
        <v>0</v>
      </c>
    </row>
    <row r="101" spans="1:14" ht="26.25" thickBot="1">
      <c r="A101" s="3375" t="s">
        <v>3281</v>
      </c>
      <c r="B101" s="3382" t="str">
        <f>估价对象房地状况!C20</f>
        <v>区域自然环境：；人文环境；综合评价环境状况一般</v>
      </c>
      <c r="C101" s="2040"/>
      <c r="D101" s="3361">
        <f t="shared" si="31"/>
        <v>0</v>
      </c>
      <c r="E101" s="3379"/>
      <c r="F101" s="1810"/>
      <c r="G101" s="3368"/>
      <c r="H101" s="3416" t="str">
        <f t="shared" si="32"/>
        <v>——</v>
      </c>
      <c r="I101" s="3363">
        <v>7.0000000000000007E-2</v>
      </c>
      <c r="J101" s="3340">
        <f t="shared" si="28"/>
        <v>0</v>
      </c>
      <c r="K101" s="3340">
        <f t="shared" si="29"/>
        <v>0</v>
      </c>
      <c r="L101" s="3340">
        <v>0</v>
      </c>
      <c r="M101" s="3340">
        <f t="shared" si="30"/>
        <v>0</v>
      </c>
      <c r="N101" s="3340">
        <f t="shared" si="30"/>
        <v>0</v>
      </c>
    </row>
    <row r="103" spans="1:14">
      <c r="A103" s="3728" t="s">
        <v>3296</v>
      </c>
      <c r="B103" s="3728"/>
      <c r="C103" s="3728"/>
      <c r="D103" s="3728"/>
      <c r="E103" s="3728"/>
      <c r="F103" s="3728"/>
      <c r="G103" s="3728"/>
      <c r="H103" s="3728"/>
      <c r="I103" s="3728"/>
      <c r="J103" s="3728"/>
      <c r="K103" s="3385"/>
      <c r="L103" s="3385"/>
      <c r="M103" s="3385"/>
      <c r="N103" s="3385"/>
    </row>
    <row r="104" spans="1:14">
      <c r="A104" s="3729" t="s">
        <v>3297</v>
      </c>
      <c r="B104" s="3729" t="s">
        <v>3298</v>
      </c>
      <c r="C104" s="3386" t="s">
        <v>3299</v>
      </c>
      <c r="D104" s="3387"/>
      <c r="E104" s="3387"/>
      <c r="F104" s="3387"/>
      <c r="G104" s="3387"/>
      <c r="H104" s="3387"/>
      <c r="I104" s="3387"/>
      <c r="J104" s="3388"/>
      <c r="K104" s="3389"/>
      <c r="L104" s="3389"/>
      <c r="M104" s="3389"/>
      <c r="N104" s="3389"/>
    </row>
    <row r="105" spans="1:14">
      <c r="A105" s="3729"/>
      <c r="B105" s="3729"/>
      <c r="C105" s="3390" t="s">
        <v>3300</v>
      </c>
      <c r="D105" s="3390" t="s">
        <v>3301</v>
      </c>
      <c r="E105" s="3390" t="s">
        <v>3302</v>
      </c>
      <c r="F105" s="3390" t="s">
        <v>3303</v>
      </c>
      <c r="G105" s="3390" t="s">
        <v>3304</v>
      </c>
      <c r="H105" s="3390" t="s">
        <v>3305</v>
      </c>
      <c r="I105" s="3390" t="s">
        <v>3306</v>
      </c>
      <c r="J105" s="3390" t="s">
        <v>3307</v>
      </c>
      <c r="K105" s="3390" t="s">
        <v>3308</v>
      </c>
      <c r="L105" s="3390" t="s">
        <v>3309</v>
      </c>
      <c r="M105" s="3390" t="s">
        <v>3310</v>
      </c>
      <c r="N105" s="3390" t="s">
        <v>3311</v>
      </c>
    </row>
    <row r="106" spans="1:14">
      <c r="A106" s="3715" t="s">
        <v>3312</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1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1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1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1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16"/>
      <c r="B111" s="3390" t="s">
        <v>3270</v>
      </c>
      <c r="C111" s="3391">
        <f>$I$3</f>
        <v>0</v>
      </c>
      <c r="D111" s="3391">
        <f t="shared" ref="D111:M111" si="33">$I$3</f>
        <v>0</v>
      </c>
      <c r="E111" s="3391">
        <f t="shared" si="33"/>
        <v>0</v>
      </c>
      <c r="F111" s="3391">
        <f t="shared" si="33"/>
        <v>0</v>
      </c>
      <c r="G111" s="3391">
        <f t="shared" si="33"/>
        <v>0</v>
      </c>
      <c r="H111" s="3391">
        <f t="shared" si="33"/>
        <v>0</v>
      </c>
      <c r="I111" s="3391">
        <f t="shared" si="33"/>
        <v>0</v>
      </c>
      <c r="J111" s="3391">
        <f t="shared" si="33"/>
        <v>0</v>
      </c>
      <c r="K111" s="3391">
        <f t="shared" si="33"/>
        <v>0</v>
      </c>
      <c r="L111" s="3391">
        <f t="shared" si="33"/>
        <v>0</v>
      </c>
      <c r="M111" s="3391">
        <f t="shared" si="33"/>
        <v>0</v>
      </c>
      <c r="N111" s="3391">
        <f>$I$3</f>
        <v>0</v>
      </c>
    </row>
    <row r="112" spans="1:14">
      <c r="A112" s="3717"/>
      <c r="B112" s="3390">
        <v>6</v>
      </c>
      <c r="C112" s="3383">
        <f>(-0.5556*(C111^2)-0.2719*C111+8944)*(10^(-4))</f>
        <v>0.89440000000000008</v>
      </c>
      <c r="D112" s="3383">
        <f>(-0.5556*(D111^2)-0.2719*D111+8944)*(10^(-4))</f>
        <v>0.89440000000000008</v>
      </c>
      <c r="E112" s="3383">
        <f>(-0.7912*(E111^2)-11.3794*E111+8482)*(10^(-4))</f>
        <v>0.84820000000000007</v>
      </c>
      <c r="F112" s="3383">
        <f t="shared" ref="F112:I112" si="34">(-0.7912*(F111^2)-11.3794*F111+8482)*(10^(-4))</f>
        <v>0.84820000000000007</v>
      </c>
      <c r="G112" s="3383">
        <f t="shared" si="34"/>
        <v>0.84820000000000007</v>
      </c>
      <c r="H112" s="3383">
        <f t="shared" si="34"/>
        <v>0.84820000000000007</v>
      </c>
      <c r="I112" s="3383">
        <f t="shared" si="34"/>
        <v>0.84820000000000007</v>
      </c>
      <c r="J112" s="3383">
        <f>(-0.989*(J111^2)-63.78*J111+7771)*(10^(-4))</f>
        <v>0.77710000000000001</v>
      </c>
      <c r="K112" s="3383">
        <f t="shared" ref="K112:N112" si="35">(-0.989*(K111^2)-63.78*K111+7771)*(10^(-4))</f>
        <v>0.77710000000000001</v>
      </c>
      <c r="L112" s="3383">
        <f t="shared" si="35"/>
        <v>0.77710000000000001</v>
      </c>
      <c r="M112" s="3383">
        <f t="shared" si="35"/>
        <v>0.77710000000000001</v>
      </c>
      <c r="N112" s="3383">
        <f t="shared" si="35"/>
        <v>0.77710000000000001</v>
      </c>
    </row>
    <row r="113" spans="1:14">
      <c r="A113" s="3718" t="s">
        <v>3313</v>
      </c>
      <c r="B113" s="3718"/>
      <c r="C113" s="3718"/>
      <c r="D113" s="3718"/>
      <c r="E113" s="3718"/>
      <c r="F113" s="3718"/>
      <c r="G113" s="3718"/>
      <c r="H113" s="3718"/>
      <c r="I113" s="3718"/>
      <c r="J113" s="371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3314</v>
      </c>
      <c r="B116" s="3411">
        <f>G3</f>
        <v>5.13</v>
      </c>
      <c r="C116" s="3395" t="s">
        <v>3315</v>
      </c>
      <c r="D116" s="3396">
        <f>SUMPRODUCT((A118:A122=F116)*(B117:M117=H116)*B118:M122)</f>
        <v>0.94040000000000001</v>
      </c>
      <c r="E116" s="1996" t="s">
        <v>3316</v>
      </c>
      <c r="F116" s="3397" t="str">
        <f>E2</f>
        <v>商业</v>
      </c>
      <c r="G116" s="1996" t="s">
        <v>3317</v>
      </c>
      <c r="H116" s="3397" t="str">
        <f>G2</f>
        <v>一级</v>
      </c>
      <c r="I116" s="1996"/>
      <c r="J116" s="3398"/>
      <c r="K116" s="3398"/>
      <c r="L116" s="3398"/>
      <c r="M116" s="3398"/>
      <c r="N116" s="3393"/>
    </row>
    <row r="117" spans="1:14">
      <c r="A117" s="3399"/>
      <c r="B117" s="3400" t="s">
        <v>3318</v>
      </c>
      <c r="C117" s="3400" t="s">
        <v>3319</v>
      </c>
      <c r="D117" s="3400" t="s">
        <v>3320</v>
      </c>
      <c r="E117" s="3401" t="s">
        <v>3321</v>
      </c>
      <c r="F117" s="3401" t="s">
        <v>3322</v>
      </c>
      <c r="G117" s="3401" t="s">
        <v>3323</v>
      </c>
      <c r="H117" s="3402" t="s">
        <v>3324</v>
      </c>
      <c r="I117" s="3402" t="s">
        <v>3325</v>
      </c>
      <c r="J117" s="3403" t="s">
        <v>3326</v>
      </c>
      <c r="K117" s="3403" t="s">
        <v>3327</v>
      </c>
      <c r="L117" s="3403" t="s">
        <v>3328</v>
      </c>
      <c r="M117" s="3404" t="s">
        <v>3329</v>
      </c>
      <c r="N117" s="3393"/>
    </row>
    <row r="118" spans="1:14">
      <c r="A118" s="3405" t="s">
        <v>3330</v>
      </c>
      <c r="B118" s="3383">
        <f>ROUND(0.9968-0.011*B116,4)</f>
        <v>0.94040000000000001</v>
      </c>
      <c r="C118" s="3383">
        <f>B118</f>
        <v>0.94040000000000001</v>
      </c>
      <c r="D118" s="3383">
        <f>ROUND(0.949-0.014*B116,4)</f>
        <v>0.87719999999999998</v>
      </c>
      <c r="E118" s="3383">
        <f>D118</f>
        <v>0.87719999999999998</v>
      </c>
      <c r="F118" s="3383">
        <f>E118</f>
        <v>0.87719999999999998</v>
      </c>
      <c r="G118" s="3383">
        <f>F118</f>
        <v>0.87719999999999998</v>
      </c>
      <c r="H118" s="3383">
        <f>G118</f>
        <v>0.87719999999999998</v>
      </c>
      <c r="I118" s="3383">
        <f>ROUND(0.8486-0.018*B116,4)</f>
        <v>0.75629999999999997</v>
      </c>
      <c r="J118" s="3383">
        <f t="shared" ref="J118:M122" si="36">I118</f>
        <v>0.75629999999999997</v>
      </c>
      <c r="K118" s="3383">
        <f t="shared" si="36"/>
        <v>0.75629999999999997</v>
      </c>
      <c r="L118" s="3383">
        <f t="shared" si="36"/>
        <v>0.75629999999999997</v>
      </c>
      <c r="M118" s="3406">
        <f t="shared" si="36"/>
        <v>0.75629999999999997</v>
      </c>
      <c r="N118" s="3393"/>
    </row>
    <row r="119" spans="1:14">
      <c r="A119" s="3405" t="s">
        <v>3331</v>
      </c>
      <c r="B119" s="3383">
        <f>ROUND(0.993-0.0112*B116,4)</f>
        <v>0.9355</v>
      </c>
      <c r="C119" s="3383">
        <f>B119</f>
        <v>0.9355</v>
      </c>
      <c r="D119" s="3383">
        <f>ROUND(0.9415-0.0142*B116,4)</f>
        <v>0.86870000000000003</v>
      </c>
      <c r="E119" s="3383">
        <f t="shared" ref="E119:H120" si="37">D119</f>
        <v>0.86870000000000003</v>
      </c>
      <c r="F119" s="3383">
        <f t="shared" si="37"/>
        <v>0.86870000000000003</v>
      </c>
      <c r="G119" s="3383">
        <f t="shared" si="37"/>
        <v>0.86870000000000003</v>
      </c>
      <c r="H119" s="3383">
        <f t="shared" si="37"/>
        <v>0.86870000000000003</v>
      </c>
      <c r="I119" s="3383">
        <f>ROUND(0.838-0.0182*B116,4)</f>
        <v>0.74460000000000004</v>
      </c>
      <c r="J119" s="3383">
        <f t="shared" si="36"/>
        <v>0.74460000000000004</v>
      </c>
      <c r="K119" s="3383">
        <f t="shared" si="36"/>
        <v>0.74460000000000004</v>
      </c>
      <c r="L119" s="3383">
        <f t="shared" si="36"/>
        <v>0.74460000000000004</v>
      </c>
      <c r="M119" s="3406">
        <f t="shared" si="36"/>
        <v>0.74460000000000004</v>
      </c>
      <c r="N119" s="3393"/>
    </row>
    <row r="120" spans="1:14">
      <c r="A120" s="3405" t="s">
        <v>3332</v>
      </c>
      <c r="B120" s="3383">
        <f>ROUND(0.9448-0.0115*B116,4)</f>
        <v>0.88580000000000003</v>
      </c>
      <c r="C120" s="3383">
        <f>B120</f>
        <v>0.88580000000000003</v>
      </c>
      <c r="D120" s="3383">
        <f>ROUND(0.937-0.0145*B116,4)</f>
        <v>0.86260000000000003</v>
      </c>
      <c r="E120" s="3383">
        <f t="shared" si="37"/>
        <v>0.86260000000000003</v>
      </c>
      <c r="F120" s="3383">
        <f t="shared" si="37"/>
        <v>0.86260000000000003</v>
      </c>
      <c r="G120" s="3383">
        <f t="shared" si="37"/>
        <v>0.86260000000000003</v>
      </c>
      <c r="H120" s="3383">
        <f t="shared" si="37"/>
        <v>0.86260000000000003</v>
      </c>
      <c r="I120" s="3383">
        <f>ROUND(0.7965-0.0185*B116,4)</f>
        <v>0.7016</v>
      </c>
      <c r="J120" s="3383">
        <f t="shared" si="36"/>
        <v>0.7016</v>
      </c>
      <c r="K120" s="3383">
        <f t="shared" si="36"/>
        <v>0.7016</v>
      </c>
      <c r="L120" s="3383">
        <f t="shared" si="36"/>
        <v>0.7016</v>
      </c>
      <c r="M120" s="3406">
        <f t="shared" si="36"/>
        <v>0.7016</v>
      </c>
      <c r="N120" s="3393"/>
    </row>
    <row r="121" spans="1:14" ht="13.5" thickBot="1">
      <c r="A121" s="3407" t="s">
        <v>3333</v>
      </c>
      <c r="B121" s="3408">
        <f>ROUND(0.7836-0.012*B116,4)</f>
        <v>0.72199999999999998</v>
      </c>
      <c r="C121" s="3408">
        <f>B121</f>
        <v>0.72199999999999998</v>
      </c>
      <c r="D121" s="3408">
        <f>ROUND(0.753-0.015*B116,4)</f>
        <v>0.67610000000000003</v>
      </c>
      <c r="E121" s="3408">
        <f>D121</f>
        <v>0.67610000000000003</v>
      </c>
      <c r="F121" s="3408">
        <f>E121</f>
        <v>0.67610000000000003</v>
      </c>
      <c r="G121" s="3408">
        <f>ROUND(0.6612-0.018*B116,4)</f>
        <v>0.56889999999999996</v>
      </c>
      <c r="H121" s="3408">
        <f>G121</f>
        <v>0.56889999999999996</v>
      </c>
      <c r="I121" s="3408">
        <f>ROUND(0.5905-0.019*B116,4)</f>
        <v>0.49299999999999999</v>
      </c>
      <c r="J121" s="3408">
        <f t="shared" si="36"/>
        <v>0.49299999999999999</v>
      </c>
      <c r="K121" s="3408">
        <f t="shared" si="36"/>
        <v>0.49299999999999999</v>
      </c>
      <c r="L121" s="3408">
        <f t="shared" si="36"/>
        <v>0.49299999999999999</v>
      </c>
      <c r="M121" s="3409">
        <f t="shared" si="36"/>
        <v>0.49299999999999999</v>
      </c>
      <c r="N121" s="3393"/>
    </row>
    <row r="122" spans="1:14">
      <c r="A122" s="3410" t="s">
        <v>2615</v>
      </c>
      <c r="B122" s="3383">
        <f>ROUND(0.9404-0.0106*B116,4)</f>
        <v>0.88600000000000001</v>
      </c>
      <c r="C122" s="3383">
        <f>B122</f>
        <v>0.88600000000000001</v>
      </c>
      <c r="D122" s="3383">
        <f>ROUND(0.8955-0.0135*B116,4)</f>
        <v>0.82620000000000005</v>
      </c>
      <c r="E122" s="3383">
        <f t="shared" ref="E122:H122" si="38">D122</f>
        <v>0.82620000000000005</v>
      </c>
      <c r="F122" s="3383">
        <f t="shared" si="38"/>
        <v>0.82620000000000005</v>
      </c>
      <c r="G122" s="3383">
        <f t="shared" si="38"/>
        <v>0.82620000000000005</v>
      </c>
      <c r="H122" s="3383">
        <f t="shared" si="38"/>
        <v>0.82620000000000005</v>
      </c>
      <c r="I122" s="3383">
        <f>ROUND(0.7632-0.0166*B116,4)</f>
        <v>0.67800000000000005</v>
      </c>
      <c r="J122" s="3383">
        <f t="shared" si="36"/>
        <v>0.67800000000000005</v>
      </c>
      <c r="K122" s="3383">
        <f t="shared" si="36"/>
        <v>0.67800000000000005</v>
      </c>
      <c r="L122" s="3383">
        <f t="shared" si="36"/>
        <v>0.67800000000000005</v>
      </c>
      <c r="M122" s="3406">
        <f t="shared" si="36"/>
        <v>0.67800000000000005</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1" priority="6" stopIfTrue="1" operator="notEqual">
      <formula>"——"</formula>
    </cfRule>
  </conditionalFormatting>
  <conditionalFormatting sqref="F61">
    <cfRule type="cellIs" dxfId="180" priority="5" stopIfTrue="1" operator="notEqual">
      <formula>"——"</formula>
    </cfRule>
  </conditionalFormatting>
  <conditionalFormatting sqref="F72">
    <cfRule type="cellIs" dxfId="179" priority="4" stopIfTrue="1" operator="notEqual">
      <formula>"——"</formula>
    </cfRule>
  </conditionalFormatting>
  <conditionalFormatting sqref="F83">
    <cfRule type="cellIs" dxfId="178" priority="3" stopIfTrue="1" operator="notEqual">
      <formula>"——"</formula>
    </cfRule>
  </conditionalFormatting>
  <conditionalFormatting sqref="H50:H58 H61:H69 H72:H80 H83:H91">
    <cfRule type="cellIs" dxfId="177" priority="2" operator="notEqual">
      <formula>"——"</formula>
    </cfRule>
  </conditionalFormatting>
  <conditionalFormatting sqref="H93:H101">
    <cfRule type="cellIs" dxfId="17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2">
        <f>MATCH(B1,'数据-取费表'!A6:A16,0)+5</f>
        <v>10</v>
      </c>
    </row>
    <row r="2" spans="1:9" s="200" customFormat="1" ht="18" customHeight="1">
      <c r="A2" s="201" t="s">
        <v>1462</v>
      </c>
      <c r="B2" s="202">
        <f ca="1">IF(D2="——",C52,C52-E2)</f>
        <v>250911</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37135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150409</v>
      </c>
      <c r="D5" s="211" t="s">
        <v>1469</v>
      </c>
      <c r="E5" s="212" t="s">
        <v>1470</v>
      </c>
      <c r="F5" s="212" t="s">
        <v>1471</v>
      </c>
      <c r="G5" s="213"/>
    </row>
    <row r="6" spans="1:9" s="214" customFormat="1" ht="13.5" customHeight="1">
      <c r="A6" s="774" t="s">
        <v>1472</v>
      </c>
      <c r="B6" s="215" t="s">
        <v>1473</v>
      </c>
      <c r="C6" s="216">
        <f>基准地价修正!B2</f>
        <v>145957</v>
      </c>
      <c r="D6" s="217"/>
      <c r="E6" s="218"/>
      <c r="F6" s="218"/>
      <c r="G6" s="219"/>
    </row>
    <row r="7" spans="1:9" s="214" customFormat="1" ht="13.5" customHeight="1">
      <c r="A7" s="774" t="s">
        <v>1474</v>
      </c>
      <c r="B7" s="215" t="s">
        <v>1475</v>
      </c>
      <c r="C7" s="220">
        <f>ROUND(C6*F7,0)</f>
        <v>4452</v>
      </c>
      <c r="D7" s="220"/>
      <c r="E7" s="218"/>
      <c r="F7" s="221">
        <f>IF(项目基本情况!B8="出让",0,'数据-取费表'!B48+'数据-取费表'!B49)</f>
        <v>3.0499999999999999E-2</v>
      </c>
      <c r="G7" s="219"/>
    </row>
    <row r="8" spans="1:9" s="223" customFormat="1">
      <c r="A8" s="774" t="s">
        <v>1476</v>
      </c>
      <c r="B8" s="215" t="s">
        <v>1477</v>
      </c>
      <c r="C8" s="220" t="str">
        <f>IF(G8="已包含在土地购买价格中","0",IF(B1="",'数据-取费表'!B29,IF(G9="全部缴纳",C9+C10,H9)))</f>
        <v>0</v>
      </c>
      <c r="D8" s="222"/>
      <c r="E8" s="220"/>
      <c r="F8" s="221"/>
      <c r="G8" s="1852" t="s">
        <v>451</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0</v>
      </c>
      <c r="F9" s="221"/>
      <c r="G9" s="1853" t="s">
        <v>3485</v>
      </c>
      <c r="H9" s="1133"/>
      <c r="I9" s="1854" t="s">
        <v>1479</v>
      </c>
    </row>
    <row r="10" spans="1:9" s="214" customFormat="1" ht="13.5" customHeight="1">
      <c r="A10" s="775" t="s">
        <v>356</v>
      </c>
      <c r="B10" s="224" t="s">
        <v>1480</v>
      </c>
      <c r="C10" s="225">
        <f ca="1">ROUND(D10*E10/10000,0)</f>
        <v>1284</v>
      </c>
      <c r="D10" s="841">
        <f ca="1">IF(B1="",'数据-汇总表'!E6,IF(INDIRECT("'数据-取费表'!c"&amp;$G$1)="住宅",INDIRECT("'数据-取费表'!s"&amp;$G$1),INDIRECT("'数据-取费表'!k"&amp;$G$1)+INDIRECT("'数据-取费表'!s"&amp;$G$1)))</f>
        <v>67567.27</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67567.27</v>
      </c>
      <c r="E19" s="211">
        <f>'数据-取费表'!B31</f>
        <v>200</v>
      </c>
      <c r="F19" s="231"/>
      <c r="G19" s="1852" t="s">
        <v>3399</v>
      </c>
    </row>
    <row r="20" spans="1:7" s="214" customFormat="1" ht="13.5" customHeight="1">
      <c r="A20" s="255" t="s">
        <v>1493</v>
      </c>
      <c r="B20" s="210" t="s">
        <v>1494</v>
      </c>
      <c r="C20" s="232">
        <f>ROUND((C5+C19)*F20,0)</f>
        <v>3008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10661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10557</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104</v>
      </c>
      <c r="D25" s="238"/>
      <c r="E25" s="241"/>
      <c r="F25" s="239"/>
      <c r="G25" s="242" t="s">
        <v>1510</v>
      </c>
    </row>
    <row r="26" spans="1:7" s="214" customFormat="1">
      <c r="A26" s="776"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21478</v>
      </c>
      <c r="D27" s="235">
        <f ca="1">C29</f>
        <v>2.8E-3</v>
      </c>
      <c r="E27" s="236" t="s">
        <v>1514</v>
      </c>
      <c r="F27" s="246">
        <f ca="1">IF(B1="",'数据-取费表'!Q16,INDIRECT("'数据-取费表'!q"&amp;$G$1))</f>
        <v>0.14000000000000001</v>
      </c>
      <c r="G27" s="247" t="s">
        <v>1515</v>
      </c>
    </row>
    <row r="28" spans="1:7" s="214" customFormat="1" ht="13.5" customHeight="1">
      <c r="A28" s="776" t="s">
        <v>346</v>
      </c>
      <c r="B28" s="248" t="s">
        <v>1516</v>
      </c>
      <c r="C28" s="249">
        <f ca="1">ROUND((C5+C19+C20)*F27*'数据-取费表'!B21/'数据-取费表'!B20,0)</f>
        <v>21478</v>
      </c>
      <c r="D28" s="235"/>
      <c r="E28" s="236"/>
      <c r="F28" s="246"/>
      <c r="G28" s="247"/>
    </row>
    <row r="29" spans="1:7" s="214" customFormat="1" ht="13.5" customHeight="1">
      <c r="A29" s="776"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200992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43715</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40540</v>
      </c>
      <c r="D34" s="217"/>
      <c r="E34" s="220"/>
      <c r="F34" s="257">
        <f ca="1">IF('数据-取费表'!B24=0,1,IF(B1="",'数据-取费表'!N16,INDIRECT("'数据-取费表'!n"&amp;$G$1)))</f>
        <v>1</v>
      </c>
      <c r="G34" s="219" t="s">
        <v>1526</v>
      </c>
    </row>
    <row r="35" spans="1:7" ht="13.5" customHeight="1">
      <c r="A35" s="776" t="s">
        <v>351</v>
      </c>
      <c r="B35" s="215" t="s">
        <v>1527</v>
      </c>
      <c r="C35" s="220">
        <f ca="1">ROUND(C34*F35,0)</f>
        <v>1216</v>
      </c>
      <c r="D35" s="220"/>
      <c r="E35" s="220"/>
      <c r="F35" s="259">
        <f>'数据-取费表'!B33</f>
        <v>0.03</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1351</v>
      </c>
      <c r="D37" s="217">
        <f ca="1">D19</f>
        <v>67567.27</v>
      </c>
      <c r="E37" s="249">
        <f>'数据-取费表'!B35</f>
        <v>200</v>
      </c>
      <c r="F37" s="259"/>
      <c r="G37" s="261" t="s">
        <v>1532</v>
      </c>
    </row>
    <row r="38" spans="1:7" ht="13.5" customHeight="1">
      <c r="A38" s="776" t="s">
        <v>354</v>
      </c>
      <c r="B38" s="215" t="s">
        <v>1533</v>
      </c>
      <c r="C38" s="220">
        <f ca="1">ROUND(C34*F38,0)</f>
        <v>608</v>
      </c>
      <c r="D38" s="220"/>
      <c r="E38" s="220"/>
      <c r="F38" s="259">
        <f>'数据-取费表'!B36</f>
        <v>1.4999999999999999E-2</v>
      </c>
      <c r="G38" s="219" t="s">
        <v>1528</v>
      </c>
    </row>
    <row r="39" spans="1:7" s="214" customFormat="1" ht="13.5" customHeight="1">
      <c r="A39" s="255" t="s">
        <v>1534</v>
      </c>
      <c r="B39" s="210" t="s">
        <v>1535</v>
      </c>
      <c r="C39" s="232">
        <f ca="1">ROUND(C33*F20,0)</f>
        <v>874</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1538</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1508</v>
      </c>
      <c r="D42" s="238"/>
      <c r="E42" s="238"/>
      <c r="F42" s="239"/>
      <c r="G42" s="3734" t="s">
        <v>1544</v>
      </c>
    </row>
    <row r="43" spans="1:7" ht="13.5" customHeight="1">
      <c r="A43" s="776" t="s">
        <v>347</v>
      </c>
      <c r="B43" s="215" t="s">
        <v>1545</v>
      </c>
      <c r="C43" s="238">
        <f ca="1">ROUND(IF('数据-取费表'!B22&lt;=1,C39*F22*'数据-取费表'!B21/2,C39*(POWER((1+F22),'数据-取费表'!B21/2)-1)),0)</f>
        <v>30</v>
      </c>
      <c r="D43" s="238"/>
      <c r="E43" s="238"/>
      <c r="F43" s="239"/>
      <c r="G43" s="3735"/>
    </row>
    <row r="44" spans="1:7" ht="13.5" customHeight="1">
      <c r="A44" s="776" t="s">
        <v>348</v>
      </c>
      <c r="B44" s="215" t="s">
        <v>1546</v>
      </c>
      <c r="C44" s="238">
        <f ca="1">ROUND(IF('数据-取费表'!B22&lt;=1,C40*F22*'数据-取费表'!B21/2,C40*(POWER((1+F22),'数据-取费表'!B21/2)-1)),4)</f>
        <v>6.9999999999999999E-4</v>
      </c>
      <c r="D44" s="238"/>
      <c r="E44" s="238"/>
      <c r="F44" s="239"/>
      <c r="G44" s="3736"/>
    </row>
    <row r="45" spans="1:7" s="214" customFormat="1" ht="13.5" customHeight="1">
      <c r="A45" s="255" t="s">
        <v>1547</v>
      </c>
      <c r="B45" s="244" t="s">
        <v>1513</v>
      </c>
      <c r="C45" s="245">
        <f ca="1">C46</f>
        <v>6242</v>
      </c>
      <c r="D45" s="235">
        <f ca="1">C47</f>
        <v>2.8E-3</v>
      </c>
      <c r="E45" s="236" t="s">
        <v>1539</v>
      </c>
      <c r="F45" s="246">
        <f ca="1">F27</f>
        <v>0.14000000000000001</v>
      </c>
      <c r="G45" s="247" t="s">
        <v>1548</v>
      </c>
    </row>
    <row r="46" spans="1:7" s="214" customFormat="1" ht="13.5" customHeight="1">
      <c r="A46" s="776" t="s">
        <v>346</v>
      </c>
      <c r="B46" s="248" t="s">
        <v>1549</v>
      </c>
      <c r="C46" s="249">
        <f ca="1">ROUND((C33+C39)*F27,0)</f>
        <v>6242</v>
      </c>
      <c r="D46" s="263"/>
      <c r="E46" s="236"/>
      <c r="F46" s="246"/>
      <c r="G46" s="247"/>
    </row>
    <row r="47" spans="1:7" s="214" customFormat="1" ht="13.5" customHeight="1">
      <c r="A47" s="776" t="s">
        <v>347</v>
      </c>
      <c r="B47" s="248" t="s">
        <v>1550</v>
      </c>
      <c r="C47" s="238">
        <f ca="1">ROUND(C40*F27,4)</f>
        <v>2.8E-3</v>
      </c>
      <c r="D47" s="263"/>
      <c r="E47" s="236"/>
      <c r="F47" s="246"/>
      <c r="G47" s="247"/>
    </row>
    <row r="48" spans="1:7" s="214" customFormat="1" ht="13.5" customHeight="1">
      <c r="A48" s="255" t="s">
        <v>1512</v>
      </c>
      <c r="B48" s="210" t="s">
        <v>1551</v>
      </c>
      <c r="C48" s="1323">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56726</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49919</v>
      </c>
      <c r="D51" s="232"/>
      <c r="E51" s="232"/>
      <c r="F51" s="264"/>
      <c r="G51" s="234" t="s">
        <v>1560</v>
      </c>
    </row>
    <row r="52" spans="1:7" s="208" customFormat="1" ht="16.5" thickBot="1">
      <c r="A52" s="265" t="s">
        <v>1561</v>
      </c>
      <c r="B52" s="266"/>
      <c r="C52" s="267">
        <f ca="1">C31+C51</f>
        <v>250911</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3448</v>
      </c>
      <c r="E1" s="3421" t="s">
        <v>3404</v>
      </c>
      <c r="F1" s="1875" t="s">
        <v>3405</v>
      </c>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9"/>
      <c r="M2" s="2730"/>
      <c r="N2" s="2730"/>
      <c r="O2" s="2730"/>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29405</v>
      </c>
      <c r="C3" s="354" t="s">
        <v>1768</v>
      </c>
      <c r="D3" s="353">
        <f>IF(D1="",'数据-汇总表'!E3,SUMIF('数据-汇总表'!$C19:$C33,D1,'数据-汇总表'!$E19:$E33))</f>
        <v>0</v>
      </c>
      <c r="E3" s="1950"/>
      <c r="F3" s="905"/>
      <c r="G3" s="904"/>
      <c r="H3" s="904"/>
      <c r="I3" s="904"/>
      <c r="J3" s="904"/>
      <c r="K3" s="906"/>
      <c r="L3" s="2729"/>
      <c r="M3" s="2730"/>
      <c r="N3" s="2730"/>
      <c r="O3" s="2730"/>
      <c r="P3" s="1948"/>
      <c r="Q3" s="908"/>
      <c r="R3" s="908"/>
      <c r="S3" s="908"/>
      <c r="T3" s="908"/>
      <c r="U3" s="908"/>
      <c r="V3" s="908"/>
      <c r="W3" s="908"/>
      <c r="X3" s="908"/>
      <c r="Y3" s="908"/>
      <c r="Z3" s="908"/>
      <c r="AA3" s="908"/>
      <c r="AB3" s="908"/>
      <c r="AC3" s="1950"/>
    </row>
    <row r="4" spans="1:29" ht="15">
      <c r="A4" s="355" t="s">
        <v>1769</v>
      </c>
      <c r="B4" s="356"/>
      <c r="C4" s="3685" t="s">
        <v>1770</v>
      </c>
      <c r="D4" s="3686"/>
      <c r="E4" s="3687" t="s">
        <v>1771</v>
      </c>
      <c r="F4" s="3688"/>
      <c r="G4" s="3685" t="s">
        <v>1772</v>
      </c>
      <c r="H4" s="3686"/>
      <c r="I4" s="3685" t="s">
        <v>1773</v>
      </c>
      <c r="J4" s="3686"/>
      <c r="K4" s="559" t="s">
        <v>1774</v>
      </c>
      <c r="L4" s="2710"/>
      <c r="M4" s="2711"/>
      <c r="N4" s="2711"/>
      <c r="O4" s="2711"/>
      <c r="P4" s="3742" t="s">
        <v>1775</v>
      </c>
      <c r="Q4" s="3743"/>
      <c r="R4" s="3738" t="s">
        <v>1771</v>
      </c>
      <c r="S4" s="3739"/>
      <c r="T4" s="3738" t="s">
        <v>1772</v>
      </c>
      <c r="U4" s="3739"/>
      <c r="V4" s="3698" t="s">
        <v>1773</v>
      </c>
      <c r="W4" s="3698"/>
      <c r="X4" s="1351"/>
      <c r="Y4" s="3738" t="s">
        <v>1775</v>
      </c>
      <c r="Z4" s="3739"/>
      <c r="AA4" s="3737" t="s">
        <v>1771</v>
      </c>
      <c r="AB4" s="3698" t="s">
        <v>1772</v>
      </c>
      <c r="AC4" s="3737" t="s">
        <v>1773</v>
      </c>
    </row>
    <row r="5" spans="1:29" ht="15">
      <c r="A5" s="358"/>
      <c r="B5" s="359"/>
      <c r="C5" s="3675" t="s">
        <v>1673</v>
      </c>
      <c r="D5" s="3676"/>
      <c r="E5" s="3740" t="s">
        <v>3461</v>
      </c>
      <c r="F5" s="3674"/>
      <c r="G5" s="3741" t="s">
        <v>3462</v>
      </c>
      <c r="H5" s="3676"/>
      <c r="I5" s="3741" t="s">
        <v>3441</v>
      </c>
      <c r="J5" s="3676"/>
      <c r="K5" s="559"/>
      <c r="L5" s="2710"/>
      <c r="M5" s="2711"/>
      <c r="N5" s="2711"/>
      <c r="O5" s="2711"/>
      <c r="P5" s="3744"/>
      <c r="Q5" s="3692"/>
      <c r="R5" s="3671"/>
      <c r="S5" s="3672"/>
      <c r="T5" s="3671"/>
      <c r="U5" s="3672"/>
      <c r="V5" s="3698"/>
      <c r="W5" s="3698"/>
      <c r="X5" s="1351"/>
      <c r="Y5" s="3671"/>
      <c r="Z5" s="3672"/>
      <c r="AA5" s="3665"/>
      <c r="AB5" s="3698"/>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745"/>
      <c r="Q6" s="3694"/>
      <c r="R6" s="3671"/>
      <c r="S6" s="3672"/>
      <c r="T6" s="3695"/>
      <c r="U6" s="3696"/>
      <c r="V6" s="3698"/>
      <c r="W6" s="3698"/>
      <c r="X6" s="1351"/>
      <c r="Y6" s="3695"/>
      <c r="Z6" s="3696"/>
      <c r="AA6" s="3666"/>
      <c r="AB6" s="3698"/>
      <c r="AC6" s="3666"/>
    </row>
    <row r="7" spans="1:29" s="108" customFormat="1" ht="15.75" thickBot="1">
      <c r="A7" s="362" t="s">
        <v>1679</v>
      </c>
      <c r="B7" s="363"/>
      <c r="C7" s="364">
        <f>'数据-取费表'!B2</f>
        <v>45279</v>
      </c>
      <c r="D7" s="365">
        <v>100</v>
      </c>
      <c r="E7" s="366">
        <f>C7</f>
        <v>45279</v>
      </c>
      <c r="F7" s="367">
        <f>SUMIF(58:58,YEAR(E7)&amp;"-"&amp;MONTH(E7),59:59)</f>
        <v>100</v>
      </c>
      <c r="G7" s="366">
        <f>C7</f>
        <v>45279</v>
      </c>
      <c r="H7" s="365">
        <f>SUMIF(58:58,YEAR(G7)&amp;"-"&amp;MONTH(G7),59:59)</f>
        <v>100</v>
      </c>
      <c r="I7" s="366">
        <f>C7</f>
        <v>45279</v>
      </c>
      <c r="J7" s="365">
        <f>SUMIF(58:58,YEAR(I7)&amp;"-"&amp;MONTH(I7),59:59)</f>
        <v>100</v>
      </c>
      <c r="K7" s="560"/>
      <c r="L7" s="2712"/>
      <c r="M7" s="2713"/>
      <c r="N7" s="2713"/>
      <c r="O7" s="2713"/>
      <c r="P7" s="3667" t="s">
        <v>1680</v>
      </c>
      <c r="Q7" s="3700"/>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2"/>
      <c r="M8" s="2713"/>
      <c r="N8" s="2713"/>
      <c r="O8" s="2713"/>
      <c r="P8" s="3667" t="s">
        <v>1683</v>
      </c>
      <c r="Q8" s="3668"/>
      <c r="R8" s="701" t="s">
        <v>14</v>
      </c>
      <c r="S8" s="702">
        <f t="shared" si="0"/>
        <v>102</v>
      </c>
      <c r="T8" s="701" t="s">
        <v>14</v>
      </c>
      <c r="U8" s="702">
        <f t="shared" si="1"/>
        <v>102</v>
      </c>
      <c r="V8" s="701" t="s">
        <v>14</v>
      </c>
      <c r="W8" s="702">
        <f t="shared" si="2"/>
        <v>102</v>
      </c>
      <c r="X8" s="703"/>
      <c r="Y8" s="3667" t="s">
        <v>1683</v>
      </c>
      <c r="Z8" s="366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4"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81" t="s">
        <v>1686</v>
      </c>
      <c r="Q9" s="1339"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28" t="s">
        <v>3413</v>
      </c>
      <c r="D10" s="127">
        <v>100</v>
      </c>
      <c r="E10" s="3428" t="s">
        <v>3413</v>
      </c>
      <c r="F10" s="376">
        <f>SUMIF(65:65,E10,66:66)-SUMIF(65:65,C10,66:66)+100</f>
        <v>100</v>
      </c>
      <c r="G10" s="3428" t="s">
        <v>3413</v>
      </c>
      <c r="H10" s="127">
        <f>SUMIF(65:65,G10,66:66)-SUMIF(65:65,C10,66:66)+100</f>
        <v>100</v>
      </c>
      <c r="I10" s="3428" t="s">
        <v>3413</v>
      </c>
      <c r="J10" s="127">
        <f>SUMIF(65:65,I10,66:66)-SUMIF(65:65,C10,66:66)+100</f>
        <v>100</v>
      </c>
      <c r="K10" s="560"/>
      <c r="L10" s="2714"/>
      <c r="M10" s="2715"/>
      <c r="N10" s="2715"/>
      <c r="O10" s="2715"/>
      <c r="P10" s="3681"/>
      <c r="Q10" s="1339"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1"/>
      <c r="Q11" s="1339"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1"/>
      <c r="Q12" s="1339">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1"/>
      <c r="Q13" s="1339">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1"/>
      <c r="Q14" s="1339">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17"/>
      <c r="M15" s="2711"/>
      <c r="N15" s="2711"/>
      <c r="O15" s="2711"/>
      <c r="P15" s="3701" t="s">
        <v>1691</v>
      </c>
      <c r="Q15" s="1348" t="str">
        <f t="shared" si="6"/>
        <v>商业繁华度</v>
      </c>
      <c r="R15" s="705" t="s">
        <v>14</v>
      </c>
      <c r="S15" s="706">
        <f t="shared" si="0"/>
        <v>100</v>
      </c>
      <c r="T15" s="705" t="s">
        <v>14</v>
      </c>
      <c r="U15" s="706">
        <f t="shared" si="1"/>
        <v>100</v>
      </c>
      <c r="V15" s="705" t="s">
        <v>14</v>
      </c>
      <c r="W15" s="706">
        <f t="shared" si="2"/>
        <v>97</v>
      </c>
      <c r="X15" s="1351"/>
      <c r="Y15" s="3703" t="s">
        <v>1691</v>
      </c>
      <c r="Z15" s="1352" t="str">
        <f t="shared" si="7"/>
        <v>商业繁华度</v>
      </c>
      <c r="AA15" s="1349">
        <f t="shared" si="3"/>
        <v>1</v>
      </c>
      <c r="AB15" s="1349">
        <f t="shared" si="4"/>
        <v>1</v>
      </c>
      <c r="AC15" s="1349">
        <f t="shared" si="5"/>
        <v>1.0309278350515463</v>
      </c>
    </row>
    <row r="16" spans="1:29" ht="15">
      <c r="A16" s="379"/>
      <c r="B16" s="397"/>
      <c r="C16" s="398" t="s">
        <v>3396</v>
      </c>
      <c r="D16" s="399"/>
      <c r="E16" s="398" t="s">
        <v>3396</v>
      </c>
      <c r="F16" s="400"/>
      <c r="G16" s="398" t="s">
        <v>3396</v>
      </c>
      <c r="H16" s="401"/>
      <c r="I16" s="398" t="s">
        <v>3397</v>
      </c>
      <c r="J16" s="399"/>
      <c r="K16" s="564"/>
      <c r="L16" s="2717"/>
      <c r="M16" s="2711"/>
      <c r="N16" s="2711"/>
      <c r="O16" s="2711"/>
      <c r="P16" s="3702"/>
      <c r="Q16" s="1348"/>
      <c r="R16" s="705"/>
      <c r="S16" s="706"/>
      <c r="T16" s="705"/>
      <c r="U16" s="706"/>
      <c r="V16" s="705"/>
      <c r="W16" s="706"/>
      <c r="X16" s="1351"/>
      <c r="Y16" s="3704"/>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7"/>
      <c r="M17" s="2711"/>
      <c r="N17" s="2711"/>
      <c r="O17" s="2711"/>
      <c r="P17" s="3702"/>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349">
        <f t="shared" si="5"/>
        <v>1</v>
      </c>
    </row>
    <row r="18" spans="1:29" ht="15">
      <c r="A18" s="379"/>
      <c r="B18" s="407"/>
      <c r="C18" s="1897" t="s">
        <v>3396</v>
      </c>
      <c r="D18" s="401"/>
      <c r="E18" s="1897" t="s">
        <v>3396</v>
      </c>
      <c r="F18" s="404"/>
      <c r="G18" s="1898" t="s">
        <v>3396</v>
      </c>
      <c r="H18" s="399"/>
      <c r="I18" s="1898" t="s">
        <v>3396</v>
      </c>
      <c r="J18" s="399"/>
      <c r="K18" s="564"/>
      <c r="L18" s="2717"/>
      <c r="M18" s="2711"/>
      <c r="N18" s="2711"/>
      <c r="O18" s="2711"/>
      <c r="P18" s="3702"/>
      <c r="Q18" s="1348"/>
      <c r="R18" s="705"/>
      <c r="S18" s="706"/>
      <c r="T18" s="705"/>
      <c r="U18" s="706"/>
      <c r="V18" s="705"/>
      <c r="W18" s="706"/>
      <c r="X18" s="1351"/>
      <c r="Y18" s="3704"/>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02"/>
      <c r="Q19" s="1348" t="str">
        <f>B19</f>
        <v>公共配套设施</v>
      </c>
      <c r="R19" s="705" t="s">
        <v>14</v>
      </c>
      <c r="S19" s="706">
        <f>F19</f>
        <v>100</v>
      </c>
      <c r="T19" s="705" t="s">
        <v>14</v>
      </c>
      <c r="U19" s="706">
        <f>H19</f>
        <v>100</v>
      </c>
      <c r="V19" s="705" t="s">
        <v>14</v>
      </c>
      <c r="W19" s="706">
        <f>J19</f>
        <v>100</v>
      </c>
      <c r="X19" s="1351"/>
      <c r="Y19" s="3704"/>
      <c r="Z19" s="1352" t="str">
        <f>Q19</f>
        <v>公共配套设施</v>
      </c>
      <c r="AA19" s="1349">
        <f t="shared" si="3"/>
        <v>1</v>
      </c>
      <c r="AB19" s="1349">
        <f t="shared" si="4"/>
        <v>1</v>
      </c>
      <c r="AC19" s="1349">
        <f t="shared" si="5"/>
        <v>1</v>
      </c>
    </row>
    <row r="20" spans="1:29" ht="15">
      <c r="A20" s="379"/>
      <c r="B20" s="407"/>
      <c r="C20" s="398" t="s">
        <v>3396</v>
      </c>
      <c r="D20" s="399"/>
      <c r="E20" s="398" t="s">
        <v>3396</v>
      </c>
      <c r="F20" s="400"/>
      <c r="G20" s="1893" t="s">
        <v>3396</v>
      </c>
      <c r="H20" s="399"/>
      <c r="I20" s="1893" t="s">
        <v>3396</v>
      </c>
      <c r="J20" s="399"/>
      <c r="K20" s="564"/>
      <c r="L20" s="2717"/>
      <c r="M20" s="2711"/>
      <c r="N20" s="2711"/>
      <c r="O20" s="2711"/>
      <c r="P20" s="3702"/>
      <c r="Q20" s="1348"/>
      <c r="R20" s="705"/>
      <c r="S20" s="706"/>
      <c r="T20" s="705"/>
      <c r="U20" s="706"/>
      <c r="V20" s="705"/>
      <c r="W20" s="706"/>
      <c r="X20" s="1351"/>
      <c r="Y20" s="3704"/>
      <c r="Z20" s="1352"/>
      <c r="AA20" s="1349">
        <v>1</v>
      </c>
      <c r="AB20" s="1349">
        <v>1</v>
      </c>
      <c r="AC20" s="1349">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02"/>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349">
        <f t="shared" ref="AC21" si="10">D21/J21</f>
        <v>1</v>
      </c>
    </row>
    <row r="22" spans="1:29" ht="15">
      <c r="A22" s="379"/>
      <c r="B22" s="1127"/>
      <c r="C22" s="1897" t="s">
        <v>3425</v>
      </c>
      <c r="D22" s="399"/>
      <c r="E22" s="1897" t="s">
        <v>3425</v>
      </c>
      <c r="F22" s="400"/>
      <c r="G22" s="1897" t="s">
        <v>3425</v>
      </c>
      <c r="H22" s="399"/>
      <c r="I22" s="1897" t="s">
        <v>3425</v>
      </c>
      <c r="J22" s="399"/>
      <c r="K22" s="1126"/>
      <c r="L22" s="2717"/>
      <c r="M22" s="2711"/>
      <c r="N22" s="2711"/>
      <c r="O22" s="2711"/>
      <c r="P22" s="3702"/>
      <c r="Q22" s="1348"/>
      <c r="R22" s="705"/>
      <c r="S22" s="706"/>
      <c r="T22" s="705"/>
      <c r="U22" s="706"/>
      <c r="V22" s="705"/>
      <c r="W22" s="706"/>
      <c r="X22" s="1351"/>
      <c r="Y22" s="3704"/>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02"/>
      <c r="Q23" s="1348" t="str">
        <f>B23</f>
        <v>自然及人文环境</v>
      </c>
      <c r="R23" s="705" t="s">
        <v>14</v>
      </c>
      <c r="S23" s="706">
        <f>F23</f>
        <v>100</v>
      </c>
      <c r="T23" s="705" t="s">
        <v>14</v>
      </c>
      <c r="U23" s="706">
        <f>H23</f>
        <v>100</v>
      </c>
      <c r="V23" s="705" t="s">
        <v>14</v>
      </c>
      <c r="W23" s="706">
        <f>J23</f>
        <v>100</v>
      </c>
      <c r="X23" s="1351"/>
      <c r="Y23" s="3704"/>
      <c r="Z23" s="1352" t="str">
        <f>Q23</f>
        <v>自然及人文环境</v>
      </c>
      <c r="AA23" s="1349">
        <f t="shared" si="3"/>
        <v>1</v>
      </c>
      <c r="AB23" s="1349">
        <f t="shared" si="4"/>
        <v>1</v>
      </c>
      <c r="AC23" s="1349">
        <f t="shared" si="5"/>
        <v>1</v>
      </c>
    </row>
    <row r="24" spans="1:29" ht="15">
      <c r="A24" s="379"/>
      <c r="B24" s="407"/>
      <c r="C24" s="398" t="s">
        <v>3396</v>
      </c>
      <c r="D24" s="399"/>
      <c r="E24" s="398" t="s">
        <v>3396</v>
      </c>
      <c r="F24" s="400"/>
      <c r="G24" s="398" t="s">
        <v>3396</v>
      </c>
      <c r="H24" s="399"/>
      <c r="I24" s="398" t="s">
        <v>3396</v>
      </c>
      <c r="J24" s="399"/>
      <c r="K24" s="564"/>
      <c r="L24" s="2717"/>
      <c r="M24" s="2711"/>
      <c r="N24" s="2711"/>
      <c r="O24" s="2711"/>
      <c r="P24" s="3702"/>
      <c r="Q24" s="1348"/>
      <c r="R24" s="705"/>
      <c r="S24" s="706"/>
      <c r="T24" s="705"/>
      <c r="U24" s="706"/>
      <c r="V24" s="705"/>
      <c r="W24" s="706"/>
      <c r="X24" s="1351"/>
      <c r="Y24" s="3704"/>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17"/>
      <c r="M25" s="2711"/>
      <c r="N25" s="2711"/>
      <c r="O25" s="2711"/>
      <c r="P25" s="3702"/>
      <c r="Q25" s="1348" t="str">
        <f t="shared" ref="Q25:Q46" si="11">B25</f>
        <v>临街状况</v>
      </c>
      <c r="R25" s="705" t="s">
        <v>14</v>
      </c>
      <c r="S25" s="706">
        <f>F25</f>
        <v>100</v>
      </c>
      <c r="T25" s="705" t="s">
        <v>14</v>
      </c>
      <c r="U25" s="706">
        <f>H25</f>
        <v>100</v>
      </c>
      <c r="V25" s="705" t="s">
        <v>14</v>
      </c>
      <c r="W25" s="706">
        <f>J25</f>
        <v>100</v>
      </c>
      <c r="X25" s="1351"/>
      <c r="Y25" s="3704"/>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2"/>
      <c r="Q26" s="1348" t="str">
        <f t="shared" si="11"/>
        <v>平面位置/可视性</v>
      </c>
      <c r="R26" s="705" t="s">
        <v>14</v>
      </c>
      <c r="S26" s="706">
        <f>F26</f>
        <v>100</v>
      </c>
      <c r="T26" s="705" t="s">
        <v>14</v>
      </c>
      <c r="U26" s="706">
        <f>H26</f>
        <v>100</v>
      </c>
      <c r="V26" s="705" t="s">
        <v>14</v>
      </c>
      <c r="W26" s="706">
        <f>J26</f>
        <v>100</v>
      </c>
      <c r="X26" s="1351"/>
      <c r="Y26" s="3704"/>
      <c r="Z26" s="1352" t="str">
        <f>Q26</f>
        <v>平面位置/可视性</v>
      </c>
      <c r="AA26" s="1349">
        <f t="shared" si="3"/>
        <v>1</v>
      </c>
      <c r="AB26" s="1349">
        <f t="shared" si="4"/>
        <v>1</v>
      </c>
      <c r="AC26" s="1349">
        <f t="shared" si="5"/>
        <v>1</v>
      </c>
    </row>
    <row r="27" spans="1:29" s="108" customFormat="1" ht="15">
      <c r="A27" s="382"/>
      <c r="B27" s="402" t="s">
        <v>1782</v>
      </c>
      <c r="C27" s="1952" t="s">
        <v>3415</v>
      </c>
      <c r="D27" s="413">
        <v>100</v>
      </c>
      <c r="E27" s="1952" t="s">
        <v>3415</v>
      </c>
      <c r="F27" s="415">
        <f>SUMIF(90:90,E27,91:91)-SUMIF(90:90,C27,91:91)+100</f>
        <v>100</v>
      </c>
      <c r="G27" s="1952" t="s">
        <v>3415</v>
      </c>
      <c r="H27" s="413">
        <f>SUMIF(90:90,G27,91:91)-SUMIF(90:90,C27,91:91)+100</f>
        <v>100</v>
      </c>
      <c r="I27" s="398" t="s">
        <v>3397</v>
      </c>
      <c r="J27" s="413">
        <f>SUMIF(90:90,I27,91:91)-SUMIF(90:90,C27,91:91)+100</f>
        <v>97</v>
      </c>
      <c r="K27" s="561">
        <v>3</v>
      </c>
      <c r="L27" s="2712"/>
      <c r="M27" s="2713"/>
      <c r="N27" s="2713"/>
      <c r="O27" s="2713"/>
      <c r="P27" s="3702"/>
      <c r="Q27" s="1339" t="str">
        <f t="shared" si="11"/>
        <v>人流量</v>
      </c>
      <c r="R27" s="701" t="s">
        <v>14</v>
      </c>
      <c r="S27" s="702">
        <f>F27</f>
        <v>100</v>
      </c>
      <c r="T27" s="701" t="s">
        <v>14</v>
      </c>
      <c r="U27" s="702">
        <f>H27</f>
        <v>100</v>
      </c>
      <c r="V27" s="701" t="s">
        <v>14</v>
      </c>
      <c r="W27" s="702">
        <f>J27</f>
        <v>97</v>
      </c>
      <c r="X27" s="703"/>
      <c r="Y27" s="3704"/>
      <c r="Z27" s="52" t="str">
        <f>Q27</f>
        <v>人流量</v>
      </c>
      <c r="AA27" s="1349">
        <f>D27/F27</f>
        <v>1</v>
      </c>
      <c r="AB27" s="1349">
        <f>D27/H27</f>
        <v>1</v>
      </c>
      <c r="AC27" s="1349">
        <f>D27/J27</f>
        <v>1.0309278350515463</v>
      </c>
    </row>
    <row r="28" spans="1:29" ht="15">
      <c r="A28" s="379"/>
      <c r="B28" s="375" t="s">
        <v>1783</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17"/>
      <c r="M28" s="2711"/>
      <c r="N28" s="2711"/>
      <c r="O28" s="2711"/>
      <c r="P28" s="3702"/>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04"/>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2"/>
      <c r="Q29" s="1348">
        <f t="shared" si="11"/>
        <v>111</v>
      </c>
      <c r="R29" s="705" t="s">
        <v>14</v>
      </c>
      <c r="S29" s="706">
        <f t="shared" si="12"/>
        <v>100</v>
      </c>
      <c r="T29" s="705" t="s">
        <v>14</v>
      </c>
      <c r="U29" s="706">
        <f t="shared" si="13"/>
        <v>100</v>
      </c>
      <c r="V29" s="705" t="s">
        <v>14</v>
      </c>
      <c r="W29" s="706">
        <f t="shared" si="14"/>
        <v>100</v>
      </c>
      <c r="X29" s="1351"/>
      <c r="Y29" s="3704"/>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2"/>
      <c r="Q30" s="1348">
        <f t="shared" si="11"/>
        <v>111</v>
      </c>
      <c r="R30" s="705" t="s">
        <v>14</v>
      </c>
      <c r="S30" s="706">
        <f t="shared" si="12"/>
        <v>100</v>
      </c>
      <c r="T30" s="705" t="s">
        <v>14</v>
      </c>
      <c r="U30" s="706">
        <f t="shared" si="13"/>
        <v>100</v>
      </c>
      <c r="V30" s="705" t="s">
        <v>14</v>
      </c>
      <c r="W30" s="706">
        <f t="shared" si="14"/>
        <v>100</v>
      </c>
      <c r="X30" s="1351"/>
      <c r="Y30" s="3704"/>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2"/>
      <c r="Q31" s="1348">
        <f t="shared" si="11"/>
        <v>111</v>
      </c>
      <c r="R31" s="705" t="s">
        <v>14</v>
      </c>
      <c r="S31" s="706">
        <f t="shared" si="12"/>
        <v>100</v>
      </c>
      <c r="T31" s="705" t="s">
        <v>14</v>
      </c>
      <c r="U31" s="706">
        <f t="shared" si="13"/>
        <v>100</v>
      </c>
      <c r="V31" s="705" t="s">
        <v>14</v>
      </c>
      <c r="W31" s="706">
        <f t="shared" si="14"/>
        <v>100</v>
      </c>
      <c r="X31" s="1351"/>
      <c r="Y31" s="3704"/>
      <c r="Z31" s="1352">
        <f t="shared" si="15"/>
        <v>111</v>
      </c>
      <c r="AA31" s="1349">
        <f t="shared" si="3"/>
        <v>1</v>
      </c>
      <c r="AB31" s="1349">
        <f t="shared" si="4"/>
        <v>1</v>
      </c>
      <c r="AC31" s="1349">
        <f t="shared" si="5"/>
        <v>1</v>
      </c>
    </row>
    <row r="32" spans="1:29" ht="15">
      <c r="A32" s="391" t="s">
        <v>1694</v>
      </c>
      <c r="B32" s="63" t="s">
        <v>1784</v>
      </c>
      <c r="C32" s="1906" t="s">
        <v>3424</v>
      </c>
      <c r="D32" s="418">
        <v>100</v>
      </c>
      <c r="E32" s="1906" t="s">
        <v>3424</v>
      </c>
      <c r="F32" s="412">
        <f>SUMIF(100:100,E32,101:101)-SUMIF(100:100,C32,101:101)+100</f>
        <v>100</v>
      </c>
      <c r="G32" s="1906" t="s">
        <v>3424</v>
      </c>
      <c r="H32" s="386">
        <f>SUMIF(100:100,G32,101:101)-SUMIF(100:100,C32,101:101)+100</f>
        <v>100</v>
      </c>
      <c r="I32" s="1906" t="s">
        <v>3424</v>
      </c>
      <c r="J32" s="418">
        <f>SUMIF(100:100,I32,101:101)-SUMIF(100:100,C32,101:101)+100</f>
        <v>100</v>
      </c>
      <c r="K32" s="561">
        <v>1</v>
      </c>
      <c r="L32" s="2717"/>
      <c r="M32" s="2711"/>
      <c r="N32" s="2711"/>
      <c r="O32" s="2711"/>
      <c r="P32" s="3705" t="s">
        <v>1696</v>
      </c>
      <c r="Q32" s="1348" t="str">
        <f t="shared" si="11"/>
        <v>商业类型</v>
      </c>
      <c r="R32" s="705" t="s">
        <v>14</v>
      </c>
      <c r="S32" s="706">
        <f t="shared" si="12"/>
        <v>100</v>
      </c>
      <c r="T32" s="705" t="s">
        <v>14</v>
      </c>
      <c r="U32" s="706">
        <f t="shared" si="13"/>
        <v>100</v>
      </c>
      <c r="V32" s="705" t="s">
        <v>14</v>
      </c>
      <c r="W32" s="706">
        <f t="shared" si="14"/>
        <v>100</v>
      </c>
      <c r="X32" s="1351"/>
      <c r="Y32" s="3708" t="s">
        <v>1696</v>
      </c>
      <c r="Z32" s="1352" t="str">
        <f t="shared" si="15"/>
        <v>商业类型</v>
      </c>
      <c r="AA32" s="1349">
        <f t="shared" si="3"/>
        <v>1</v>
      </c>
      <c r="AB32" s="1349">
        <f t="shared" si="4"/>
        <v>1</v>
      </c>
      <c r="AC32" s="1349">
        <f t="shared" si="5"/>
        <v>1</v>
      </c>
    </row>
    <row r="33" spans="1:29" s="422" customFormat="1" ht="15">
      <c r="A33" s="419"/>
      <c r="B33" s="375" t="s">
        <v>1697</v>
      </c>
      <c r="C33" s="420">
        <f>'数据-基础表'!I13</f>
        <v>3129.11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6"/>
      <c r="M33" s="2718"/>
      <c r="N33" s="2718"/>
      <c r="O33" s="2718"/>
      <c r="P33" s="3706"/>
      <c r="Q33" s="707" t="str">
        <f t="shared" si="11"/>
        <v>项目建筑规模</v>
      </c>
      <c r="R33" s="708" t="s">
        <v>14</v>
      </c>
      <c r="S33" s="709">
        <f t="shared" si="12"/>
        <v>104</v>
      </c>
      <c r="T33" s="708" t="s">
        <v>14</v>
      </c>
      <c r="U33" s="709">
        <f t="shared" si="13"/>
        <v>104</v>
      </c>
      <c r="V33" s="708" t="s">
        <v>14</v>
      </c>
      <c r="W33" s="709">
        <f t="shared" si="14"/>
        <v>106</v>
      </c>
      <c r="X33" s="710"/>
      <c r="Y33" s="3708"/>
      <c r="Z33" s="711" t="str">
        <f t="shared" si="15"/>
        <v>项目建筑规模</v>
      </c>
      <c r="AA33" s="1349">
        <f t="shared" si="3"/>
        <v>0.96153846153846156</v>
      </c>
      <c r="AB33" s="1349">
        <f t="shared" si="4"/>
        <v>0.96153846153846156</v>
      </c>
      <c r="AC33" s="1349">
        <f t="shared" si="5"/>
        <v>0.94339622641509435</v>
      </c>
    </row>
    <row r="34" spans="1:29" ht="15">
      <c r="A34" s="423"/>
      <c r="B34" s="375" t="s">
        <v>1698</v>
      </c>
      <c r="C34" s="1908" t="s">
        <v>3401</v>
      </c>
      <c r="D34" s="386">
        <v>100</v>
      </c>
      <c r="E34" s="1908" t="s">
        <v>3401</v>
      </c>
      <c r="F34" s="412">
        <f>SUMIF(105:105,E34,106:106)-SUMIF(105:105,C34,106:106)+100</f>
        <v>100</v>
      </c>
      <c r="G34" s="1908" t="s">
        <v>3401</v>
      </c>
      <c r="H34" s="386">
        <f>SUMIF(105:105,G34,106:106)-SUMIF(105:105,C34,106:106)+100</f>
        <v>100</v>
      </c>
      <c r="I34" s="1908" t="s">
        <v>3401</v>
      </c>
      <c r="J34" s="386">
        <f>SUMIF(105:105,I34,106:106)-SUMIF(105:105,C34,106:106)+100</f>
        <v>100</v>
      </c>
      <c r="K34" s="561">
        <v>2</v>
      </c>
      <c r="L34" s="2717"/>
      <c r="M34" s="2711"/>
      <c r="N34" s="2711"/>
      <c r="O34" s="2711"/>
      <c r="P34" s="3706"/>
      <c r="Q34" s="1348" t="str">
        <f t="shared" si="11"/>
        <v>建筑结构</v>
      </c>
      <c r="R34" s="705" t="s">
        <v>14</v>
      </c>
      <c r="S34" s="706">
        <f t="shared" si="12"/>
        <v>100</v>
      </c>
      <c r="T34" s="705" t="s">
        <v>14</v>
      </c>
      <c r="U34" s="706">
        <f t="shared" si="13"/>
        <v>100</v>
      </c>
      <c r="V34" s="705" t="s">
        <v>14</v>
      </c>
      <c r="W34" s="706">
        <f t="shared" si="14"/>
        <v>100</v>
      </c>
      <c r="X34" s="1351"/>
      <c r="Y34" s="3708"/>
      <c r="Z34" s="1352" t="str">
        <f t="shared" si="15"/>
        <v>建筑结构</v>
      </c>
      <c r="AA34" s="1349">
        <f t="shared" si="3"/>
        <v>1</v>
      </c>
      <c r="AB34" s="1349">
        <f t="shared" si="4"/>
        <v>1</v>
      </c>
      <c r="AC34" s="1349">
        <f t="shared" si="5"/>
        <v>1</v>
      </c>
    </row>
    <row r="35" spans="1:29" ht="15">
      <c r="A35" s="423"/>
      <c r="B35" s="375" t="s">
        <v>1785</v>
      </c>
      <c r="C35" s="1902" t="s">
        <v>3411</v>
      </c>
      <c r="D35" s="386">
        <v>100</v>
      </c>
      <c r="E35" s="1902" t="s">
        <v>3411</v>
      </c>
      <c r="F35" s="412">
        <f>SUMIF(107:107,E35,108:108)-SUMIF(107:107,C35,108:108)+100</f>
        <v>100</v>
      </c>
      <c r="G35" s="1902" t="s">
        <v>3411</v>
      </c>
      <c r="H35" s="386">
        <f>SUMIF(107:107,G35,108:108)-SUMIF(107:107,C35,108:108)+100</f>
        <v>100</v>
      </c>
      <c r="I35" s="1902" t="s">
        <v>3411</v>
      </c>
      <c r="J35" s="386">
        <f>SUMIF(107:107,I35,108:108)-SUMIF(107:107,C35,108:108)+100</f>
        <v>100</v>
      </c>
      <c r="K35" s="561">
        <v>2</v>
      </c>
      <c r="L35" s="2717"/>
      <c r="M35" s="2711"/>
      <c r="N35" s="2711"/>
      <c r="O35" s="2711"/>
      <c r="P35" s="3706"/>
      <c r="Q35" s="1348" t="str">
        <f t="shared" si="11"/>
        <v>公共部分装修</v>
      </c>
      <c r="R35" s="705" t="s">
        <v>14</v>
      </c>
      <c r="S35" s="706">
        <f t="shared" si="12"/>
        <v>100</v>
      </c>
      <c r="T35" s="705" t="s">
        <v>14</v>
      </c>
      <c r="U35" s="706">
        <f t="shared" si="13"/>
        <v>100</v>
      </c>
      <c r="V35" s="705" t="s">
        <v>14</v>
      </c>
      <c r="W35" s="706">
        <f t="shared" si="14"/>
        <v>100</v>
      </c>
      <c r="X35" s="1351"/>
      <c r="Y35" s="3708"/>
      <c r="Z35" s="1352" t="str">
        <f t="shared" si="15"/>
        <v>公共部分装修</v>
      </c>
      <c r="AA35" s="1349">
        <f t="shared" si="3"/>
        <v>1</v>
      </c>
      <c r="AB35" s="1349">
        <f t="shared" si="4"/>
        <v>1</v>
      </c>
      <c r="AC35" s="1349">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17"/>
      <c r="M36" s="2711"/>
      <c r="N36" s="2711"/>
      <c r="O36" s="2711"/>
      <c r="P36" s="3706"/>
      <c r="Q36" s="1348" t="str">
        <f t="shared" si="11"/>
        <v>成新度</v>
      </c>
      <c r="R36" s="705" t="s">
        <v>14</v>
      </c>
      <c r="S36" s="706">
        <f t="shared" si="12"/>
        <v>100</v>
      </c>
      <c r="T36" s="705" t="s">
        <v>14</v>
      </c>
      <c r="U36" s="706">
        <f t="shared" si="13"/>
        <v>100</v>
      </c>
      <c r="V36" s="705" t="s">
        <v>14</v>
      </c>
      <c r="W36" s="706">
        <f t="shared" si="14"/>
        <v>100</v>
      </c>
      <c r="X36" s="1351"/>
      <c r="Y36" s="3708"/>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06"/>
      <c r="Q37" s="1339"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2" t="s">
        <v>3427</v>
      </c>
      <c r="D38" s="386">
        <v>100</v>
      </c>
      <c r="E38" s="1902" t="s">
        <v>3427</v>
      </c>
      <c r="F38" s="412">
        <f>SUMIF(114:114,E38,115:115)-SUMIF(114:114,C38,115:115)+100</f>
        <v>100</v>
      </c>
      <c r="G38" s="1902" t="s">
        <v>3427</v>
      </c>
      <c r="H38" s="386">
        <f>SUMIF(114:114,G38,115:115)-SUMIF(114:114,C38,115:115)+100</f>
        <v>100</v>
      </c>
      <c r="I38" s="1902" t="s">
        <v>3427</v>
      </c>
      <c r="J38" s="386">
        <f>SUMIF(114:114,I38,115:115)-SUMIF(114:114,C38,115:115)+100</f>
        <v>100</v>
      </c>
      <c r="K38" s="561">
        <v>10</v>
      </c>
      <c r="L38" s="2717"/>
      <c r="M38" s="2711"/>
      <c r="N38" s="2711"/>
      <c r="O38" s="2711"/>
      <c r="P38" s="3706" t="s">
        <v>1696</v>
      </c>
      <c r="Q38" s="1348" t="str">
        <f t="shared" si="11"/>
        <v>业态</v>
      </c>
      <c r="R38" s="705" t="s">
        <v>14</v>
      </c>
      <c r="S38" s="706">
        <f t="shared" si="12"/>
        <v>100</v>
      </c>
      <c r="T38" s="705" t="s">
        <v>14</v>
      </c>
      <c r="U38" s="706">
        <f t="shared" si="13"/>
        <v>100</v>
      </c>
      <c r="V38" s="705" t="s">
        <v>14</v>
      </c>
      <c r="W38" s="706">
        <f t="shared" si="14"/>
        <v>100</v>
      </c>
      <c r="X38" s="1351"/>
      <c r="Y38" s="3708" t="s">
        <v>1696</v>
      </c>
      <c r="Z38" s="1352" t="str">
        <f t="shared" si="15"/>
        <v>业态</v>
      </c>
      <c r="AA38" s="1349">
        <f t="shared" si="3"/>
        <v>1</v>
      </c>
      <c r="AB38" s="1349">
        <f t="shared" si="4"/>
        <v>1</v>
      </c>
      <c r="AC38" s="1349">
        <f t="shared" si="5"/>
        <v>1</v>
      </c>
    </row>
    <row r="39" spans="1:29" ht="15">
      <c r="A39" s="423"/>
      <c r="B39" s="375" t="s">
        <v>1789</v>
      </c>
      <c r="C39" s="1902" t="s">
        <v>3431</v>
      </c>
      <c r="D39" s="386">
        <v>100</v>
      </c>
      <c r="E39" s="1902" t="s">
        <v>3442</v>
      </c>
      <c r="F39" s="412">
        <f>SUMIF(116:116,E39,117:117)-SUMIF(116:116,C39,117:117)+100</f>
        <v>110</v>
      </c>
      <c r="G39" s="1902" t="s">
        <v>3431</v>
      </c>
      <c r="H39" s="386">
        <f>SUMIF(116:116,G39,117:117)-SUMIF(116:116,C39,117:117)+100</f>
        <v>100</v>
      </c>
      <c r="I39" s="1902" t="s">
        <v>3431</v>
      </c>
      <c r="J39" s="386">
        <f>SUMIF(116:116,I39,117:117)-SUMIF(116:116,C39,117:117)+100</f>
        <v>100</v>
      </c>
      <c r="K39" s="561">
        <v>10</v>
      </c>
      <c r="L39" s="2717"/>
      <c r="M39" s="2711"/>
      <c r="N39" s="2711"/>
      <c r="O39" s="2711"/>
      <c r="P39" s="3706"/>
      <c r="Q39" s="1348" t="str">
        <f t="shared" si="11"/>
        <v>层高</v>
      </c>
      <c r="R39" s="705" t="s">
        <v>14</v>
      </c>
      <c r="S39" s="706">
        <f t="shared" si="12"/>
        <v>110</v>
      </c>
      <c r="T39" s="705" t="s">
        <v>14</v>
      </c>
      <c r="U39" s="706">
        <f t="shared" si="13"/>
        <v>100</v>
      </c>
      <c r="V39" s="705" t="s">
        <v>14</v>
      </c>
      <c r="W39" s="706">
        <f t="shared" si="14"/>
        <v>100</v>
      </c>
      <c r="X39" s="1351"/>
      <c r="Y39" s="3708"/>
      <c r="Z39" s="1352" t="str">
        <f t="shared" si="15"/>
        <v>层高</v>
      </c>
      <c r="AA39" s="1349">
        <f t="shared" si="3"/>
        <v>0.90909090909090906</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6"/>
      <c r="Q40" s="1348" t="str">
        <f t="shared" si="11"/>
        <v>单套建筑面积</v>
      </c>
      <c r="R40" s="705" t="s">
        <v>14</v>
      </c>
      <c r="S40" s="706">
        <f t="shared" si="12"/>
        <v>100</v>
      </c>
      <c r="T40" s="705" t="s">
        <v>14</v>
      </c>
      <c r="U40" s="706">
        <f t="shared" si="13"/>
        <v>100</v>
      </c>
      <c r="V40" s="705" t="s">
        <v>14</v>
      </c>
      <c r="W40" s="706">
        <f t="shared" si="14"/>
        <v>100</v>
      </c>
      <c r="X40" s="1351"/>
      <c r="Y40" s="3708"/>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49">
        <f t="shared" si="3"/>
        <v>1</v>
      </c>
      <c r="AB41" s="1349">
        <f t="shared" si="4"/>
        <v>1</v>
      </c>
      <c r="AC41" s="1349">
        <f t="shared" si="5"/>
        <v>1</v>
      </c>
    </row>
    <row r="42" spans="1:29" ht="15">
      <c r="A42" s="423"/>
      <c r="B42" s="375" t="s">
        <v>1792</v>
      </c>
      <c r="C42" s="1902" t="s">
        <v>3434</v>
      </c>
      <c r="D42" s="386">
        <v>100</v>
      </c>
      <c r="E42" s="1902" t="s">
        <v>3434</v>
      </c>
      <c r="F42" s="412">
        <f>SUMIF(122:122,E42,123:123)-SUMIF(122:122,C42,123:123)+100</f>
        <v>100</v>
      </c>
      <c r="G42" s="1902" t="s">
        <v>3436</v>
      </c>
      <c r="H42" s="386">
        <f>SUMIF(122:122,G42,123:123)-SUMIF(122:122,C42,123:123)+100</f>
        <v>98</v>
      </c>
      <c r="I42" s="1902" t="s">
        <v>3434</v>
      </c>
      <c r="J42" s="386">
        <f>SUMIF(122:122,I42,123:123)-SUMIF(122:122,C42,123:123)+100</f>
        <v>100</v>
      </c>
      <c r="K42" s="561">
        <v>2</v>
      </c>
      <c r="L42" s="2717"/>
      <c r="M42" s="2711"/>
      <c r="N42" s="2711"/>
      <c r="O42" s="2711"/>
      <c r="P42" s="3706"/>
      <c r="Q42" s="1348" t="str">
        <f t="shared" si="11"/>
        <v>内部装修</v>
      </c>
      <c r="R42" s="705" t="s">
        <v>14</v>
      </c>
      <c r="S42" s="706">
        <f t="shared" si="12"/>
        <v>100</v>
      </c>
      <c r="T42" s="705" t="s">
        <v>14</v>
      </c>
      <c r="U42" s="706">
        <f t="shared" si="13"/>
        <v>98</v>
      </c>
      <c r="V42" s="705" t="s">
        <v>14</v>
      </c>
      <c r="W42" s="706">
        <f t="shared" si="14"/>
        <v>100</v>
      </c>
      <c r="X42" s="1351"/>
      <c r="Y42" s="3708"/>
      <c r="Z42" s="1352" t="str">
        <f t="shared" si="15"/>
        <v>内部装修</v>
      </c>
      <c r="AA42" s="1349">
        <f t="shared" si="3"/>
        <v>1</v>
      </c>
      <c r="AB42" s="1349">
        <f t="shared" si="4"/>
        <v>1.0204081632653061</v>
      </c>
      <c r="AC42" s="1349">
        <f t="shared" si="5"/>
        <v>1</v>
      </c>
    </row>
    <row r="43" spans="1:29" ht="15">
      <c r="A43" s="423"/>
      <c r="B43" s="375" t="s">
        <v>1707</v>
      </c>
      <c r="C43" s="1902" t="s">
        <v>3396</v>
      </c>
      <c r="D43" s="386">
        <v>100</v>
      </c>
      <c r="E43" s="1902" t="s">
        <v>3396</v>
      </c>
      <c r="F43" s="412">
        <f>SUMIF(124:124,E43,125:125)-SUMIF(124:124,C43,125:125)+100</f>
        <v>100</v>
      </c>
      <c r="G43" s="1902" t="s">
        <v>3396</v>
      </c>
      <c r="H43" s="386">
        <f>SUMIF(124:124,G43,125:125)-SUMIF(124:124,C43,125:125)+100</f>
        <v>100</v>
      </c>
      <c r="I43" s="1902" t="s">
        <v>3396</v>
      </c>
      <c r="J43" s="386">
        <f>SUMIF(124:124,I43,125:125)-SUMIF(124:124,C43,125:125)+100</f>
        <v>100</v>
      </c>
      <c r="K43" s="561">
        <v>2</v>
      </c>
      <c r="L43" s="2717"/>
      <c r="M43" s="2711"/>
      <c r="N43" s="2711"/>
      <c r="O43" s="2711"/>
      <c r="P43" s="3706"/>
      <c r="Q43" s="1348" t="str">
        <f t="shared" si="11"/>
        <v>内部装修维护情况</v>
      </c>
      <c r="R43" s="705" t="s">
        <v>14</v>
      </c>
      <c r="S43" s="706">
        <f t="shared" si="12"/>
        <v>100</v>
      </c>
      <c r="T43" s="705" t="s">
        <v>14</v>
      </c>
      <c r="U43" s="706">
        <f t="shared" si="13"/>
        <v>100</v>
      </c>
      <c r="V43" s="705" t="s">
        <v>14</v>
      </c>
      <c r="W43" s="706">
        <f t="shared" si="14"/>
        <v>100</v>
      </c>
      <c r="X43" s="1351"/>
      <c r="Y43" s="3708"/>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6"/>
      <c r="Q44" s="1339">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6"/>
      <c r="Q45" s="1348">
        <f t="shared" si="11"/>
        <v>111</v>
      </c>
      <c r="R45" s="705" t="s">
        <v>14</v>
      </c>
      <c r="S45" s="706">
        <f t="shared" si="12"/>
        <v>100</v>
      </c>
      <c r="T45" s="705" t="s">
        <v>14</v>
      </c>
      <c r="U45" s="706">
        <f t="shared" si="13"/>
        <v>100</v>
      </c>
      <c r="V45" s="705" t="s">
        <v>14</v>
      </c>
      <c r="W45" s="706">
        <f t="shared" si="14"/>
        <v>100</v>
      </c>
      <c r="X45" s="1351"/>
      <c r="Y45" s="3708"/>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7"/>
      <c r="Q46" s="1348">
        <f t="shared" si="11"/>
        <v>111</v>
      </c>
      <c r="R46" s="705" t="s">
        <v>14</v>
      </c>
      <c r="S46" s="706">
        <f t="shared" si="12"/>
        <v>100</v>
      </c>
      <c r="T46" s="705" t="s">
        <v>14</v>
      </c>
      <c r="U46" s="706">
        <f t="shared" si="13"/>
        <v>100</v>
      </c>
      <c r="V46" s="705" t="s">
        <v>14</v>
      </c>
      <c r="W46" s="706">
        <f t="shared" si="14"/>
        <v>100</v>
      </c>
      <c r="X46" s="1351"/>
      <c r="Y46" s="3709"/>
      <c r="Z46" s="1352">
        <f t="shared" si="15"/>
        <v>111</v>
      </c>
      <c r="AA46" s="1349">
        <f t="shared" si="3"/>
        <v>1</v>
      </c>
      <c r="AB46" s="1349">
        <f t="shared" si="4"/>
        <v>1</v>
      </c>
      <c r="AC46" s="1349">
        <f t="shared" si="5"/>
        <v>1</v>
      </c>
    </row>
    <row r="47" spans="1:29" ht="15">
      <c r="A47" s="430" t="s">
        <v>1708</v>
      </c>
      <c r="B47" s="431"/>
      <c r="C47" s="1150" t="s">
        <v>0</v>
      </c>
      <c r="D47" s="1151"/>
      <c r="E47" s="1152">
        <v>34151</v>
      </c>
      <c r="F47" s="1153"/>
      <c r="G47" s="1154">
        <v>30705</v>
      </c>
      <c r="H47" s="1155"/>
      <c r="I47" s="1152">
        <v>29922</v>
      </c>
      <c r="J47" s="1155"/>
      <c r="K47" s="714"/>
      <c r="L47" s="2719"/>
      <c r="M47" s="2720"/>
      <c r="N47" s="2711"/>
      <c r="O47" s="2720"/>
      <c r="P47" s="3710" t="str">
        <f>A47</f>
        <v>成交单价（元/平方米）</v>
      </c>
      <c r="Q47" s="3710"/>
      <c r="R47" s="3698">
        <f>E47</f>
        <v>34151</v>
      </c>
      <c r="S47" s="3698"/>
      <c r="T47" s="3698">
        <f>G47</f>
        <v>30705</v>
      </c>
      <c r="U47" s="3698"/>
      <c r="V47" s="3698">
        <f>I47</f>
        <v>29922</v>
      </c>
      <c r="W47" s="3698"/>
      <c r="X47" s="690"/>
      <c r="Y47" s="712"/>
      <c r="Z47" s="690"/>
      <c r="AA47" s="690"/>
      <c r="AB47" s="690"/>
      <c r="AC47" s="690"/>
    </row>
    <row r="48" spans="1:29" ht="15.75" thickBot="1">
      <c r="A48" s="437" t="s">
        <v>1793</v>
      </c>
      <c r="B48" s="438"/>
      <c r="C48" s="1156">
        <f>R49</f>
        <v>29405</v>
      </c>
      <c r="D48" s="2313" t="s">
        <v>2137</v>
      </c>
      <c r="E48" s="1157">
        <f>R48</f>
        <v>29267</v>
      </c>
      <c r="F48" s="2314"/>
      <c r="G48" s="1156">
        <f>T48</f>
        <v>29536</v>
      </c>
      <c r="H48" s="2314"/>
      <c r="I48" s="1157">
        <f>V48</f>
        <v>29413</v>
      </c>
      <c r="J48" s="2314"/>
      <c r="K48" s="2316">
        <f>F48+H48+J48</f>
        <v>0</v>
      </c>
      <c r="L48" s="2719"/>
      <c r="M48" s="2720"/>
      <c r="N48" s="2711"/>
      <c r="O48" s="2720"/>
      <c r="P48" s="3710" t="str">
        <f>A48</f>
        <v>比较价值（元/平方米）</v>
      </c>
      <c r="Q48" s="3710"/>
      <c r="R48" s="3711">
        <f>IF(F1="售价",ROUND(PRODUCT(R47,AA7:AA46),0),ROUND(PRODUCT(R47,AA7:AA46),1))</f>
        <v>29267</v>
      </c>
      <c r="S48" s="3711"/>
      <c r="T48" s="3711">
        <f>IF(F1="售价",ROUND(PRODUCT(T47,AB7:AB46),0),ROUND(PRODUCT(T47,AB7:AB46),1))</f>
        <v>29536</v>
      </c>
      <c r="U48" s="3711"/>
      <c r="V48" s="3711">
        <f>IF(F1="售价",ROUND(PRODUCT(V47,AC7:AC46),0),ROUND(PRODUCT(V47,AC7:AC46),1))</f>
        <v>29413</v>
      </c>
      <c r="W48" s="3711"/>
      <c r="X48" s="690"/>
      <c r="Y48" s="690"/>
      <c r="Z48" s="690"/>
      <c r="AA48" s="690"/>
      <c r="AB48" s="690"/>
      <c r="AC48" s="690"/>
    </row>
    <row r="49" spans="1:29" ht="15.75" thickBot="1">
      <c r="A49" s="441" t="s">
        <v>1794</v>
      </c>
      <c r="B49" s="442"/>
      <c r="C49" s="1159">
        <f>R49</f>
        <v>29405</v>
      </c>
      <c r="D49" s="1159"/>
      <c r="E49" s="1159"/>
      <c r="F49" s="1159"/>
      <c r="G49" s="1159"/>
      <c r="H49" s="1159"/>
      <c r="I49" s="1159"/>
      <c r="J49" s="1159"/>
      <c r="K49" s="715"/>
      <c r="L49" s="2719"/>
      <c r="M49" s="2720"/>
      <c r="N49" s="2711"/>
      <c r="O49" s="2720"/>
      <c r="P49" s="3746" t="str">
        <f>A49</f>
        <v>估价对象XX用房的比较价值（楼面单价，元/平方米）</v>
      </c>
      <c r="Q49" s="3747"/>
      <c r="R49" s="3748">
        <f>IF(F1="售价",ROUND(IF(D48="简单平均",AVERAGE(R48:V48),R48*F48+T48*H48+V48*J48),0),ROUND(IF(D48="简单平均",AVERAGE(R48:V48),R48*F48+T48*H48+V48*J48),1))</f>
        <v>29405</v>
      </c>
      <c r="S49" s="3748"/>
      <c r="T49" s="3748"/>
      <c r="U49" s="3748"/>
      <c r="V49" s="3748"/>
      <c r="W49" s="3748"/>
      <c r="X49" s="690"/>
      <c r="Y49" s="690"/>
      <c r="Z49" s="690"/>
      <c r="AA49" s="690"/>
      <c r="AB49" s="690"/>
      <c r="AC49" s="690"/>
    </row>
    <row r="50" spans="1:29">
      <c r="A50" s="2720"/>
      <c r="B50" s="2720"/>
      <c r="C50" s="2720">
        <v>2004</v>
      </c>
      <c r="D50" s="2720"/>
      <c r="E50" s="2720">
        <v>2000</v>
      </c>
      <c r="F50" s="2720"/>
      <c r="G50" s="2724"/>
      <c r="H50" s="2720"/>
      <c r="I50" s="2720">
        <v>2000</v>
      </c>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80" t="str">
        <f>YEAR(C7)&amp;"-"&amp;MONTH(C7)</f>
        <v>2023-12</v>
      </c>
      <c r="D58" s="1181">
        <f>EDATE(C58,-1)</f>
        <v>45231</v>
      </c>
      <c r="E58" s="1181">
        <f t="shared" ref="E58:N58" si="16">EDATE(D58,-1)</f>
        <v>45200</v>
      </c>
      <c r="F58" s="1181">
        <f t="shared" si="16"/>
        <v>45170</v>
      </c>
      <c r="G58" s="1181">
        <f t="shared" si="16"/>
        <v>45139</v>
      </c>
      <c r="H58" s="1181">
        <f t="shared" si="16"/>
        <v>45108</v>
      </c>
      <c r="I58" s="1181">
        <f t="shared" si="16"/>
        <v>45078</v>
      </c>
      <c r="J58" s="1181">
        <f t="shared" si="16"/>
        <v>45047</v>
      </c>
      <c r="K58" s="1181">
        <f t="shared" si="16"/>
        <v>45017</v>
      </c>
      <c r="L58" s="1181">
        <f t="shared" si="16"/>
        <v>44986</v>
      </c>
      <c r="M58" s="1181">
        <f t="shared" si="16"/>
        <v>44958</v>
      </c>
      <c r="N58" s="1181">
        <f t="shared" si="16"/>
        <v>44927</v>
      </c>
      <c r="O58" s="1181">
        <f>EDATE(N58,-1)</f>
        <v>44896</v>
      </c>
      <c r="P58" s="2735"/>
      <c r="Q58" s="2736"/>
      <c r="R58" s="2736"/>
      <c r="S58" s="2736"/>
      <c r="T58" s="2736"/>
      <c r="U58" s="2736"/>
      <c r="V58" s="2736"/>
      <c r="W58" s="2736"/>
      <c r="X58" s="2736"/>
      <c r="Y58" s="2736"/>
      <c r="Z58" s="2736"/>
      <c r="AA58" s="2736"/>
      <c r="AB58" s="2736"/>
      <c r="AC58" s="2736"/>
    </row>
    <row r="59" spans="1:29" s="108" customFormat="1" ht="15">
      <c r="A59" s="458"/>
      <c r="B59" s="459"/>
      <c r="C59" s="1179">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1776</v>
      </c>
      <c r="D61" s="3443" t="s">
        <v>3408</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45" t="s">
        <v>3414</v>
      </c>
      <c r="D90" s="3445" t="s">
        <v>3416</v>
      </c>
      <c r="E90" s="3445" t="s">
        <v>3417</v>
      </c>
      <c r="F90" s="3445" t="s">
        <v>3418</v>
      </c>
      <c r="G90" s="3445" t="s">
        <v>3419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3420</v>
      </c>
      <c r="D92" s="503" t="s">
        <v>3421</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46" t="s">
        <v>3422</v>
      </c>
      <c r="D100" s="3446" t="s">
        <v>3440</v>
      </c>
      <c r="E100" s="3446" t="s">
        <v>3423</v>
      </c>
      <c r="F100" s="3446" t="s">
        <v>3424</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400</v>
      </c>
      <c r="G103" s="544">
        <v>800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45" t="s">
        <v>3410</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45" t="s">
        <v>3412</v>
      </c>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45" t="s">
        <v>3428</v>
      </c>
      <c r="D114" s="3445" t="s">
        <v>3429</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45" t="s">
        <v>3430</v>
      </c>
      <c r="D116" s="3445" t="s">
        <v>3432</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45" t="s">
        <v>3433</v>
      </c>
      <c r="D122" s="3445" t="s">
        <v>3435</v>
      </c>
      <c r="E122" s="3445" t="s">
        <v>3437</v>
      </c>
      <c r="F122" s="3447" t="s">
        <v>3438</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3.5"/>
  <sheetData/>
  <phoneticPr fontId="135"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1766</v>
      </c>
      <c r="C1" s="1234" t="s">
        <v>1662</v>
      </c>
      <c r="D1" s="1221" t="s">
        <v>3448</v>
      </c>
      <c r="E1" s="3421" t="s">
        <v>3404</v>
      </c>
      <c r="F1" s="1875" t="s">
        <v>3450</v>
      </c>
      <c r="G1" s="1231" t="s">
        <v>1663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685</v>
      </c>
      <c r="B2" s="1160">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9"/>
      <c r="M2" s="2730"/>
      <c r="N2" s="2730"/>
      <c r="O2" s="2730"/>
      <c r="P2" s="1948"/>
      <c r="Q2" s="908"/>
      <c r="R2" s="908"/>
      <c r="S2" s="908"/>
      <c r="T2" s="908"/>
      <c r="U2" s="908"/>
      <c r="V2" s="908"/>
      <c r="W2" s="908"/>
      <c r="X2" s="908"/>
      <c r="Y2" s="908"/>
      <c r="Z2" s="908"/>
      <c r="AA2" s="908"/>
      <c r="AB2" s="908"/>
      <c r="AC2" s="1949"/>
    </row>
    <row r="3" spans="1:29" s="352" customFormat="1" ht="28.5" customHeight="1" thickBot="1">
      <c r="A3" s="203" t="s">
        <v>686</v>
      </c>
      <c r="B3" s="558">
        <f>IF(C2="——",C49,ROUND(B2*10000/D3,0))</f>
        <v>3.9</v>
      </c>
      <c r="C3" s="354" t="s">
        <v>1665</v>
      </c>
      <c r="D3" s="353">
        <f>IF(D1="",'数据-汇总表'!E3,SUMIF('数据-汇总表'!$C19:$C33,D1,'数据-汇总表'!$E19:$E33))</f>
        <v>0</v>
      </c>
      <c r="E3" s="1950"/>
      <c r="F3" s="905"/>
      <c r="G3" s="904"/>
      <c r="H3" s="904"/>
      <c r="I3" s="904"/>
      <c r="J3" s="904"/>
      <c r="K3" s="906"/>
      <c r="L3" s="2729"/>
      <c r="M3" s="2730"/>
      <c r="N3" s="2730"/>
      <c r="O3" s="2730"/>
      <c r="P3" s="1948"/>
      <c r="Q3" s="908"/>
      <c r="R3" s="908"/>
      <c r="S3" s="908"/>
      <c r="T3" s="908"/>
      <c r="U3" s="908"/>
      <c r="V3" s="908"/>
      <c r="W3" s="908"/>
      <c r="X3" s="908"/>
      <c r="Y3" s="908"/>
      <c r="Z3" s="908"/>
      <c r="AA3" s="908"/>
      <c r="AB3" s="908"/>
      <c r="AC3" s="1950"/>
    </row>
    <row r="4" spans="1:29" ht="15">
      <c r="A4" s="355" t="s">
        <v>1666</v>
      </c>
      <c r="B4" s="356"/>
      <c r="C4" s="3685" t="s">
        <v>1667</v>
      </c>
      <c r="D4" s="3686"/>
      <c r="E4" s="3687" t="s">
        <v>1668</v>
      </c>
      <c r="F4" s="3688"/>
      <c r="G4" s="3685" t="s">
        <v>1669</v>
      </c>
      <c r="H4" s="3686"/>
      <c r="I4" s="3685" t="s">
        <v>1670</v>
      </c>
      <c r="J4" s="3686"/>
      <c r="K4" s="559" t="s">
        <v>1671</v>
      </c>
      <c r="L4" s="2710"/>
      <c r="M4" s="2711"/>
      <c r="N4" s="2711"/>
      <c r="O4" s="2711"/>
      <c r="P4" s="3742" t="s">
        <v>1672</v>
      </c>
      <c r="Q4" s="3743"/>
      <c r="R4" s="3738" t="s">
        <v>1668</v>
      </c>
      <c r="S4" s="3739"/>
      <c r="T4" s="3738" t="s">
        <v>1669</v>
      </c>
      <c r="U4" s="3739"/>
      <c r="V4" s="3698" t="s">
        <v>1670</v>
      </c>
      <c r="W4" s="3698"/>
      <c r="X4" s="3451"/>
      <c r="Y4" s="3738" t="s">
        <v>1672</v>
      </c>
      <c r="Z4" s="3739"/>
      <c r="AA4" s="3737" t="s">
        <v>1668</v>
      </c>
      <c r="AB4" s="3698" t="s">
        <v>1669</v>
      </c>
      <c r="AC4" s="3737" t="s">
        <v>1670</v>
      </c>
    </row>
    <row r="5" spans="1:29" ht="15">
      <c r="A5" s="358"/>
      <c r="B5" s="359"/>
      <c r="C5" s="3675" t="s">
        <v>1673</v>
      </c>
      <c r="D5" s="3676"/>
      <c r="E5" s="3740" t="s">
        <v>3449</v>
      </c>
      <c r="F5" s="3674"/>
      <c r="G5" s="3741" t="s">
        <v>3453</v>
      </c>
      <c r="H5" s="3676"/>
      <c r="I5" s="3741" t="s">
        <v>3451</v>
      </c>
      <c r="J5" s="3676"/>
      <c r="K5" s="559"/>
      <c r="L5" s="2710"/>
      <c r="M5" s="2711"/>
      <c r="N5" s="2711"/>
      <c r="O5" s="2711"/>
      <c r="P5" s="3744"/>
      <c r="Q5" s="3692"/>
      <c r="R5" s="3671"/>
      <c r="S5" s="3672"/>
      <c r="T5" s="3671"/>
      <c r="U5" s="3672"/>
      <c r="V5" s="3698"/>
      <c r="W5" s="3698"/>
      <c r="X5" s="3451"/>
      <c r="Y5" s="3671"/>
      <c r="Z5" s="3672"/>
      <c r="AA5" s="3665"/>
      <c r="AB5" s="3698"/>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745"/>
      <c r="Q6" s="3694"/>
      <c r="R6" s="3671"/>
      <c r="S6" s="3672"/>
      <c r="T6" s="3695"/>
      <c r="U6" s="3696"/>
      <c r="V6" s="3698"/>
      <c r="W6" s="3698"/>
      <c r="X6" s="3451"/>
      <c r="Y6" s="3695"/>
      <c r="Z6" s="3696"/>
      <c r="AA6" s="3666"/>
      <c r="AB6" s="3698"/>
      <c r="AC6" s="3666"/>
    </row>
    <row r="7" spans="1:29" s="108" customFormat="1" ht="15.75" thickBot="1">
      <c r="A7" s="362" t="s">
        <v>1679</v>
      </c>
      <c r="B7" s="363"/>
      <c r="C7" s="364">
        <f>'数据-取费表'!B2</f>
        <v>45279</v>
      </c>
      <c r="D7" s="365">
        <v>100</v>
      </c>
      <c r="E7" s="366">
        <f>C7</f>
        <v>45279</v>
      </c>
      <c r="F7" s="367">
        <f>SUMIF(58:58,YEAR(E7)&amp;"-"&amp;MONTH(E7),59:59)</f>
        <v>100</v>
      </c>
      <c r="G7" s="366">
        <f>C7</f>
        <v>45279</v>
      </c>
      <c r="H7" s="365">
        <f>SUMIF(58:58,YEAR(G7)&amp;"-"&amp;MONTH(G7),59:59)</f>
        <v>100</v>
      </c>
      <c r="I7" s="366">
        <f>C7</f>
        <v>45279</v>
      </c>
      <c r="J7" s="365">
        <f>SUMIF(58:58,YEAR(I7)&amp;"-"&amp;MONTH(I7),59:59)</f>
        <v>100</v>
      </c>
      <c r="K7" s="560"/>
      <c r="L7" s="2712"/>
      <c r="M7" s="2713"/>
      <c r="N7" s="2713"/>
      <c r="O7" s="2713"/>
      <c r="P7" s="3667" t="s">
        <v>1680</v>
      </c>
      <c r="Q7" s="3700"/>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2"/>
      <c r="M8" s="2713"/>
      <c r="N8" s="2713"/>
      <c r="O8" s="2713"/>
      <c r="P8" s="3667" t="s">
        <v>1683</v>
      </c>
      <c r="Q8" s="3668"/>
      <c r="R8" s="701" t="s">
        <v>14</v>
      </c>
      <c r="S8" s="702">
        <f t="shared" si="0"/>
        <v>102</v>
      </c>
      <c r="T8" s="701" t="s">
        <v>14</v>
      </c>
      <c r="U8" s="702">
        <f t="shared" si="1"/>
        <v>102</v>
      </c>
      <c r="V8" s="701" t="s">
        <v>14</v>
      </c>
      <c r="W8" s="702">
        <f t="shared" si="2"/>
        <v>102</v>
      </c>
      <c r="X8" s="703"/>
      <c r="Y8" s="3667" t="s">
        <v>1683</v>
      </c>
      <c r="Z8" s="366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4"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81" t="s">
        <v>1686</v>
      </c>
      <c r="Q9" s="3450" t="str">
        <f t="shared" ref="Q9:Q15" si="6">B9</f>
        <v>用途</v>
      </c>
      <c r="R9" s="701" t="s">
        <v>14</v>
      </c>
      <c r="S9" s="702">
        <f t="shared" si="0"/>
        <v>100</v>
      </c>
      <c r="T9" s="701" t="s">
        <v>14</v>
      </c>
      <c r="U9" s="702">
        <f t="shared" si="1"/>
        <v>100</v>
      </c>
      <c r="V9" s="701" t="s">
        <v>14</v>
      </c>
      <c r="W9" s="702">
        <f t="shared" si="2"/>
        <v>100</v>
      </c>
      <c r="X9" s="703"/>
      <c r="Y9" s="3640" t="s">
        <v>1687</v>
      </c>
      <c r="Z9" s="3449" t="str">
        <f t="shared" ref="Z9:Z15" si="7">Q9</f>
        <v>用途</v>
      </c>
      <c r="AA9" s="704">
        <f t="shared" si="3"/>
        <v>1</v>
      </c>
      <c r="AB9" s="704">
        <f t="shared" si="4"/>
        <v>1</v>
      </c>
      <c r="AC9" s="704">
        <f t="shared" si="5"/>
        <v>1</v>
      </c>
    </row>
    <row r="10" spans="1:29" s="378" customFormat="1" ht="27">
      <c r="A10" s="374"/>
      <c r="B10" s="375" t="s">
        <v>1688</v>
      </c>
      <c r="C10" s="3428" t="s">
        <v>3413</v>
      </c>
      <c r="D10" s="127">
        <v>100</v>
      </c>
      <c r="E10" s="3428" t="s">
        <v>3413</v>
      </c>
      <c r="F10" s="376">
        <f>SUMIF(65:65,E10,66:66)-SUMIF(65:65,C10,66:66)+100</f>
        <v>100</v>
      </c>
      <c r="G10" s="3428" t="s">
        <v>3413</v>
      </c>
      <c r="H10" s="127">
        <f>SUMIF(65:65,G10,66:66)-SUMIF(65:65,C10,66:66)+100</f>
        <v>100</v>
      </c>
      <c r="I10" s="3428" t="s">
        <v>3413</v>
      </c>
      <c r="J10" s="127">
        <f>SUMIF(65:65,I10,66:66)-SUMIF(65:65,C10,66:66)+100</f>
        <v>100</v>
      </c>
      <c r="K10" s="560"/>
      <c r="L10" s="2714"/>
      <c r="M10" s="2715"/>
      <c r="N10" s="2715"/>
      <c r="O10" s="2715"/>
      <c r="P10" s="3681"/>
      <c r="Q10" s="3450" t="str">
        <f t="shared" si="6"/>
        <v>土地使用年限（年）</v>
      </c>
      <c r="R10" s="701" t="s">
        <v>14</v>
      </c>
      <c r="S10" s="702">
        <f t="shared" si="0"/>
        <v>100</v>
      </c>
      <c r="T10" s="701" t="s">
        <v>14</v>
      </c>
      <c r="U10" s="702">
        <f t="shared" si="1"/>
        <v>100</v>
      </c>
      <c r="V10" s="701" t="s">
        <v>14</v>
      </c>
      <c r="W10" s="702">
        <f t="shared" si="2"/>
        <v>100</v>
      </c>
      <c r="X10" s="703"/>
      <c r="Y10" s="3640"/>
      <c r="Z10" s="3449"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1"/>
      <c r="Q11" s="3450" t="str">
        <f t="shared" si="6"/>
        <v>容积率</v>
      </c>
      <c r="R11" s="701" t="s">
        <v>14</v>
      </c>
      <c r="S11" s="702">
        <f t="shared" si="0"/>
        <v>100</v>
      </c>
      <c r="T11" s="701" t="s">
        <v>14</v>
      </c>
      <c r="U11" s="702">
        <f t="shared" si="1"/>
        <v>100</v>
      </c>
      <c r="V11" s="701" t="s">
        <v>14</v>
      </c>
      <c r="W11" s="702">
        <f t="shared" si="2"/>
        <v>100</v>
      </c>
      <c r="X11" s="703"/>
      <c r="Y11" s="3640"/>
      <c r="Z11" s="3449" t="str">
        <f t="shared" si="7"/>
        <v>容积率</v>
      </c>
      <c r="AA11" s="704">
        <f t="shared" si="3"/>
        <v>1</v>
      </c>
      <c r="AB11" s="704">
        <f t="shared" si="4"/>
        <v>1</v>
      </c>
      <c r="AC11" s="704">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1"/>
      <c r="Q12" s="3450">
        <f t="shared" si="6"/>
        <v>111</v>
      </c>
      <c r="R12" s="701" t="s">
        <v>14</v>
      </c>
      <c r="S12" s="702">
        <f t="shared" si="0"/>
        <v>100</v>
      </c>
      <c r="T12" s="701" t="s">
        <v>14</v>
      </c>
      <c r="U12" s="702">
        <f t="shared" si="1"/>
        <v>100</v>
      </c>
      <c r="V12" s="701" t="s">
        <v>14</v>
      </c>
      <c r="W12" s="702">
        <f t="shared" si="2"/>
        <v>100</v>
      </c>
      <c r="X12" s="703"/>
      <c r="Y12" s="3640"/>
      <c r="Z12" s="3449">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1"/>
      <c r="Q13" s="3450">
        <f t="shared" si="6"/>
        <v>111</v>
      </c>
      <c r="R13" s="701" t="s">
        <v>14</v>
      </c>
      <c r="S13" s="702">
        <f t="shared" si="0"/>
        <v>100</v>
      </c>
      <c r="T13" s="701" t="s">
        <v>14</v>
      </c>
      <c r="U13" s="702">
        <f t="shared" si="1"/>
        <v>100</v>
      </c>
      <c r="V13" s="701" t="s">
        <v>14</v>
      </c>
      <c r="W13" s="702">
        <f t="shared" si="2"/>
        <v>100</v>
      </c>
      <c r="X13" s="703"/>
      <c r="Y13" s="3640"/>
      <c r="Z13" s="3449">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1"/>
      <c r="Q14" s="3450">
        <f t="shared" si="6"/>
        <v>111</v>
      </c>
      <c r="R14" s="701" t="s">
        <v>14</v>
      </c>
      <c r="S14" s="702">
        <f t="shared" si="0"/>
        <v>100</v>
      </c>
      <c r="T14" s="701" t="s">
        <v>14</v>
      </c>
      <c r="U14" s="702">
        <f t="shared" si="1"/>
        <v>100</v>
      </c>
      <c r="V14" s="701" t="s">
        <v>14</v>
      </c>
      <c r="W14" s="702">
        <f t="shared" si="2"/>
        <v>100</v>
      </c>
      <c r="X14" s="703"/>
      <c r="Y14" s="3640"/>
      <c r="Z14" s="3449">
        <f t="shared" si="7"/>
        <v>111</v>
      </c>
      <c r="AA14" s="704">
        <f t="shared" si="3"/>
        <v>1</v>
      </c>
      <c r="AB14" s="704">
        <f t="shared" si="4"/>
        <v>1</v>
      </c>
      <c r="AC14" s="704">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17"/>
      <c r="M15" s="2711"/>
      <c r="N15" s="2711"/>
      <c r="O15" s="2711"/>
      <c r="P15" s="3701" t="s">
        <v>1691</v>
      </c>
      <c r="Q15" s="3453" t="str">
        <f t="shared" si="6"/>
        <v>商业繁华度</v>
      </c>
      <c r="R15" s="705" t="s">
        <v>14</v>
      </c>
      <c r="S15" s="706">
        <f t="shared" si="0"/>
        <v>100</v>
      </c>
      <c r="T15" s="705" t="s">
        <v>14</v>
      </c>
      <c r="U15" s="706">
        <f t="shared" si="1"/>
        <v>97</v>
      </c>
      <c r="V15" s="705" t="s">
        <v>14</v>
      </c>
      <c r="W15" s="706">
        <f t="shared" si="2"/>
        <v>100</v>
      </c>
      <c r="X15" s="3451"/>
      <c r="Y15" s="3703" t="s">
        <v>1691</v>
      </c>
      <c r="Z15" s="3452" t="str">
        <f t="shared" si="7"/>
        <v>商业繁华度</v>
      </c>
      <c r="AA15" s="3454">
        <f t="shared" si="3"/>
        <v>1</v>
      </c>
      <c r="AB15" s="3454">
        <f t="shared" si="4"/>
        <v>1.0309278350515463</v>
      </c>
      <c r="AC15" s="3454">
        <f t="shared" si="5"/>
        <v>1</v>
      </c>
    </row>
    <row r="16" spans="1:29" ht="15">
      <c r="A16" s="379"/>
      <c r="B16" s="397"/>
      <c r="C16" s="398" t="s">
        <v>3396</v>
      </c>
      <c r="D16" s="399"/>
      <c r="E16" s="398" t="s">
        <v>3396</v>
      </c>
      <c r="F16" s="400"/>
      <c r="G16" s="398" t="s">
        <v>3397</v>
      </c>
      <c r="H16" s="401"/>
      <c r="I16" s="398" t="s">
        <v>3396</v>
      </c>
      <c r="J16" s="399"/>
      <c r="K16" s="564"/>
      <c r="L16" s="2717"/>
      <c r="M16" s="2711"/>
      <c r="N16" s="2711"/>
      <c r="O16" s="2711"/>
      <c r="P16" s="3702"/>
      <c r="Q16" s="3453"/>
      <c r="R16" s="705"/>
      <c r="S16" s="706"/>
      <c r="T16" s="705"/>
      <c r="U16" s="706"/>
      <c r="V16" s="705"/>
      <c r="W16" s="706"/>
      <c r="X16" s="3451"/>
      <c r="Y16" s="3704"/>
      <c r="Z16" s="3452"/>
      <c r="AA16" s="3454">
        <v>1</v>
      </c>
      <c r="AB16" s="3454">
        <v>1</v>
      </c>
      <c r="AC16" s="3454">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7"/>
      <c r="M17" s="2711"/>
      <c r="N17" s="2711"/>
      <c r="O17" s="2711"/>
      <c r="P17" s="3702"/>
      <c r="Q17" s="3453" t="str">
        <f>B17</f>
        <v>交通便捷度</v>
      </c>
      <c r="R17" s="705" t="s">
        <v>14</v>
      </c>
      <c r="S17" s="706">
        <f>F17</f>
        <v>100</v>
      </c>
      <c r="T17" s="705" t="s">
        <v>14</v>
      </c>
      <c r="U17" s="706">
        <f>H17</f>
        <v>100</v>
      </c>
      <c r="V17" s="705" t="s">
        <v>14</v>
      </c>
      <c r="W17" s="706">
        <f>J17</f>
        <v>100</v>
      </c>
      <c r="X17" s="3451"/>
      <c r="Y17" s="3704"/>
      <c r="Z17" s="3452" t="str">
        <f>Q17</f>
        <v>交通便捷度</v>
      </c>
      <c r="AA17" s="3454">
        <f t="shared" si="3"/>
        <v>1</v>
      </c>
      <c r="AB17" s="3454">
        <f t="shared" si="4"/>
        <v>1</v>
      </c>
      <c r="AC17" s="3454">
        <f t="shared" si="5"/>
        <v>1</v>
      </c>
    </row>
    <row r="18" spans="1:29" ht="15">
      <c r="A18" s="379"/>
      <c r="B18" s="407"/>
      <c r="C18" s="1897" t="s">
        <v>3396</v>
      </c>
      <c r="D18" s="401"/>
      <c r="E18" s="1897" t="s">
        <v>3396</v>
      </c>
      <c r="F18" s="404"/>
      <c r="G18" s="1898" t="s">
        <v>3396</v>
      </c>
      <c r="H18" s="399"/>
      <c r="I18" s="1898" t="s">
        <v>3396</v>
      </c>
      <c r="J18" s="399"/>
      <c r="K18" s="564"/>
      <c r="L18" s="2717"/>
      <c r="M18" s="2711"/>
      <c r="N18" s="2711"/>
      <c r="O18" s="2711"/>
      <c r="P18" s="3702"/>
      <c r="Q18" s="3453"/>
      <c r="R18" s="705"/>
      <c r="S18" s="706"/>
      <c r="T18" s="705"/>
      <c r="U18" s="706"/>
      <c r="V18" s="705"/>
      <c r="W18" s="706"/>
      <c r="X18" s="3451"/>
      <c r="Y18" s="3704"/>
      <c r="Z18" s="3452"/>
      <c r="AA18" s="3454">
        <v>1</v>
      </c>
      <c r="AB18" s="3454">
        <v>1</v>
      </c>
      <c r="AC18" s="3454">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02"/>
      <c r="Q19" s="3453" t="str">
        <f>B19</f>
        <v>公共配套设施</v>
      </c>
      <c r="R19" s="705" t="s">
        <v>14</v>
      </c>
      <c r="S19" s="706">
        <f>F19</f>
        <v>100</v>
      </c>
      <c r="T19" s="705" t="s">
        <v>14</v>
      </c>
      <c r="U19" s="706">
        <f>H19</f>
        <v>100</v>
      </c>
      <c r="V19" s="705" t="s">
        <v>14</v>
      </c>
      <c r="W19" s="706">
        <f>J19</f>
        <v>100</v>
      </c>
      <c r="X19" s="3451"/>
      <c r="Y19" s="3704"/>
      <c r="Z19" s="3452" t="str">
        <f>Q19</f>
        <v>公共配套设施</v>
      </c>
      <c r="AA19" s="3454">
        <f t="shared" si="3"/>
        <v>1</v>
      </c>
      <c r="AB19" s="3454">
        <f t="shared" si="4"/>
        <v>1</v>
      </c>
      <c r="AC19" s="3454">
        <f t="shared" si="5"/>
        <v>1</v>
      </c>
    </row>
    <row r="20" spans="1:29" ht="15">
      <c r="A20" s="379"/>
      <c r="B20" s="407"/>
      <c r="C20" s="398" t="s">
        <v>3396</v>
      </c>
      <c r="D20" s="399"/>
      <c r="E20" s="398" t="s">
        <v>3396</v>
      </c>
      <c r="F20" s="400"/>
      <c r="G20" s="1893" t="s">
        <v>3396</v>
      </c>
      <c r="H20" s="399"/>
      <c r="I20" s="1893" t="s">
        <v>3396</v>
      </c>
      <c r="J20" s="399"/>
      <c r="K20" s="564"/>
      <c r="L20" s="2717"/>
      <c r="M20" s="2711"/>
      <c r="N20" s="2711"/>
      <c r="O20" s="2711"/>
      <c r="P20" s="3702"/>
      <c r="Q20" s="3453"/>
      <c r="R20" s="705"/>
      <c r="S20" s="706"/>
      <c r="T20" s="705"/>
      <c r="U20" s="706"/>
      <c r="V20" s="705"/>
      <c r="W20" s="706"/>
      <c r="X20" s="3451"/>
      <c r="Y20" s="3704"/>
      <c r="Z20" s="3452"/>
      <c r="AA20" s="3454">
        <v>1</v>
      </c>
      <c r="AB20" s="3454">
        <v>1</v>
      </c>
      <c r="AC20" s="3454">
        <v>1</v>
      </c>
    </row>
    <row r="21" spans="1:29" ht="28.5">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02"/>
      <c r="Q21" s="3453" t="str">
        <f>B21</f>
        <v>基础设施水平</v>
      </c>
      <c r="R21" s="705" t="s">
        <v>14</v>
      </c>
      <c r="S21" s="706">
        <f>F21</f>
        <v>100</v>
      </c>
      <c r="T21" s="705" t="s">
        <v>14</v>
      </c>
      <c r="U21" s="706">
        <f>H21</f>
        <v>100</v>
      </c>
      <c r="V21" s="705" t="s">
        <v>14</v>
      </c>
      <c r="W21" s="706">
        <f>J21</f>
        <v>100</v>
      </c>
      <c r="X21" s="3451"/>
      <c r="Y21" s="3704"/>
      <c r="Z21" s="3452" t="str">
        <f>Q21</f>
        <v>基础设施水平</v>
      </c>
      <c r="AA21" s="3454">
        <f t="shared" ref="AA21" si="8">D21/F21</f>
        <v>1</v>
      </c>
      <c r="AB21" s="3454">
        <f t="shared" ref="AB21" si="9">D21/H21</f>
        <v>1</v>
      </c>
      <c r="AC21" s="3454">
        <f t="shared" ref="AC21" si="10">D21/J21</f>
        <v>1</v>
      </c>
    </row>
    <row r="22" spans="1:29" ht="15">
      <c r="A22" s="379"/>
      <c r="B22" s="1127"/>
      <c r="C22" s="1897" t="s">
        <v>3425</v>
      </c>
      <c r="D22" s="399"/>
      <c r="E22" s="1897" t="s">
        <v>3425</v>
      </c>
      <c r="F22" s="400"/>
      <c r="G22" s="1897" t="s">
        <v>3425</v>
      </c>
      <c r="H22" s="399"/>
      <c r="I22" s="1897" t="s">
        <v>3425</v>
      </c>
      <c r="J22" s="399"/>
      <c r="K22" s="1126"/>
      <c r="L22" s="2717"/>
      <c r="M22" s="2711"/>
      <c r="N22" s="2711"/>
      <c r="O22" s="2711"/>
      <c r="P22" s="3702"/>
      <c r="Q22" s="3453"/>
      <c r="R22" s="705"/>
      <c r="S22" s="706"/>
      <c r="T22" s="705"/>
      <c r="U22" s="706"/>
      <c r="V22" s="705"/>
      <c r="W22" s="706"/>
      <c r="X22" s="3451"/>
      <c r="Y22" s="3704"/>
      <c r="Z22" s="3452"/>
      <c r="AA22" s="3454">
        <v>1</v>
      </c>
      <c r="AB22" s="3454">
        <v>1</v>
      </c>
      <c r="AC22" s="3454">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02"/>
      <c r="Q23" s="3453" t="str">
        <f>B23</f>
        <v>自然及人文环境</v>
      </c>
      <c r="R23" s="705" t="s">
        <v>14</v>
      </c>
      <c r="S23" s="706">
        <f>F23</f>
        <v>100</v>
      </c>
      <c r="T23" s="705" t="s">
        <v>14</v>
      </c>
      <c r="U23" s="706">
        <f>H23</f>
        <v>100</v>
      </c>
      <c r="V23" s="705" t="s">
        <v>14</v>
      </c>
      <c r="W23" s="706">
        <f>J23</f>
        <v>100</v>
      </c>
      <c r="X23" s="3451"/>
      <c r="Y23" s="3704"/>
      <c r="Z23" s="3452" t="str">
        <f>Q23</f>
        <v>自然及人文环境</v>
      </c>
      <c r="AA23" s="3454">
        <f t="shared" si="3"/>
        <v>1</v>
      </c>
      <c r="AB23" s="3454">
        <f t="shared" si="4"/>
        <v>1</v>
      </c>
      <c r="AC23" s="3454">
        <f t="shared" si="5"/>
        <v>1</v>
      </c>
    </row>
    <row r="24" spans="1:29" ht="15">
      <c r="A24" s="379"/>
      <c r="B24" s="407"/>
      <c r="C24" s="398" t="s">
        <v>3396</v>
      </c>
      <c r="D24" s="399"/>
      <c r="E24" s="398" t="s">
        <v>3396</v>
      </c>
      <c r="F24" s="400"/>
      <c r="G24" s="398" t="s">
        <v>3396</v>
      </c>
      <c r="H24" s="399"/>
      <c r="I24" s="398" t="s">
        <v>3396</v>
      </c>
      <c r="J24" s="399"/>
      <c r="K24" s="564"/>
      <c r="L24" s="2717"/>
      <c r="M24" s="2711"/>
      <c r="N24" s="2711"/>
      <c r="O24" s="2711"/>
      <c r="P24" s="3702"/>
      <c r="Q24" s="3453"/>
      <c r="R24" s="705"/>
      <c r="S24" s="706"/>
      <c r="T24" s="705"/>
      <c r="U24" s="706"/>
      <c r="V24" s="705"/>
      <c r="W24" s="706"/>
      <c r="X24" s="3451"/>
      <c r="Y24" s="3704"/>
      <c r="Z24" s="3452"/>
      <c r="AA24" s="3454">
        <v>1</v>
      </c>
      <c r="AB24" s="3454">
        <v>1</v>
      </c>
      <c r="AC24" s="3454">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17"/>
      <c r="M25" s="2711"/>
      <c r="N25" s="2711"/>
      <c r="O25" s="2711"/>
      <c r="P25" s="3702"/>
      <c r="Q25" s="3453" t="str">
        <f t="shared" ref="Q25:Q46" si="11">B25</f>
        <v>临街状况</v>
      </c>
      <c r="R25" s="705" t="s">
        <v>14</v>
      </c>
      <c r="S25" s="706">
        <f>F25</f>
        <v>100</v>
      </c>
      <c r="T25" s="705" t="s">
        <v>14</v>
      </c>
      <c r="U25" s="706">
        <f>H25</f>
        <v>100</v>
      </c>
      <c r="V25" s="705" t="s">
        <v>14</v>
      </c>
      <c r="W25" s="706">
        <f>J25</f>
        <v>100</v>
      </c>
      <c r="X25" s="3451"/>
      <c r="Y25" s="3704"/>
      <c r="Z25" s="3452" t="str">
        <f>Q25</f>
        <v>临街状况</v>
      </c>
      <c r="AA25" s="3454">
        <f t="shared" si="3"/>
        <v>1</v>
      </c>
      <c r="AB25" s="3454">
        <f t="shared" si="4"/>
        <v>1</v>
      </c>
      <c r="AC25" s="3454">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2"/>
      <c r="Q26" s="3453" t="str">
        <f t="shared" si="11"/>
        <v>平面位置/可视性</v>
      </c>
      <c r="R26" s="705" t="s">
        <v>14</v>
      </c>
      <c r="S26" s="706">
        <f>F26</f>
        <v>100</v>
      </c>
      <c r="T26" s="705" t="s">
        <v>14</v>
      </c>
      <c r="U26" s="706">
        <f>H26</f>
        <v>100</v>
      </c>
      <c r="V26" s="705" t="s">
        <v>14</v>
      </c>
      <c r="W26" s="706">
        <f>J26</f>
        <v>100</v>
      </c>
      <c r="X26" s="3451"/>
      <c r="Y26" s="3704"/>
      <c r="Z26" s="3452" t="str">
        <f>Q26</f>
        <v>平面位置/可视性</v>
      </c>
      <c r="AA26" s="3454">
        <f t="shared" si="3"/>
        <v>1</v>
      </c>
      <c r="AB26" s="3454">
        <f t="shared" si="4"/>
        <v>1</v>
      </c>
      <c r="AC26" s="3454">
        <f t="shared" si="5"/>
        <v>1</v>
      </c>
    </row>
    <row r="27" spans="1:29" s="108" customFormat="1" ht="15">
      <c r="A27" s="382"/>
      <c r="B27" s="402" t="s">
        <v>1782</v>
      </c>
      <c r="C27" s="1952" t="s">
        <v>3415</v>
      </c>
      <c r="D27" s="413">
        <v>100</v>
      </c>
      <c r="E27" s="1952" t="s">
        <v>3415</v>
      </c>
      <c r="F27" s="415">
        <f>SUMIF(90:90,E27,91:91)-SUMIF(90:90,C27,91:91)+100</f>
        <v>100</v>
      </c>
      <c r="G27" s="1952" t="s">
        <v>3397</v>
      </c>
      <c r="H27" s="413">
        <f>SUMIF(90:90,G27,91:91)-SUMIF(90:90,C27,91:91)+100</f>
        <v>97</v>
      </c>
      <c r="I27" s="1952" t="s">
        <v>3415</v>
      </c>
      <c r="J27" s="413">
        <f>SUMIF(90:90,I27,91:91)-SUMIF(90:90,C27,91:91)+100</f>
        <v>100</v>
      </c>
      <c r="K27" s="561">
        <v>3</v>
      </c>
      <c r="L27" s="2712"/>
      <c r="M27" s="2713"/>
      <c r="N27" s="2713"/>
      <c r="O27" s="2713"/>
      <c r="P27" s="3702"/>
      <c r="Q27" s="3450" t="str">
        <f t="shared" si="11"/>
        <v>人流量</v>
      </c>
      <c r="R27" s="701" t="s">
        <v>14</v>
      </c>
      <c r="S27" s="702">
        <f>F27</f>
        <v>100</v>
      </c>
      <c r="T27" s="701" t="s">
        <v>14</v>
      </c>
      <c r="U27" s="702">
        <f>H27</f>
        <v>97</v>
      </c>
      <c r="V27" s="701" t="s">
        <v>14</v>
      </c>
      <c r="W27" s="702">
        <f>J27</f>
        <v>100</v>
      </c>
      <c r="X27" s="703"/>
      <c r="Y27" s="3704"/>
      <c r="Z27" s="3449" t="str">
        <f>Q27</f>
        <v>人流量</v>
      </c>
      <c r="AA27" s="3454">
        <f>D27/F27</f>
        <v>1</v>
      </c>
      <c r="AB27" s="3454">
        <f>D27/H27</f>
        <v>1.0309278350515463</v>
      </c>
      <c r="AC27" s="3454">
        <f>D27/J27</f>
        <v>1</v>
      </c>
    </row>
    <row r="28" spans="1:29" ht="15">
      <c r="A28" s="379"/>
      <c r="B28" s="375" t="s">
        <v>1783</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17"/>
      <c r="M28" s="2711"/>
      <c r="N28" s="2711"/>
      <c r="O28" s="2711"/>
      <c r="P28" s="3702"/>
      <c r="Q28" s="3453" t="str">
        <f t="shared" si="11"/>
        <v>楼层</v>
      </c>
      <c r="R28" s="705" t="s">
        <v>14</v>
      </c>
      <c r="S28" s="706">
        <f t="shared" ref="S28:S46" si="12">F28</f>
        <v>100</v>
      </c>
      <c r="T28" s="705" t="s">
        <v>14</v>
      </c>
      <c r="U28" s="706">
        <f t="shared" ref="U28:U46" si="13">H28</f>
        <v>100</v>
      </c>
      <c r="V28" s="705" t="s">
        <v>14</v>
      </c>
      <c r="W28" s="706">
        <f t="shared" ref="W28:W46" si="14">J28</f>
        <v>100</v>
      </c>
      <c r="X28" s="3451"/>
      <c r="Y28" s="3704"/>
      <c r="Z28" s="3452" t="str">
        <f t="shared" ref="Z28:Z46" si="15">Q28</f>
        <v>楼层</v>
      </c>
      <c r="AA28" s="3454">
        <f t="shared" si="3"/>
        <v>1</v>
      </c>
      <c r="AB28" s="3454">
        <f t="shared" si="4"/>
        <v>1</v>
      </c>
      <c r="AC28" s="3454">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2"/>
      <c r="Q29" s="3453">
        <f t="shared" si="11"/>
        <v>111</v>
      </c>
      <c r="R29" s="705" t="s">
        <v>14</v>
      </c>
      <c r="S29" s="706">
        <f t="shared" si="12"/>
        <v>100</v>
      </c>
      <c r="T29" s="705" t="s">
        <v>14</v>
      </c>
      <c r="U29" s="706">
        <f t="shared" si="13"/>
        <v>100</v>
      </c>
      <c r="V29" s="705" t="s">
        <v>14</v>
      </c>
      <c r="W29" s="706">
        <f t="shared" si="14"/>
        <v>100</v>
      </c>
      <c r="X29" s="3451"/>
      <c r="Y29" s="3704"/>
      <c r="Z29" s="3452">
        <f t="shared" si="15"/>
        <v>111</v>
      </c>
      <c r="AA29" s="3454">
        <f t="shared" si="3"/>
        <v>1</v>
      </c>
      <c r="AB29" s="3454">
        <f t="shared" si="4"/>
        <v>1</v>
      </c>
      <c r="AC29" s="3454">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2"/>
      <c r="Q30" s="3453">
        <f t="shared" si="11"/>
        <v>111</v>
      </c>
      <c r="R30" s="705" t="s">
        <v>14</v>
      </c>
      <c r="S30" s="706">
        <f t="shared" si="12"/>
        <v>100</v>
      </c>
      <c r="T30" s="705" t="s">
        <v>14</v>
      </c>
      <c r="U30" s="706">
        <f t="shared" si="13"/>
        <v>100</v>
      </c>
      <c r="V30" s="705" t="s">
        <v>14</v>
      </c>
      <c r="W30" s="706">
        <f t="shared" si="14"/>
        <v>100</v>
      </c>
      <c r="X30" s="3451"/>
      <c r="Y30" s="3704"/>
      <c r="Z30" s="3452">
        <f t="shared" si="15"/>
        <v>111</v>
      </c>
      <c r="AA30" s="3454">
        <f t="shared" si="3"/>
        <v>1</v>
      </c>
      <c r="AB30" s="3454">
        <f t="shared" si="4"/>
        <v>1</v>
      </c>
      <c r="AC30" s="3454">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2"/>
      <c r="Q31" s="3453">
        <f t="shared" si="11"/>
        <v>111</v>
      </c>
      <c r="R31" s="705" t="s">
        <v>14</v>
      </c>
      <c r="S31" s="706">
        <f t="shared" si="12"/>
        <v>100</v>
      </c>
      <c r="T31" s="705" t="s">
        <v>14</v>
      </c>
      <c r="U31" s="706">
        <f t="shared" si="13"/>
        <v>100</v>
      </c>
      <c r="V31" s="705" t="s">
        <v>14</v>
      </c>
      <c r="W31" s="706">
        <f t="shared" si="14"/>
        <v>100</v>
      </c>
      <c r="X31" s="3451"/>
      <c r="Y31" s="3704"/>
      <c r="Z31" s="3452">
        <f t="shared" si="15"/>
        <v>111</v>
      </c>
      <c r="AA31" s="3454">
        <f t="shared" si="3"/>
        <v>1</v>
      </c>
      <c r="AB31" s="3454">
        <f t="shared" si="4"/>
        <v>1</v>
      </c>
      <c r="AC31" s="3454">
        <f t="shared" si="5"/>
        <v>1</v>
      </c>
    </row>
    <row r="32" spans="1:29" ht="15">
      <c r="A32" s="391" t="s">
        <v>1694</v>
      </c>
      <c r="B32" s="63" t="s">
        <v>1784</v>
      </c>
      <c r="C32" s="1906" t="s">
        <v>3424</v>
      </c>
      <c r="D32" s="418">
        <v>100</v>
      </c>
      <c r="E32" s="1906" t="s">
        <v>3424</v>
      </c>
      <c r="F32" s="412">
        <f>SUMIF(100:100,E32,101:101)-SUMIF(100:100,C32,101:101)+100</f>
        <v>100</v>
      </c>
      <c r="G32" s="1906" t="s">
        <v>3424</v>
      </c>
      <c r="H32" s="386">
        <f>SUMIF(100:100,G32,101:101)-SUMIF(100:100,C32,101:101)+100</f>
        <v>100</v>
      </c>
      <c r="I32" s="3459" t="s">
        <v>3452</v>
      </c>
      <c r="J32" s="418">
        <f>SUMIF(100:100,I32,101:101)-SUMIF(100:100,C32,101:101)+100</f>
        <v>103</v>
      </c>
      <c r="K32" s="561">
        <v>3</v>
      </c>
      <c r="L32" s="2717"/>
      <c r="M32" s="2711"/>
      <c r="N32" s="2711"/>
      <c r="O32" s="2711"/>
      <c r="P32" s="3705" t="s">
        <v>1696</v>
      </c>
      <c r="Q32" s="3453" t="str">
        <f t="shared" si="11"/>
        <v>商业类型</v>
      </c>
      <c r="R32" s="705" t="s">
        <v>14</v>
      </c>
      <c r="S32" s="706">
        <f t="shared" si="12"/>
        <v>100</v>
      </c>
      <c r="T32" s="705" t="s">
        <v>14</v>
      </c>
      <c r="U32" s="706">
        <f t="shared" si="13"/>
        <v>100</v>
      </c>
      <c r="V32" s="705" t="s">
        <v>14</v>
      </c>
      <c r="W32" s="706">
        <f t="shared" si="14"/>
        <v>103</v>
      </c>
      <c r="X32" s="3451"/>
      <c r="Y32" s="3708" t="s">
        <v>1696</v>
      </c>
      <c r="Z32" s="3452" t="str">
        <f t="shared" si="15"/>
        <v>商业类型</v>
      </c>
      <c r="AA32" s="3454">
        <f t="shared" si="3"/>
        <v>1</v>
      </c>
      <c r="AB32" s="3454">
        <f t="shared" si="4"/>
        <v>1</v>
      </c>
      <c r="AC32" s="3454">
        <f t="shared" si="5"/>
        <v>0.970873786407767</v>
      </c>
    </row>
    <row r="33" spans="1:29" s="422" customFormat="1" ht="15">
      <c r="A33" s="419"/>
      <c r="B33" s="375" t="s">
        <v>1697</v>
      </c>
      <c r="C33" s="420">
        <f>'数据-基础表'!I13</f>
        <v>3129.11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6"/>
      <c r="M33" s="2718"/>
      <c r="N33" s="2718"/>
      <c r="O33" s="2718"/>
      <c r="P33" s="3706"/>
      <c r="Q33" s="707" t="str">
        <f t="shared" si="11"/>
        <v>项目建筑规模</v>
      </c>
      <c r="R33" s="708" t="s">
        <v>14</v>
      </c>
      <c r="S33" s="709">
        <f t="shared" si="12"/>
        <v>108</v>
      </c>
      <c r="T33" s="708" t="s">
        <v>14</v>
      </c>
      <c r="U33" s="709">
        <f t="shared" si="13"/>
        <v>108</v>
      </c>
      <c r="V33" s="708" t="s">
        <v>14</v>
      </c>
      <c r="W33" s="709">
        <f t="shared" si="14"/>
        <v>104</v>
      </c>
      <c r="X33" s="710"/>
      <c r="Y33" s="3708"/>
      <c r="Z33" s="711" t="str">
        <f t="shared" si="15"/>
        <v>项目建筑规模</v>
      </c>
      <c r="AA33" s="3454">
        <f t="shared" si="3"/>
        <v>0.92592592592592593</v>
      </c>
      <c r="AB33" s="3454">
        <f t="shared" si="4"/>
        <v>0.92592592592592593</v>
      </c>
      <c r="AC33" s="3454">
        <f t="shared" si="5"/>
        <v>0.96153846153846156</v>
      </c>
    </row>
    <row r="34" spans="1:29" ht="15">
      <c r="A34" s="423"/>
      <c r="B34" s="375" t="s">
        <v>1698</v>
      </c>
      <c r="C34" s="1908" t="s">
        <v>3401</v>
      </c>
      <c r="D34" s="386">
        <v>100</v>
      </c>
      <c r="E34" s="1908" t="s">
        <v>3401</v>
      </c>
      <c r="F34" s="412">
        <f>SUMIF(105:105,E34,106:106)-SUMIF(105:105,C34,106:106)+100</f>
        <v>100</v>
      </c>
      <c r="G34" s="1908" t="s">
        <v>3401</v>
      </c>
      <c r="H34" s="386">
        <f>SUMIF(105:105,G34,106:106)-SUMIF(105:105,C34,106:106)+100</f>
        <v>100</v>
      </c>
      <c r="I34" s="1908" t="s">
        <v>3401</v>
      </c>
      <c r="J34" s="386">
        <f>SUMIF(105:105,I34,106:106)-SUMIF(105:105,C34,106:106)+100</f>
        <v>100</v>
      </c>
      <c r="K34" s="561">
        <v>2</v>
      </c>
      <c r="L34" s="2717"/>
      <c r="M34" s="2711"/>
      <c r="N34" s="2711"/>
      <c r="O34" s="2711"/>
      <c r="P34" s="3706"/>
      <c r="Q34" s="3453" t="str">
        <f t="shared" si="11"/>
        <v>建筑结构</v>
      </c>
      <c r="R34" s="705" t="s">
        <v>14</v>
      </c>
      <c r="S34" s="706">
        <f t="shared" si="12"/>
        <v>100</v>
      </c>
      <c r="T34" s="705" t="s">
        <v>14</v>
      </c>
      <c r="U34" s="706">
        <f t="shared" si="13"/>
        <v>100</v>
      </c>
      <c r="V34" s="705" t="s">
        <v>14</v>
      </c>
      <c r="W34" s="706">
        <f t="shared" si="14"/>
        <v>100</v>
      </c>
      <c r="X34" s="3451"/>
      <c r="Y34" s="3708"/>
      <c r="Z34" s="3452" t="str">
        <f t="shared" si="15"/>
        <v>建筑结构</v>
      </c>
      <c r="AA34" s="3454">
        <f t="shared" si="3"/>
        <v>1</v>
      </c>
      <c r="AB34" s="3454">
        <f t="shared" si="4"/>
        <v>1</v>
      </c>
      <c r="AC34" s="3454">
        <f t="shared" si="5"/>
        <v>1</v>
      </c>
    </row>
    <row r="35" spans="1:29" ht="15">
      <c r="A35" s="423"/>
      <c r="B35" s="375" t="s">
        <v>1785</v>
      </c>
      <c r="C35" s="1902" t="s">
        <v>3411</v>
      </c>
      <c r="D35" s="386">
        <v>100</v>
      </c>
      <c r="E35" s="1902" t="s">
        <v>3411</v>
      </c>
      <c r="F35" s="412">
        <f>SUMIF(107:107,E35,108:108)-SUMIF(107:107,C35,108:108)+100</f>
        <v>100</v>
      </c>
      <c r="G35" s="1902" t="s">
        <v>3411</v>
      </c>
      <c r="H35" s="386">
        <f>SUMIF(107:107,G35,108:108)-SUMIF(107:107,C35,108:108)+100</f>
        <v>100</v>
      </c>
      <c r="I35" s="1902" t="s">
        <v>3411</v>
      </c>
      <c r="J35" s="386">
        <f>SUMIF(107:107,I35,108:108)-SUMIF(107:107,C35,108:108)+100</f>
        <v>100</v>
      </c>
      <c r="K35" s="561">
        <v>2</v>
      </c>
      <c r="L35" s="2717"/>
      <c r="M35" s="2711"/>
      <c r="N35" s="2711"/>
      <c r="O35" s="2711"/>
      <c r="P35" s="3706"/>
      <c r="Q35" s="3453" t="str">
        <f t="shared" si="11"/>
        <v>公共部分装修</v>
      </c>
      <c r="R35" s="705" t="s">
        <v>14</v>
      </c>
      <c r="S35" s="706">
        <f t="shared" si="12"/>
        <v>100</v>
      </c>
      <c r="T35" s="705" t="s">
        <v>14</v>
      </c>
      <c r="U35" s="706">
        <f t="shared" si="13"/>
        <v>100</v>
      </c>
      <c r="V35" s="705" t="s">
        <v>14</v>
      </c>
      <c r="W35" s="706">
        <f t="shared" si="14"/>
        <v>100</v>
      </c>
      <c r="X35" s="3451"/>
      <c r="Y35" s="3708"/>
      <c r="Z35" s="3452" t="str">
        <f t="shared" si="15"/>
        <v>公共部分装修</v>
      </c>
      <c r="AA35" s="3454">
        <f t="shared" si="3"/>
        <v>1</v>
      </c>
      <c r="AB35" s="3454">
        <f t="shared" si="4"/>
        <v>1</v>
      </c>
      <c r="AC35" s="3454">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17"/>
      <c r="M36" s="2711"/>
      <c r="N36" s="2711"/>
      <c r="O36" s="2711"/>
      <c r="P36" s="3706"/>
      <c r="Q36" s="3453" t="str">
        <f t="shared" si="11"/>
        <v>成新度</v>
      </c>
      <c r="R36" s="705" t="s">
        <v>14</v>
      </c>
      <c r="S36" s="706">
        <f t="shared" si="12"/>
        <v>100</v>
      </c>
      <c r="T36" s="705" t="s">
        <v>14</v>
      </c>
      <c r="U36" s="706">
        <f t="shared" si="13"/>
        <v>100</v>
      </c>
      <c r="V36" s="705" t="s">
        <v>14</v>
      </c>
      <c r="W36" s="706">
        <f t="shared" si="14"/>
        <v>100</v>
      </c>
      <c r="X36" s="3451"/>
      <c r="Y36" s="3708"/>
      <c r="Z36" s="3452" t="str">
        <f t="shared" si="15"/>
        <v>成新度</v>
      </c>
      <c r="AA36" s="3454">
        <f t="shared" si="3"/>
        <v>1</v>
      </c>
      <c r="AB36" s="3454">
        <f t="shared" si="4"/>
        <v>1</v>
      </c>
      <c r="AC36" s="3454">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06"/>
      <c r="Q37" s="3450" t="str">
        <f t="shared" si="11"/>
        <v>市政基础设施</v>
      </c>
      <c r="R37" s="701" t="s">
        <v>14</v>
      </c>
      <c r="S37" s="702">
        <f t="shared" si="12"/>
        <v>100</v>
      </c>
      <c r="T37" s="701" t="s">
        <v>14</v>
      </c>
      <c r="U37" s="702">
        <f t="shared" si="13"/>
        <v>100</v>
      </c>
      <c r="V37" s="701" t="s">
        <v>14</v>
      </c>
      <c r="W37" s="702">
        <f t="shared" si="14"/>
        <v>100</v>
      </c>
      <c r="X37" s="703"/>
      <c r="Y37" s="3708"/>
      <c r="Z37" s="3449" t="str">
        <f t="shared" si="15"/>
        <v>市政基础设施</v>
      </c>
      <c r="AA37" s="704">
        <f t="shared" si="3"/>
        <v>1</v>
      </c>
      <c r="AB37" s="704">
        <f t="shared" si="4"/>
        <v>1</v>
      </c>
      <c r="AC37" s="704">
        <f t="shared" si="5"/>
        <v>1</v>
      </c>
    </row>
    <row r="38" spans="1:29" ht="15">
      <c r="A38" s="423"/>
      <c r="B38" s="375" t="s">
        <v>1788</v>
      </c>
      <c r="C38" s="1902" t="s">
        <v>3427</v>
      </c>
      <c r="D38" s="386">
        <v>100</v>
      </c>
      <c r="E38" s="1902" t="s">
        <v>3427</v>
      </c>
      <c r="F38" s="412">
        <f>SUMIF(114:114,E38,115:115)-SUMIF(114:114,C38,115:115)+100</f>
        <v>100</v>
      </c>
      <c r="G38" s="1902" t="s">
        <v>3427</v>
      </c>
      <c r="H38" s="386">
        <f>SUMIF(114:114,G38,115:115)-SUMIF(114:114,C38,115:115)+100</f>
        <v>100</v>
      </c>
      <c r="I38" s="1902" t="s">
        <v>3427</v>
      </c>
      <c r="J38" s="386">
        <f>SUMIF(114:114,I38,115:115)-SUMIF(114:114,C38,115:115)+100</f>
        <v>100</v>
      </c>
      <c r="K38" s="561">
        <v>10</v>
      </c>
      <c r="L38" s="2717"/>
      <c r="M38" s="2711"/>
      <c r="N38" s="2711"/>
      <c r="O38" s="2711"/>
      <c r="P38" s="3706" t="s">
        <v>1696</v>
      </c>
      <c r="Q38" s="3453" t="str">
        <f t="shared" si="11"/>
        <v>业态</v>
      </c>
      <c r="R38" s="705" t="s">
        <v>14</v>
      </c>
      <c r="S38" s="706">
        <f t="shared" si="12"/>
        <v>100</v>
      </c>
      <c r="T38" s="705" t="s">
        <v>14</v>
      </c>
      <c r="U38" s="706">
        <f t="shared" si="13"/>
        <v>100</v>
      </c>
      <c r="V38" s="705" t="s">
        <v>14</v>
      </c>
      <c r="W38" s="706">
        <f t="shared" si="14"/>
        <v>100</v>
      </c>
      <c r="X38" s="3451"/>
      <c r="Y38" s="3708" t="s">
        <v>1696</v>
      </c>
      <c r="Z38" s="3452" t="str">
        <f t="shared" si="15"/>
        <v>业态</v>
      </c>
      <c r="AA38" s="3454">
        <f t="shared" si="3"/>
        <v>1</v>
      </c>
      <c r="AB38" s="3454">
        <f t="shared" si="4"/>
        <v>1</v>
      </c>
      <c r="AC38" s="3454">
        <f t="shared" si="5"/>
        <v>1</v>
      </c>
    </row>
    <row r="39" spans="1:29" ht="15">
      <c r="A39" s="423"/>
      <c r="B39" s="375" t="s">
        <v>1789</v>
      </c>
      <c r="C39" s="1902" t="s">
        <v>3431</v>
      </c>
      <c r="D39" s="386">
        <v>100</v>
      </c>
      <c r="E39" s="1902" t="s">
        <v>3431</v>
      </c>
      <c r="F39" s="412">
        <f>SUMIF(116:116,E39,117:117)-SUMIF(116:116,C39,117:117)+100</f>
        <v>100</v>
      </c>
      <c r="G39" s="1902" t="s">
        <v>3431</v>
      </c>
      <c r="H39" s="386">
        <f>SUMIF(116:116,G39,117:117)-SUMIF(116:116,C39,117:117)+100</f>
        <v>100</v>
      </c>
      <c r="I39" s="1902" t="s">
        <v>3431</v>
      </c>
      <c r="J39" s="386">
        <f>SUMIF(116:116,I39,117:117)-SUMIF(116:116,C39,117:117)+100</f>
        <v>100</v>
      </c>
      <c r="K39" s="561">
        <v>5</v>
      </c>
      <c r="L39" s="2717"/>
      <c r="M39" s="2711"/>
      <c r="N39" s="2711"/>
      <c r="O39" s="2711"/>
      <c r="P39" s="3706"/>
      <c r="Q39" s="3453" t="str">
        <f t="shared" si="11"/>
        <v>层高</v>
      </c>
      <c r="R39" s="705" t="s">
        <v>14</v>
      </c>
      <c r="S39" s="706">
        <f t="shared" si="12"/>
        <v>100</v>
      </c>
      <c r="T39" s="705" t="s">
        <v>14</v>
      </c>
      <c r="U39" s="706">
        <f t="shared" si="13"/>
        <v>100</v>
      </c>
      <c r="V39" s="705" t="s">
        <v>14</v>
      </c>
      <c r="W39" s="706">
        <f t="shared" si="14"/>
        <v>100</v>
      </c>
      <c r="X39" s="3451"/>
      <c r="Y39" s="3708"/>
      <c r="Z39" s="3452" t="str">
        <f t="shared" si="15"/>
        <v>层高</v>
      </c>
      <c r="AA39" s="3454">
        <f t="shared" si="3"/>
        <v>1</v>
      </c>
      <c r="AB39" s="3454">
        <f t="shared" si="4"/>
        <v>1</v>
      </c>
      <c r="AC39" s="3454">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06"/>
      <c r="Q40" s="3453" t="str">
        <f t="shared" si="11"/>
        <v>单套建筑面积</v>
      </c>
      <c r="R40" s="705" t="s">
        <v>14</v>
      </c>
      <c r="S40" s="706">
        <f t="shared" si="12"/>
        <v>100</v>
      </c>
      <c r="T40" s="705" t="s">
        <v>14</v>
      </c>
      <c r="U40" s="706">
        <f t="shared" si="13"/>
        <v>100</v>
      </c>
      <c r="V40" s="705" t="s">
        <v>14</v>
      </c>
      <c r="W40" s="706">
        <f t="shared" si="14"/>
        <v>100</v>
      </c>
      <c r="X40" s="3451"/>
      <c r="Y40" s="3708"/>
      <c r="Z40" s="3452" t="str">
        <f t="shared" si="15"/>
        <v>单套建筑面积</v>
      </c>
      <c r="AA40" s="3454">
        <f t="shared" si="3"/>
        <v>1</v>
      </c>
      <c r="AB40" s="3454">
        <f t="shared" si="4"/>
        <v>1</v>
      </c>
      <c r="AC40" s="3454">
        <f t="shared" si="5"/>
        <v>1</v>
      </c>
    </row>
    <row r="41" spans="1:29" s="422" customFormat="1" ht="15">
      <c r="A41" s="419"/>
      <c r="B41" s="3455"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3454">
        <f t="shared" si="3"/>
        <v>1</v>
      </c>
      <c r="AB41" s="3454">
        <f t="shared" si="4"/>
        <v>1</v>
      </c>
      <c r="AC41" s="3454">
        <f t="shared" si="5"/>
        <v>1</v>
      </c>
    </row>
    <row r="42" spans="1:29" ht="15">
      <c r="A42" s="423"/>
      <c r="B42" s="375" t="s">
        <v>1792</v>
      </c>
      <c r="C42" s="1902" t="s">
        <v>3434</v>
      </c>
      <c r="D42" s="386">
        <v>100</v>
      </c>
      <c r="E42" s="1902" t="s">
        <v>3434</v>
      </c>
      <c r="F42" s="412">
        <f>SUMIF(122:122,E42,123:123)-SUMIF(122:122,C42,123:123)+100</f>
        <v>100</v>
      </c>
      <c r="G42" s="1902" t="s">
        <v>3434</v>
      </c>
      <c r="H42" s="386">
        <f>SUMIF(122:122,G42,123:123)-SUMIF(122:122,C42,123:123)+100</f>
        <v>100</v>
      </c>
      <c r="I42" s="1902" t="s">
        <v>3434</v>
      </c>
      <c r="J42" s="386">
        <f>SUMIF(122:122,I42,123:123)-SUMIF(122:122,C42,123:123)+100</f>
        <v>100</v>
      </c>
      <c r="K42" s="561">
        <v>2</v>
      </c>
      <c r="L42" s="2717"/>
      <c r="M42" s="2711"/>
      <c r="N42" s="2711"/>
      <c r="O42" s="2711"/>
      <c r="P42" s="3706"/>
      <c r="Q42" s="3453" t="str">
        <f t="shared" si="11"/>
        <v>内部装修</v>
      </c>
      <c r="R42" s="705" t="s">
        <v>14</v>
      </c>
      <c r="S42" s="706">
        <f t="shared" si="12"/>
        <v>100</v>
      </c>
      <c r="T42" s="705" t="s">
        <v>14</v>
      </c>
      <c r="U42" s="706">
        <f t="shared" si="13"/>
        <v>100</v>
      </c>
      <c r="V42" s="705" t="s">
        <v>14</v>
      </c>
      <c r="W42" s="706">
        <f t="shared" si="14"/>
        <v>100</v>
      </c>
      <c r="X42" s="3451"/>
      <c r="Y42" s="3708"/>
      <c r="Z42" s="3452" t="str">
        <f t="shared" si="15"/>
        <v>内部装修</v>
      </c>
      <c r="AA42" s="3454">
        <f t="shared" si="3"/>
        <v>1</v>
      </c>
      <c r="AB42" s="3454">
        <f t="shared" si="4"/>
        <v>1</v>
      </c>
      <c r="AC42" s="3454">
        <f t="shared" si="5"/>
        <v>1</v>
      </c>
    </row>
    <row r="43" spans="1:29" ht="15">
      <c r="A43" s="423"/>
      <c r="B43" s="375" t="s">
        <v>1707</v>
      </c>
      <c r="C43" s="1902" t="s">
        <v>3396</v>
      </c>
      <c r="D43" s="386">
        <v>100</v>
      </c>
      <c r="E43" s="1902" t="s">
        <v>3396</v>
      </c>
      <c r="F43" s="412">
        <f>SUMIF(124:124,E43,125:125)-SUMIF(124:124,C43,125:125)+100</f>
        <v>100</v>
      </c>
      <c r="G43" s="1902" t="s">
        <v>3396</v>
      </c>
      <c r="H43" s="386">
        <f>SUMIF(124:124,G43,125:125)-SUMIF(124:124,C43,125:125)+100</f>
        <v>100</v>
      </c>
      <c r="I43" s="1902" t="s">
        <v>3396</v>
      </c>
      <c r="J43" s="386">
        <f>SUMIF(124:124,I43,125:125)-SUMIF(124:124,C43,125:125)+100</f>
        <v>100</v>
      </c>
      <c r="K43" s="561">
        <v>2</v>
      </c>
      <c r="L43" s="2717"/>
      <c r="M43" s="2711"/>
      <c r="N43" s="2711"/>
      <c r="O43" s="2711"/>
      <c r="P43" s="3706"/>
      <c r="Q43" s="3453" t="str">
        <f t="shared" si="11"/>
        <v>内部装修维护情况</v>
      </c>
      <c r="R43" s="705" t="s">
        <v>14</v>
      </c>
      <c r="S43" s="706">
        <f t="shared" si="12"/>
        <v>100</v>
      </c>
      <c r="T43" s="705" t="s">
        <v>14</v>
      </c>
      <c r="U43" s="706">
        <f t="shared" si="13"/>
        <v>100</v>
      </c>
      <c r="V43" s="705" t="s">
        <v>14</v>
      </c>
      <c r="W43" s="706">
        <f t="shared" si="14"/>
        <v>100</v>
      </c>
      <c r="X43" s="3451"/>
      <c r="Y43" s="3708"/>
      <c r="Z43" s="3452" t="str">
        <f t="shared" si="15"/>
        <v>内部装修维护情况</v>
      </c>
      <c r="AA43" s="3454">
        <f t="shared" si="3"/>
        <v>1</v>
      </c>
      <c r="AB43" s="3454">
        <f t="shared" si="4"/>
        <v>1</v>
      </c>
      <c r="AC43" s="3454">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6"/>
      <c r="Q44" s="3450">
        <f t="shared" si="11"/>
        <v>111</v>
      </c>
      <c r="R44" s="701" t="s">
        <v>14</v>
      </c>
      <c r="S44" s="702">
        <f t="shared" si="12"/>
        <v>100</v>
      </c>
      <c r="T44" s="701" t="s">
        <v>14</v>
      </c>
      <c r="U44" s="702">
        <f t="shared" si="13"/>
        <v>100</v>
      </c>
      <c r="V44" s="701" t="s">
        <v>14</v>
      </c>
      <c r="W44" s="702">
        <f t="shared" si="14"/>
        <v>100</v>
      </c>
      <c r="X44" s="703"/>
      <c r="Y44" s="3708"/>
      <c r="Z44" s="3449">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6"/>
      <c r="Q45" s="3453">
        <f t="shared" si="11"/>
        <v>111</v>
      </c>
      <c r="R45" s="705" t="s">
        <v>14</v>
      </c>
      <c r="S45" s="706">
        <f t="shared" si="12"/>
        <v>100</v>
      </c>
      <c r="T45" s="705" t="s">
        <v>14</v>
      </c>
      <c r="U45" s="706">
        <f t="shared" si="13"/>
        <v>100</v>
      </c>
      <c r="V45" s="705" t="s">
        <v>14</v>
      </c>
      <c r="W45" s="706">
        <f t="shared" si="14"/>
        <v>100</v>
      </c>
      <c r="X45" s="3451"/>
      <c r="Y45" s="3708"/>
      <c r="Z45" s="3452">
        <f t="shared" si="15"/>
        <v>111</v>
      </c>
      <c r="AA45" s="3454">
        <f t="shared" si="3"/>
        <v>1</v>
      </c>
      <c r="AB45" s="3454">
        <f t="shared" si="4"/>
        <v>1</v>
      </c>
      <c r="AC45" s="3454">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7"/>
      <c r="Q46" s="3453">
        <f t="shared" si="11"/>
        <v>111</v>
      </c>
      <c r="R46" s="705" t="s">
        <v>14</v>
      </c>
      <c r="S46" s="706">
        <f t="shared" si="12"/>
        <v>100</v>
      </c>
      <c r="T46" s="705" t="s">
        <v>14</v>
      </c>
      <c r="U46" s="706">
        <f t="shared" si="13"/>
        <v>100</v>
      </c>
      <c r="V46" s="705" t="s">
        <v>14</v>
      </c>
      <c r="W46" s="706">
        <f t="shared" si="14"/>
        <v>100</v>
      </c>
      <c r="X46" s="3451"/>
      <c r="Y46" s="3709"/>
      <c r="Z46" s="3452">
        <f t="shared" si="15"/>
        <v>111</v>
      </c>
      <c r="AA46" s="3454">
        <f t="shared" si="3"/>
        <v>1</v>
      </c>
      <c r="AB46" s="3454">
        <f t="shared" si="4"/>
        <v>1</v>
      </c>
      <c r="AC46" s="3454">
        <f t="shared" si="5"/>
        <v>1</v>
      </c>
    </row>
    <row r="47" spans="1:29" ht="15">
      <c r="A47" s="430" t="s">
        <v>1708</v>
      </c>
      <c r="B47" s="431"/>
      <c r="C47" s="1150" t="s">
        <v>0</v>
      </c>
      <c r="D47" s="1151"/>
      <c r="E47" s="1152">
        <v>4.375</v>
      </c>
      <c r="F47" s="1153"/>
      <c r="G47" s="1154">
        <v>4.17</v>
      </c>
      <c r="H47" s="1155"/>
      <c r="I47" s="1154">
        <v>4.17</v>
      </c>
      <c r="J47" s="1155"/>
      <c r="K47" s="714"/>
      <c r="L47" s="2719"/>
      <c r="M47" s="2720"/>
      <c r="N47" s="2711"/>
      <c r="O47" s="2720"/>
      <c r="P47" s="3710" t="str">
        <f>A47</f>
        <v>成交单价（元/平方米）</v>
      </c>
      <c r="Q47" s="3710"/>
      <c r="R47" s="3698">
        <f>E47</f>
        <v>4.375</v>
      </c>
      <c r="S47" s="3698"/>
      <c r="T47" s="3698">
        <f>G47</f>
        <v>4.17</v>
      </c>
      <c r="U47" s="3698"/>
      <c r="V47" s="3698">
        <f>I47</f>
        <v>4.17</v>
      </c>
      <c r="W47" s="3698"/>
      <c r="X47" s="690"/>
      <c r="Y47" s="712"/>
      <c r="Z47" s="690"/>
      <c r="AA47" s="690"/>
      <c r="AB47" s="690"/>
      <c r="AC47" s="690"/>
    </row>
    <row r="48" spans="1:29" ht="15.75" thickBot="1">
      <c r="A48" s="437" t="s">
        <v>1709</v>
      </c>
      <c r="B48" s="438"/>
      <c r="C48" s="1156">
        <f>R49</f>
        <v>3.9</v>
      </c>
      <c r="D48" s="2313" t="s">
        <v>2137</v>
      </c>
      <c r="E48" s="1157">
        <f>R48</f>
        <v>4</v>
      </c>
      <c r="F48" s="2314"/>
      <c r="G48" s="1156">
        <f>T48</f>
        <v>4</v>
      </c>
      <c r="H48" s="2314"/>
      <c r="I48" s="1157">
        <f>V48</f>
        <v>3.8</v>
      </c>
      <c r="J48" s="2314"/>
      <c r="K48" s="2316">
        <f>F48+H48+J48</f>
        <v>0</v>
      </c>
      <c r="L48" s="2719"/>
      <c r="M48" s="2720"/>
      <c r="N48" s="2711"/>
      <c r="O48" s="2720"/>
      <c r="P48" s="3710" t="str">
        <f>A48</f>
        <v>比较价值（元/平方米）</v>
      </c>
      <c r="Q48" s="3710"/>
      <c r="R48" s="3711">
        <f>IF(F1="售价",ROUND(PRODUCT(R47,AA7:AA46),0),ROUND(PRODUCT(R47,AA7:AA46),1))</f>
        <v>4</v>
      </c>
      <c r="S48" s="3711"/>
      <c r="T48" s="3711">
        <f>IF(F1="售价",ROUND(PRODUCT(T47,AB7:AB46),0),ROUND(PRODUCT(T47,AB7:AB46),1))</f>
        <v>4</v>
      </c>
      <c r="U48" s="3711"/>
      <c r="V48" s="3711">
        <f>IF(F1="售价",ROUND(PRODUCT(V47,AC7:AC46),0),ROUND(PRODUCT(V47,AC7:AC46),1))</f>
        <v>3.8</v>
      </c>
      <c r="W48" s="3711"/>
      <c r="X48" s="690"/>
      <c r="Y48" s="690"/>
      <c r="Z48" s="690"/>
      <c r="AA48" s="690"/>
      <c r="AB48" s="690"/>
      <c r="AC48" s="690"/>
    </row>
    <row r="49" spans="1:29" ht="15.75" thickBot="1">
      <c r="A49" s="441" t="s">
        <v>1710</v>
      </c>
      <c r="B49" s="442"/>
      <c r="C49" s="1159">
        <f>R49</f>
        <v>3.9</v>
      </c>
      <c r="D49" s="1159"/>
      <c r="E49" s="1159"/>
      <c r="F49" s="1159"/>
      <c r="G49" s="1159"/>
      <c r="H49" s="1159"/>
      <c r="I49" s="1159"/>
      <c r="J49" s="1159"/>
      <c r="K49" s="715"/>
      <c r="L49" s="2719"/>
      <c r="M49" s="2720"/>
      <c r="N49" s="2711"/>
      <c r="O49" s="2720"/>
      <c r="P49" s="3746" t="str">
        <f>A49</f>
        <v>估价对象XX用房的比较价值（楼面单价，元/平方米）</v>
      </c>
      <c r="Q49" s="3747"/>
      <c r="R49" s="3748">
        <f>IF(F1="售价",ROUND(IF(D48="简单平均",AVERAGE(R48:V48),R48*F48+T48*H48+V48*J48),0),ROUND(IF(D48="简单平均",AVERAGE(R48:V48),R48*F48+T48*H48+V48*J48),1))</f>
        <v>3.9</v>
      </c>
      <c r="S49" s="3748"/>
      <c r="T49" s="3748"/>
      <c r="U49" s="3748"/>
      <c r="V49" s="3748"/>
      <c r="W49" s="3748"/>
      <c r="X49" s="690"/>
      <c r="Y49" s="690"/>
      <c r="Z49" s="690"/>
      <c r="AA49" s="690"/>
      <c r="AB49" s="690"/>
      <c r="AC49" s="690"/>
    </row>
    <row r="50" spans="1:29">
      <c r="A50" s="2720"/>
      <c r="B50" s="2720"/>
      <c r="C50" s="2720">
        <v>2004</v>
      </c>
      <c r="D50" s="2720"/>
      <c r="E50" s="2720">
        <v>2000</v>
      </c>
      <c r="F50" s="2720"/>
      <c r="G50" s="2724"/>
      <c r="H50" s="2720"/>
      <c r="I50" s="2720">
        <v>2000</v>
      </c>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1711</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1712</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1714</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80" t="str">
        <f>YEAR(C7)&amp;"-"&amp;MONTH(C7)</f>
        <v>2023-12</v>
      </c>
      <c r="D58" s="1181">
        <f>EDATE(C58,-1)</f>
        <v>45231</v>
      </c>
      <c r="E58" s="1181">
        <f t="shared" ref="E58:N58" si="16">EDATE(D58,-1)</f>
        <v>45200</v>
      </c>
      <c r="F58" s="1181">
        <f t="shared" si="16"/>
        <v>45170</v>
      </c>
      <c r="G58" s="1181">
        <f t="shared" si="16"/>
        <v>45139</v>
      </c>
      <c r="H58" s="1181">
        <f t="shared" si="16"/>
        <v>45108</v>
      </c>
      <c r="I58" s="1181">
        <f t="shared" si="16"/>
        <v>45078</v>
      </c>
      <c r="J58" s="1181">
        <f t="shared" si="16"/>
        <v>45047</v>
      </c>
      <c r="K58" s="1181">
        <f t="shared" si="16"/>
        <v>45017</v>
      </c>
      <c r="L58" s="1181">
        <f t="shared" si="16"/>
        <v>44986</v>
      </c>
      <c r="M58" s="1181">
        <f t="shared" si="16"/>
        <v>44958</v>
      </c>
      <c r="N58" s="1181">
        <f t="shared" si="16"/>
        <v>44927</v>
      </c>
      <c r="O58" s="1181">
        <f>EDATE(N58,-1)</f>
        <v>44896</v>
      </c>
      <c r="P58" s="2735"/>
      <c r="Q58" s="2736"/>
      <c r="R58" s="2736"/>
      <c r="S58" s="2736"/>
      <c r="T58" s="2736"/>
      <c r="U58" s="2736"/>
      <c r="V58" s="2736"/>
      <c r="W58" s="2736"/>
      <c r="X58" s="2736"/>
      <c r="Y58" s="2736"/>
      <c r="Z58" s="2736"/>
      <c r="AA58" s="2736"/>
      <c r="AB58" s="2736"/>
      <c r="AC58" s="2736"/>
    </row>
    <row r="59" spans="1:29" s="108" customFormat="1" ht="15">
      <c r="A59" s="458"/>
      <c r="B59" s="459"/>
      <c r="C59" s="1179">
        <v>100</v>
      </c>
      <c r="D59" s="461"/>
      <c r="E59" s="461"/>
      <c r="F59" s="461"/>
      <c r="G59" s="461"/>
      <c r="H59" s="461"/>
      <c r="I59" s="461"/>
      <c r="J59" s="461"/>
      <c r="K59" s="461"/>
      <c r="L59" s="461"/>
      <c r="M59" s="462"/>
      <c r="N59" s="461"/>
      <c r="O59" s="462"/>
      <c r="P59" s="2737"/>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7"/>
      <c r="S60" s="2657"/>
      <c r="T60" s="2657"/>
      <c r="U60" s="2657"/>
      <c r="V60" s="2657"/>
      <c r="W60" s="2657"/>
      <c r="X60" s="2657"/>
      <c r="Y60" s="2657"/>
      <c r="Z60" s="2657"/>
      <c r="AA60" s="2657"/>
      <c r="AB60" s="2657"/>
      <c r="AC60" s="2657"/>
    </row>
    <row r="61" spans="1:29" s="108" customFormat="1" ht="15">
      <c r="A61" s="470" t="s">
        <v>1681</v>
      </c>
      <c r="B61" s="459"/>
      <c r="C61" s="471" t="s">
        <v>1718</v>
      </c>
      <c r="D61" s="3443" t="s">
        <v>3408</v>
      </c>
      <c r="E61" s="472"/>
      <c r="F61" s="472"/>
      <c r="G61" s="472"/>
      <c r="H61" s="472"/>
      <c r="I61" s="472"/>
      <c r="J61" s="472"/>
      <c r="K61" s="472"/>
      <c r="L61" s="473"/>
      <c r="M61" s="474"/>
      <c r="N61" s="2747"/>
      <c r="O61" s="2747"/>
      <c r="P61" s="2738"/>
      <c r="Q61" s="2734"/>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49"/>
      <c r="O89" s="2749"/>
      <c r="P89" s="2739"/>
      <c r="Q89" s="2734"/>
      <c r="R89" s="2657"/>
      <c r="S89" s="2657"/>
      <c r="T89" s="2657"/>
      <c r="U89" s="2657"/>
      <c r="V89" s="2657"/>
      <c r="W89" s="2657"/>
      <c r="X89" s="2657"/>
      <c r="Y89" s="2657"/>
      <c r="Z89" s="2657"/>
      <c r="AA89" s="2657"/>
      <c r="AB89" s="2657"/>
      <c r="AC89" s="2657"/>
    </row>
    <row r="90" spans="1:29" s="422" customFormat="1" ht="15.75" thickTop="1">
      <c r="A90" s="502"/>
      <c r="B90" s="487" t="str">
        <f>B27</f>
        <v>人流量</v>
      </c>
      <c r="C90" s="3445" t="s">
        <v>3414</v>
      </c>
      <c r="D90" s="3445" t="s">
        <v>3416</v>
      </c>
      <c r="E90" s="3445" t="s">
        <v>3417</v>
      </c>
      <c r="F90" s="3445" t="s">
        <v>3418</v>
      </c>
      <c r="G90" s="3445" t="s">
        <v>3419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3420</v>
      </c>
      <c r="D92" s="503" t="s">
        <v>3421</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46" t="s">
        <v>3422</v>
      </c>
      <c r="D100" s="3446" t="s">
        <v>3440</v>
      </c>
      <c r="E100" s="3446" t="s">
        <v>3424</v>
      </c>
      <c r="F100" s="3446"/>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400</v>
      </c>
      <c r="G103" s="544">
        <v>800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45" t="s">
        <v>3410</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45" t="s">
        <v>3412</v>
      </c>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45" t="s">
        <v>3428</v>
      </c>
      <c r="D114" s="3445" t="s">
        <v>3429</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45" t="s">
        <v>3430</v>
      </c>
      <c r="D116" s="3445" t="s">
        <v>3432</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45" t="s">
        <v>3433</v>
      </c>
      <c r="D122" s="3445" t="s">
        <v>3435</v>
      </c>
      <c r="E122" s="3445" t="s">
        <v>3437</v>
      </c>
      <c r="F122" s="3447" t="s">
        <v>3438</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55" priority="20"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t="s">
        <v>3466</v>
      </c>
      <c r="C1" s="1855" t="s">
        <v>1563</v>
      </c>
      <c r="D1" s="198"/>
      <c r="E1" s="198"/>
      <c r="F1" s="198"/>
      <c r="G1" s="1122" t="e">
        <f>MATCH(B1,'数据-取费表'!A6:A16,0)+5</f>
        <v>#N/A</v>
      </c>
      <c r="H1" s="1057" t="str">
        <f>IF(ISERROR(FIND("住宅",B1)),"非住宅","住宅")</f>
        <v>非住宅</v>
      </c>
    </row>
    <row r="2" spans="1:8" s="200" customFormat="1" ht="18" customHeight="1">
      <c r="A2" s="201" t="s">
        <v>1462</v>
      </c>
      <c r="B2" s="3419"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4" t="s">
        <v>1472</v>
      </c>
      <c r="B6" s="215" t="s">
        <v>1473</v>
      </c>
      <c r="C6" s="216">
        <f>基准地价修正!D33*基准地价修正!C33</f>
        <v>1311485787.75</v>
      </c>
      <c r="D6" s="217"/>
      <c r="E6" s="218"/>
      <c r="F6" s="218"/>
      <c r="G6" s="219"/>
    </row>
    <row r="7" spans="1:8" s="214" customFormat="1" ht="13.5" customHeight="1">
      <c r="A7" s="774" t="s">
        <v>1474</v>
      </c>
      <c r="B7" s="215" t="s">
        <v>1475</v>
      </c>
      <c r="C7" s="220">
        <f>ROUND(C6*F7,0)</f>
        <v>40000317</v>
      </c>
      <c r="D7" s="220"/>
      <c r="E7" s="218"/>
      <c r="F7" s="221">
        <f>IF(项目基本情况!B8="出让",0,'数据-取费表'!B48+'数据-取费表'!B49)</f>
        <v>3.0499999999999999E-2</v>
      </c>
      <c r="G7" s="219"/>
    </row>
    <row r="8" spans="1:8" s="223" customFormat="1">
      <c r="A8" s="774" t="s">
        <v>1476</v>
      </c>
      <c r="B8" s="215" t="s">
        <v>1477</v>
      </c>
      <c r="C8" s="220" t="e">
        <f ca="1">IF(G8="已包含在土地购买价格中",0,C9+C10)</f>
        <v>#N/A</v>
      </c>
      <c r="D8" s="222"/>
      <c r="E8" s="220"/>
      <c r="F8" s="221"/>
      <c r="G8" s="1852" t="s">
        <v>3398</v>
      </c>
    </row>
    <row r="9" spans="1:8" s="214" customFormat="1" ht="13.5" customHeight="1">
      <c r="A9" s="775" t="s">
        <v>355</v>
      </c>
      <c r="B9" s="224" t="s">
        <v>1478</v>
      </c>
      <c r="C9" s="225" t="e">
        <f ca="1">ROUND(D9*E9,0)</f>
        <v>#N/A</v>
      </c>
      <c r="D9" s="841" t="e">
        <f ca="1">IF(B1="",'数据-汇总表'!E5,IF(INDIRECT("'数据-取费表'!c"&amp;$G$1)="住宅",INDIRECT("'数据-取费表'!k"&amp;$G$1),0))</f>
        <v>#N/A</v>
      </c>
      <c r="E9" s="225">
        <f>'数据-取费表'!B27</f>
        <v>0</v>
      </c>
      <c r="F9" s="221"/>
      <c r="G9" s="226"/>
    </row>
    <row r="10" spans="1:8" s="214" customFormat="1" ht="13.5" customHeight="1">
      <c r="A10" s="775" t="s">
        <v>356</v>
      </c>
      <c r="B10" s="224" t="s">
        <v>1480</v>
      </c>
      <c r="C10" s="225" t="e">
        <f ca="1">ROUND(D10*E10,0)</f>
        <v>#N/A</v>
      </c>
      <c r="D10" s="841"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t="e">
        <f ca="1">D9+D10</f>
        <v>#N/A</v>
      </c>
      <c r="E19" s="211">
        <f>'数据-取费表'!B31</f>
        <v>200</v>
      </c>
      <c r="F19" s="231"/>
      <c r="G19" s="1852" t="s">
        <v>3399</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6" t="s">
        <v>1472</v>
      </c>
      <c r="B23" s="215" t="s">
        <v>1583</v>
      </c>
      <c r="C23" s="1124" t="e">
        <f ca="1">ROUND(IF('数据-取费表'!B22&lt;=1,C5*F22*'数据-取费表'!B22,C5*(POWER((1+F22),'数据-取费表'!B22)-1)),0)</f>
        <v>#N/A</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t="e">
        <f ca="1">ROUND(IF('数据-取费表'!B22&lt;=1,C20*F22*'数据-取费表'!B22/2,C20*(POWER((1+F22),'数据-取费表'!B22/2)-1)),0)</f>
        <v>#N/A</v>
      </c>
      <c r="D25" s="238"/>
      <c r="E25" s="241"/>
      <c r="F25" s="239"/>
      <c r="G25" s="242" t="s">
        <v>1588</v>
      </c>
    </row>
    <row r="26" spans="1:7" s="214" customFormat="1">
      <c r="A26" s="776"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6" t="s">
        <v>346</v>
      </c>
      <c r="B28" s="248" t="s">
        <v>1516</v>
      </c>
      <c r="C28" s="249" t="e">
        <f ca="1">ROUND((C5+C19+C20)*F27,0)</f>
        <v>#N/A</v>
      </c>
      <c r="D28" s="235"/>
      <c r="E28" s="236"/>
      <c r="F28" s="246"/>
      <c r="G28" s="247"/>
    </row>
    <row r="29" spans="1:7" s="214" customFormat="1" ht="13.5" customHeight="1">
      <c r="A29" s="776" t="s">
        <v>347</v>
      </c>
      <c r="B29" s="248" t="s">
        <v>1517</v>
      </c>
      <c r="C29" s="238" t="e">
        <f ca="1">ROUND(C21*F27,4)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6"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6" t="s">
        <v>351</v>
      </c>
      <c r="B35" s="215" t="s">
        <v>1527</v>
      </c>
      <c r="C35" s="220" t="e">
        <f ca="1">ROUND(C34*F35,0)</f>
        <v>#N/A</v>
      </c>
      <c r="D35" s="220"/>
      <c r="E35" s="220"/>
      <c r="F35" s="259">
        <f>'数据-取费表'!B33</f>
        <v>0.03</v>
      </c>
      <c r="G35" s="219" t="s">
        <v>1528</v>
      </c>
    </row>
    <row r="36" spans="1:7" ht="24">
      <c r="A36" s="776"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6" t="s">
        <v>353</v>
      </c>
      <c r="B37" s="215" t="s">
        <v>1531</v>
      </c>
      <c r="C37" s="249" t="e">
        <f ca="1">ROUND(E37*D37,0)</f>
        <v>#N/A</v>
      </c>
      <c r="D37" s="217" t="e">
        <f ca="1">D19</f>
        <v>#N/A</v>
      </c>
      <c r="E37" s="249">
        <f>'数据-取费表'!B35</f>
        <v>200</v>
      </c>
      <c r="F37" s="259"/>
      <c r="G37" s="261"/>
    </row>
    <row r="38" spans="1:7" ht="13.5" customHeight="1">
      <c r="A38" s="776"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t="e">
        <f ca="1">ROUND(IF('数据-取费表'!B22&lt;=1,C33*F22*'数据-取费表'!B20/2,C33*(POWER((1+F22),'数据-取费表'!B20/2)-1)),0)</f>
        <v>#N/A</v>
      </c>
      <c r="D42" s="238"/>
      <c r="E42" s="238"/>
      <c r="F42" s="239"/>
      <c r="G42" s="3734" t="s">
        <v>1591</v>
      </c>
    </row>
    <row r="43" spans="1:7" ht="13.5" customHeight="1">
      <c r="A43" s="776" t="s">
        <v>347</v>
      </c>
      <c r="B43" s="215" t="s">
        <v>1545</v>
      </c>
      <c r="C43" s="238" t="e">
        <f ca="1">ROUND(IF('数据-取费表'!B22&lt;=1,C39*F22*'数据-取费表'!B20/2,C39*(POWER((1+F22),'数据-取费表'!B20/2)-1)),0)</f>
        <v>#N/A</v>
      </c>
      <c r="D43" s="238"/>
      <c r="E43" s="238"/>
      <c r="F43" s="239"/>
      <c r="G43" s="3735"/>
    </row>
    <row r="44" spans="1:7" ht="13.5" customHeight="1">
      <c r="A44" s="776" t="s">
        <v>348</v>
      </c>
      <c r="B44" s="215" t="s">
        <v>1546</v>
      </c>
      <c r="C44" s="238">
        <f ca="1">ROUND(IF('数据-取费表'!B22&lt;=1,C40*F22*'数据-取费表'!B20/2,C40*(POWER((1+F22),'数据-取费表'!B20/2)-1)),4)</f>
        <v>6.9999999999999999E-4</v>
      </c>
      <c r="D44" s="238"/>
      <c r="E44" s="238"/>
      <c r="F44" s="239"/>
      <c r="G44" s="3736"/>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6" t="s">
        <v>346</v>
      </c>
      <c r="B46" s="248" t="s">
        <v>1549</v>
      </c>
      <c r="C46" s="249" t="e">
        <f ca="1">ROUND((C33+C39)*F27,0)</f>
        <v>#N/A</v>
      </c>
      <c r="D46" s="263"/>
      <c r="E46" s="236"/>
      <c r="F46" s="246"/>
      <c r="G46" s="247"/>
    </row>
    <row r="47" spans="1:7" s="214" customFormat="1" ht="13.5" customHeight="1">
      <c r="A47" s="776" t="s">
        <v>347</v>
      </c>
      <c r="B47" s="248" t="s">
        <v>1550</v>
      </c>
      <c r="C47" s="238" t="e">
        <f ca="1">ROUND(C40*F27,4)</f>
        <v>#N/A</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7"/>
      <c r="C1" s="1188"/>
      <c r="D1" s="1186"/>
      <c r="E1" s="2801"/>
      <c r="F1" s="2801"/>
      <c r="G1" s="2666"/>
      <c r="H1" s="2801"/>
      <c r="I1" s="2801"/>
      <c r="J1" s="2801"/>
      <c r="K1" s="2802">
        <f>MATCH(C1,'数据-取费表'!A6:A16,0)+5</f>
        <v>10</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0.03</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67567.27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1.4999999999999999E-2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67567.27</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361</v>
      </c>
      <c r="B20" s="797" t="s">
        <v>1627</v>
      </c>
      <c r="C20" s="21">
        <f ca="1">ROUND(D20*E20/10000,0)</f>
        <v>1284</v>
      </c>
      <c r="D20" s="842">
        <f ca="1">IF(C1="",'数据-汇总表'!E6,IF(INDIRECT("'数据-取费表'!c"&amp;$K$1)="住宅",INDIRECT("'数据-取费表'!s"&amp;$K$1),INDIRECT("'数据-取费表'!k"&amp;$K$1)+INDIRECT("'数据-取费表'!s"&amp;$K$1)))</f>
        <v>67567.27</v>
      </c>
      <c r="E20" s="21">
        <f>'数据-取费表'!B28</f>
        <v>190</v>
      </c>
      <c r="F20" s="800"/>
      <c r="G20" s="12"/>
      <c r="H20" s="805"/>
      <c r="I20" s="805"/>
      <c r="J20" s="805"/>
      <c r="K20" s="806"/>
    </row>
    <row r="21" spans="1:33" s="799" customFormat="1" ht="13.5" customHeight="1">
      <c r="A21" s="786" t="s">
        <v>357</v>
      </c>
      <c r="B21" s="809" t="s">
        <v>1628</v>
      </c>
      <c r="C21" s="810">
        <f ca="1">C16+C17+C18</f>
        <v>0</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0.02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0.02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1641</v>
      </c>
      <c r="B28" s="1861" t="s">
        <v>1642</v>
      </c>
      <c r="C28" s="287">
        <f ca="1">C30</f>
        <v>0</v>
      </c>
      <c r="D28" s="280">
        <f ca="1">C29</f>
        <v>0</v>
      </c>
      <c r="E28" s="282" t="s">
        <v>12</v>
      </c>
      <c r="F28" s="288">
        <f ca="1">IF(C1="",'数据-取费表'!Q16,INDIRECT("'数据-取费表'!q"&amp;$K$1))</f>
        <v>0.14000000000000001</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0</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5.6000000000000001E-2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2438</v>
      </c>
      <c r="B1" s="2827"/>
      <c r="C1" s="2839"/>
      <c r="D1" s="2839"/>
      <c r="E1" s="2828"/>
      <c r="F1" s="2829"/>
      <c r="G1" s="2830"/>
      <c r="J1" s="2833" t="s">
        <v>2317</v>
      </c>
      <c r="K1" s="2834"/>
      <c r="L1" s="2834"/>
      <c r="M1" s="2834"/>
      <c r="N1" s="2834"/>
      <c r="O1" s="2834"/>
      <c r="P1" s="2834"/>
      <c r="Q1" s="2834"/>
      <c r="R1" s="2835"/>
      <c r="S1" s="2836"/>
      <c r="T1" s="2836"/>
      <c r="U1" s="2836"/>
    </row>
    <row r="2" spans="1:22" s="2848" customFormat="1" ht="13.15" customHeight="1">
      <c r="A2" s="1381" t="s">
        <v>2318</v>
      </c>
      <c r="B2" s="2838" t="e">
        <f>IF(D2="——",C40,C40+E2)</f>
        <v>#DIV/0!</v>
      </c>
      <c r="C2" s="2839" t="s">
        <v>2319</v>
      </c>
      <c r="D2" s="3437" t="s">
        <v>3360</v>
      </c>
      <c r="E2" s="3438"/>
      <c r="F2" s="2841"/>
      <c r="G2" s="2842"/>
      <c r="H2" s="2843"/>
      <c r="I2" s="2844"/>
      <c r="J2" s="3749" t="s">
        <v>2320</v>
      </c>
      <c r="K2" s="3750"/>
      <c r="L2" s="2845" t="s">
        <v>2321</v>
      </c>
      <c r="M2" s="2845" t="s">
        <v>2322</v>
      </c>
      <c r="N2" s="2845" t="s">
        <v>2323</v>
      </c>
      <c r="O2" s="2845" t="s">
        <v>2324</v>
      </c>
      <c r="P2" s="2845" t="s">
        <v>2325</v>
      </c>
      <c r="Q2" s="2846" t="s">
        <v>2326</v>
      </c>
      <c r="R2" s="2847" t="s">
        <v>2327</v>
      </c>
      <c r="S2" s="2836"/>
      <c r="T2" s="2836"/>
      <c r="U2" s="2836"/>
      <c r="V2" s="2844"/>
    </row>
    <row r="3" spans="1:22" s="2848" customFormat="1" ht="13.15" customHeight="1">
      <c r="A3" s="2849" t="s">
        <v>2328</v>
      </c>
      <c r="B3" s="2850" t="e">
        <f>ROUND(B2*10000/B4,0)</f>
        <v>#DIV/0!</v>
      </c>
      <c r="C3" s="2839" t="s">
        <v>2329</v>
      </c>
      <c r="D3" s="2839"/>
      <c r="E3" s="2840"/>
      <c r="F3" s="2841"/>
      <c r="G3" s="2842"/>
      <c r="H3" s="2843"/>
      <c r="I3" s="2844"/>
      <c r="J3" s="3751" t="s">
        <v>2330</v>
      </c>
      <c r="K3" s="3752"/>
      <c r="L3" s="2851"/>
      <c r="M3" s="2851"/>
      <c r="N3" s="2851"/>
      <c r="O3" s="2851"/>
      <c r="P3" s="2851"/>
      <c r="Q3" s="2852"/>
      <c r="R3" s="2853">
        <f>SUM(L3:Q3)</f>
        <v>0</v>
      </c>
      <c r="S3" s="2836"/>
      <c r="T3" s="2836"/>
      <c r="U3" s="2836"/>
      <c r="V3" s="2844"/>
    </row>
    <row r="4" spans="1:22" s="2848" customFormat="1" ht="13.15" customHeight="1">
      <c r="A4" s="2854" t="s">
        <v>2331</v>
      </c>
      <c r="B4" s="2855"/>
      <c r="C4" s="2839"/>
      <c r="D4" s="2839"/>
      <c r="E4" s="2840"/>
      <c r="F4" s="2841"/>
      <c r="G4" s="2842"/>
      <c r="H4" s="2843"/>
      <c r="I4" s="2844"/>
      <c r="J4" s="3751" t="s">
        <v>2332</v>
      </c>
      <c r="K4" s="3752"/>
      <c r="L4" s="2856"/>
      <c r="M4" s="2856"/>
      <c r="N4" s="2856"/>
      <c r="O4" s="2856"/>
      <c r="P4" s="2856"/>
      <c r="Q4" s="2857"/>
      <c r="R4" s="2858">
        <f>SUM(L4:Q4)</f>
        <v>0</v>
      </c>
      <c r="S4" s="2836"/>
      <c r="T4" s="2836"/>
      <c r="U4" s="2836"/>
      <c r="V4" s="2844"/>
    </row>
    <row r="5" spans="1:22" s="2848" customFormat="1" ht="13.15" customHeight="1" thickBot="1">
      <c r="A5" s="2859" t="s">
        <v>2333</v>
      </c>
      <c r="B5" s="2860"/>
      <c r="C5" s="2839"/>
      <c r="D5" s="2861"/>
      <c r="E5" s="2841"/>
      <c r="F5" s="2841"/>
      <c r="G5" s="2842"/>
      <c r="H5" s="2843"/>
      <c r="I5" s="2844"/>
      <c r="J5" s="2862" t="s">
        <v>2334</v>
      </c>
      <c r="K5" s="2863"/>
      <c r="L5" s="2863"/>
      <c r="M5" s="2864"/>
      <c r="N5" s="2864"/>
      <c r="O5" s="2864"/>
      <c r="P5" s="2864"/>
      <c r="Q5" s="2864"/>
      <c r="R5" s="2847">
        <f>SUM(R14,R19,R24,R25,R27,R28)</f>
        <v>0</v>
      </c>
      <c r="S5" s="2836"/>
      <c r="T5" s="2836" t="s">
        <v>2335</v>
      </c>
      <c r="U5" s="2836" t="e">
        <f>ROUND(R5*10000/365/R3,1)</f>
        <v>#DIV/0!</v>
      </c>
      <c r="V5" s="2844"/>
    </row>
    <row r="6" spans="1:22" s="2848" customFormat="1" ht="13.15" customHeight="1" thickBot="1">
      <c r="A6" s="3753" t="s">
        <v>2336</v>
      </c>
      <c r="B6" s="3754"/>
      <c r="C6" s="3755"/>
      <c r="D6" s="2865"/>
      <c r="E6" s="2866"/>
      <c r="F6" s="2867"/>
      <c r="G6" s="2868"/>
      <c r="H6" s="2843"/>
      <c r="I6" s="2844"/>
      <c r="J6" s="3756">
        <v>1</v>
      </c>
      <c r="K6" s="3757" t="s">
        <v>2337</v>
      </c>
      <c r="L6" s="2869" t="s">
        <v>2338</v>
      </c>
      <c r="M6" s="2870" t="s">
        <v>2339</v>
      </c>
      <c r="N6" s="2870" t="s">
        <v>2340</v>
      </c>
      <c r="O6" s="2870" t="s">
        <v>2341</v>
      </c>
      <c r="P6" s="2870" t="s">
        <v>2342</v>
      </c>
      <c r="Q6" s="2870" t="s">
        <v>2343</v>
      </c>
      <c r="R6" s="2853" t="s">
        <v>2344</v>
      </c>
      <c r="S6" s="2836"/>
      <c r="T6" s="2836" t="s">
        <v>2345</v>
      </c>
      <c r="U6" s="2836"/>
      <c r="V6" s="2844"/>
    </row>
    <row r="7" spans="1:22" s="2848" customFormat="1" ht="13.15" customHeight="1">
      <c r="A7" s="2871" t="s">
        <v>2346</v>
      </c>
      <c r="B7" s="2872"/>
      <c r="C7" s="2873"/>
      <c r="D7" s="2874">
        <f>SUM(D9,D10,D11,D17,0)</f>
        <v>0</v>
      </c>
      <c r="E7" s="2875" t="e">
        <f>E9+E10+E11+E17</f>
        <v>#DIV/0!</v>
      </c>
      <c r="F7" s="2876"/>
      <c r="G7" s="2877"/>
      <c r="H7" s="2843"/>
      <c r="I7" s="2844"/>
      <c r="J7" s="3756"/>
      <c r="K7" s="3758"/>
      <c r="L7" s="2878" t="s">
        <v>2347</v>
      </c>
      <c r="M7" s="2879"/>
      <c r="N7" s="2855"/>
      <c r="O7" s="2880"/>
      <c r="P7" s="2880"/>
      <c r="Q7" s="2881">
        <v>365</v>
      </c>
      <c r="R7" s="2882">
        <f>ROUND(M7*N7*O7*P7*Q7/10000,0)</f>
        <v>0</v>
      </c>
      <c r="S7" s="2836"/>
      <c r="T7" s="2836" t="s">
        <v>2348</v>
      </c>
      <c r="U7" s="2836"/>
      <c r="V7" s="2844"/>
    </row>
    <row r="8" spans="1:22" s="2848" customFormat="1" ht="13.15" customHeight="1">
      <c r="A8" s="2883" t="s">
        <v>2349</v>
      </c>
      <c r="B8" s="3760" t="s">
        <v>2350</v>
      </c>
      <c r="C8" s="3761"/>
      <c r="D8" s="2884" t="s">
        <v>2351</v>
      </c>
      <c r="E8" s="2885" t="s">
        <v>2352</v>
      </c>
      <c r="F8" s="2886" t="s">
        <v>2353</v>
      </c>
      <c r="G8" s="2887"/>
      <c r="H8" s="2843"/>
      <c r="I8" s="2844"/>
      <c r="J8" s="3756"/>
      <c r="K8" s="3758"/>
      <c r="L8" s="2878" t="s">
        <v>2354</v>
      </c>
      <c r="M8" s="2879"/>
      <c r="N8" s="2855"/>
      <c r="O8" s="2880"/>
      <c r="P8" s="2880"/>
      <c r="Q8" s="2881">
        <v>365</v>
      </c>
      <c r="R8" s="2882">
        <f t="shared" ref="R8:R13" si="0">ROUND(M8*N8*O8*P8*Q8/10000,0)</f>
        <v>0</v>
      </c>
      <c r="S8" s="2836"/>
      <c r="T8" s="2836" t="s">
        <v>2355</v>
      </c>
      <c r="U8" s="2836"/>
      <c r="V8" s="2844"/>
    </row>
    <row r="9" spans="1:22" s="2848" customFormat="1" ht="13.15" customHeight="1">
      <c r="A9" s="2883">
        <v>1</v>
      </c>
      <c r="B9" s="3760" t="s">
        <v>2356</v>
      </c>
      <c r="C9" s="3761"/>
      <c r="D9" s="2884">
        <f>ROUND(D6*E9,0)</f>
        <v>0</v>
      </c>
      <c r="E9" s="2888"/>
      <c r="F9" s="2889" t="s">
        <v>2357</v>
      </c>
      <c r="G9" s="2868"/>
      <c r="H9" s="2843"/>
      <c r="I9" s="2844"/>
      <c r="J9" s="3756"/>
      <c r="K9" s="3758"/>
      <c r="L9" s="2878" t="s">
        <v>2358</v>
      </c>
      <c r="M9" s="2879"/>
      <c r="N9" s="2855"/>
      <c r="O9" s="2880"/>
      <c r="P9" s="2880"/>
      <c r="Q9" s="2881">
        <v>365</v>
      </c>
      <c r="R9" s="2882">
        <f t="shared" si="0"/>
        <v>0</v>
      </c>
      <c r="S9" s="2836"/>
      <c r="T9" s="2836"/>
      <c r="U9" s="2836"/>
      <c r="V9" s="2844"/>
    </row>
    <row r="10" spans="1:22" s="2848" customFormat="1" ht="13.15" customHeight="1">
      <c r="A10" s="2883">
        <v>2</v>
      </c>
      <c r="B10" s="3760" t="s">
        <v>2359</v>
      </c>
      <c r="C10" s="3761"/>
      <c r="D10" s="2884">
        <f>ROUND(D6*E10,0)</f>
        <v>0</v>
      </c>
      <c r="E10" s="2888"/>
      <c r="F10" s="2889" t="s">
        <v>2360</v>
      </c>
      <c r="G10" s="2868"/>
      <c r="H10" s="2843"/>
      <c r="I10" s="2844"/>
      <c r="J10" s="3756"/>
      <c r="K10" s="3758"/>
      <c r="L10" s="2878" t="s">
        <v>2361</v>
      </c>
      <c r="M10" s="2879"/>
      <c r="N10" s="2855"/>
      <c r="O10" s="2880"/>
      <c r="P10" s="2880"/>
      <c r="Q10" s="2881">
        <v>365</v>
      </c>
      <c r="R10" s="2882">
        <f t="shared" si="0"/>
        <v>0</v>
      </c>
      <c r="S10" s="2836"/>
      <c r="T10" s="2836"/>
      <c r="U10" s="2836"/>
      <c r="V10" s="2844"/>
    </row>
    <row r="11" spans="1:22" s="2848" customFormat="1" ht="13.15" customHeight="1">
      <c r="A11" s="2883">
        <v>3</v>
      </c>
      <c r="B11" s="3760" t="s">
        <v>2362</v>
      </c>
      <c r="C11" s="3761"/>
      <c r="D11" s="2884">
        <f>D12+D14+D15+D16</f>
        <v>0</v>
      </c>
      <c r="E11" s="2890" t="e">
        <f>D11/D6</f>
        <v>#DIV/0!</v>
      </c>
      <c r="F11" s="2886"/>
      <c r="G11" s="2887"/>
      <c r="H11" s="2843"/>
      <c r="I11" s="2844"/>
      <c r="J11" s="3756"/>
      <c r="K11" s="3758"/>
      <c r="L11" s="2878" t="s">
        <v>2363</v>
      </c>
      <c r="M11" s="2879"/>
      <c r="N11" s="2855"/>
      <c r="O11" s="2880"/>
      <c r="P11" s="2880"/>
      <c r="Q11" s="2881">
        <v>365</v>
      </c>
      <c r="R11" s="2882">
        <f t="shared" si="0"/>
        <v>0</v>
      </c>
      <c r="S11" s="2836"/>
      <c r="T11" s="2836"/>
      <c r="U11" s="2836"/>
      <c r="V11" s="2844"/>
    </row>
    <row r="12" spans="1:22" s="2848" customFormat="1" ht="13.15" customHeight="1">
      <c r="A12" s="2891" t="s">
        <v>2364</v>
      </c>
      <c r="B12" s="3762" t="s">
        <v>2365</v>
      </c>
      <c r="C12" s="3763"/>
      <c r="D12" s="2892">
        <f>ROUND(D13*1.2%*(1-30%),0)</f>
        <v>0</v>
      </c>
      <c r="E12" s="2893">
        <v>1.2E-2</v>
      </c>
      <c r="F12" s="2886" t="s">
        <v>2366</v>
      </c>
      <c r="G12" s="2887"/>
      <c r="H12" s="2843"/>
      <c r="I12" s="2844"/>
      <c r="J12" s="3756"/>
      <c r="K12" s="3758"/>
      <c r="L12" s="2878" t="s">
        <v>2367</v>
      </c>
      <c r="M12" s="2879"/>
      <c r="N12" s="2855"/>
      <c r="O12" s="2880"/>
      <c r="P12" s="2880"/>
      <c r="Q12" s="2881">
        <v>365</v>
      </c>
      <c r="R12" s="2882">
        <f t="shared" si="0"/>
        <v>0</v>
      </c>
      <c r="S12" s="2836"/>
      <c r="T12" s="2836"/>
      <c r="U12" s="2836"/>
      <c r="V12" s="2844"/>
    </row>
    <row r="13" spans="1:22" s="2848" customFormat="1" ht="13.15" customHeight="1">
      <c r="A13" s="2891"/>
      <c r="B13" s="2894"/>
      <c r="C13" s="2895" t="s">
        <v>2368</v>
      </c>
      <c r="D13" s="2896"/>
      <c r="E13" s="2897"/>
      <c r="F13" s="2886"/>
      <c r="G13" s="2887"/>
      <c r="H13" s="2843"/>
      <c r="I13" s="2844"/>
      <c r="J13" s="3756"/>
      <c r="K13" s="3758"/>
      <c r="L13" s="2878" t="s">
        <v>2369</v>
      </c>
      <c r="M13" s="2879"/>
      <c r="N13" s="2855"/>
      <c r="O13" s="2880"/>
      <c r="P13" s="2880"/>
      <c r="Q13" s="2881">
        <v>365</v>
      </c>
      <c r="R13" s="2882">
        <f t="shared" si="0"/>
        <v>0</v>
      </c>
      <c r="S13" s="2836"/>
      <c r="T13" s="2836"/>
      <c r="U13" s="2836"/>
      <c r="V13" s="2844"/>
    </row>
    <row r="14" spans="1:22" s="2848" customFormat="1" ht="13.15" customHeight="1">
      <c r="A14" s="2891" t="s">
        <v>2370</v>
      </c>
      <c r="B14" s="3762" t="s">
        <v>2371</v>
      </c>
      <c r="C14" s="3763"/>
      <c r="D14" s="2892">
        <f>ROUND(E14*B5/10000,0)</f>
        <v>0</v>
      </c>
      <c r="E14" s="2881"/>
      <c r="F14" s="2886" t="s">
        <v>2372</v>
      </c>
      <c r="G14" s="2887"/>
      <c r="H14" s="2843"/>
      <c r="I14" s="2844"/>
      <c r="J14" s="3756"/>
      <c r="K14" s="3759"/>
      <c r="L14" s="2898" t="s">
        <v>2373</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2374</v>
      </c>
      <c r="B15" s="3762" t="s">
        <v>2375</v>
      </c>
      <c r="C15" s="3763"/>
      <c r="D15" s="2892">
        <f>ROUND(D6*E15,0)</f>
        <v>0</v>
      </c>
      <c r="E15" s="2893">
        <v>5.5E-2</v>
      </c>
      <c r="F15" s="2886" t="s">
        <v>2376</v>
      </c>
      <c r="G15" s="2868"/>
      <c r="H15" s="2843"/>
      <c r="I15" s="2844"/>
      <c r="J15" s="3756">
        <v>2</v>
      </c>
      <c r="K15" s="3757" t="s">
        <v>2377</v>
      </c>
      <c r="L15" s="2878" t="s">
        <v>2378</v>
      </c>
      <c r="M15" s="2879" t="s">
        <v>2379</v>
      </c>
      <c r="N15" s="2879" t="s">
        <v>2380</v>
      </c>
      <c r="O15" s="2880" t="s">
        <v>2381</v>
      </c>
      <c r="P15" s="2880" t="s">
        <v>2343</v>
      </c>
      <c r="Q15" s="2855" t="s">
        <v>2382</v>
      </c>
      <c r="R15" s="2902" t="s">
        <v>2344</v>
      </c>
      <c r="S15" s="2836"/>
      <c r="T15" s="2836"/>
      <c r="U15" s="2836"/>
      <c r="V15" s="2844"/>
    </row>
    <row r="16" spans="1:22" s="2848" customFormat="1" ht="13.15" customHeight="1">
      <c r="A16" s="2891" t="s">
        <v>2383</v>
      </c>
      <c r="B16" s="3762" t="s">
        <v>2384</v>
      </c>
      <c r="C16" s="3763"/>
      <c r="D16" s="2903">
        <f>D6*E16</f>
        <v>0</v>
      </c>
      <c r="E16" s="2904"/>
      <c r="F16" s="2889" t="s">
        <v>2385</v>
      </c>
      <c r="G16" s="2868"/>
      <c r="H16" s="2843"/>
      <c r="I16" s="2844"/>
      <c r="J16" s="3756"/>
      <c r="K16" s="3758"/>
      <c r="L16" s="2878" t="s">
        <v>2386</v>
      </c>
      <c r="M16" s="2879"/>
      <c r="N16" s="2879"/>
      <c r="O16" s="2880"/>
      <c r="P16" s="2881">
        <v>365</v>
      </c>
      <c r="Q16" s="2855"/>
      <c r="R16" s="2902">
        <f>ROUND(M16*N16*O16*P16/10000,0)</f>
        <v>0</v>
      </c>
      <c r="S16" s="2836"/>
      <c r="T16" s="2836"/>
      <c r="U16" s="2836"/>
      <c r="V16" s="2844"/>
    </row>
    <row r="17" spans="1:22" s="2848" customFormat="1" ht="13.15" customHeight="1" thickBot="1">
      <c r="A17" s="2905">
        <v>4</v>
      </c>
      <c r="B17" s="3764" t="s">
        <v>2387</v>
      </c>
      <c r="C17" s="3765"/>
      <c r="D17" s="2906">
        <f>ROUND(D6*E17,0)</f>
        <v>0</v>
      </c>
      <c r="E17" s="2907"/>
      <c r="F17" s="2908" t="s">
        <v>2388</v>
      </c>
      <c r="G17" s="2868"/>
      <c r="H17" s="2843"/>
      <c r="I17" s="2844"/>
      <c r="J17" s="3756"/>
      <c r="K17" s="3758"/>
      <c r="L17" s="2878" t="s">
        <v>2389</v>
      </c>
      <c r="M17" s="2879"/>
      <c r="N17" s="2879"/>
      <c r="O17" s="2880"/>
      <c r="P17" s="2881">
        <v>365</v>
      </c>
      <c r="Q17" s="2855"/>
      <c r="R17" s="2902">
        <f>ROUND(M17*N17*O17*P17/10000,0)</f>
        <v>0</v>
      </c>
      <c r="S17" s="2836"/>
      <c r="T17" s="2836"/>
      <c r="U17" s="2836"/>
      <c r="V17" s="2844"/>
    </row>
    <row r="18" spans="1:22" s="2848" customFormat="1" ht="13.15" customHeight="1" thickBot="1">
      <c r="A18" s="2871" t="s">
        <v>2390</v>
      </c>
      <c r="B18" s="2872"/>
      <c r="C18" s="2872"/>
      <c r="D18" s="2909">
        <f>ROUND(D6*E18,0)</f>
        <v>0</v>
      </c>
      <c r="E18" s="2910"/>
      <c r="F18" s="2911" t="s">
        <v>2391</v>
      </c>
      <c r="G18" s="2868"/>
      <c r="H18" s="2843"/>
      <c r="I18" s="2844"/>
      <c r="J18" s="3756"/>
      <c r="K18" s="3758"/>
      <c r="L18" s="2878" t="s">
        <v>2392</v>
      </c>
      <c r="M18" s="2879"/>
      <c r="N18" s="2879"/>
      <c r="O18" s="2880"/>
      <c r="P18" s="2881">
        <v>365</v>
      </c>
      <c r="Q18" s="2855"/>
      <c r="R18" s="2902">
        <f>ROUND(M18*N18*O18*P18/10000,0)</f>
        <v>0</v>
      </c>
      <c r="S18" s="2836"/>
      <c r="T18" s="2836"/>
      <c r="U18" s="2836"/>
      <c r="V18" s="2844"/>
    </row>
    <row r="19" spans="1:22" s="2848" customFormat="1" ht="13.15" customHeight="1" thickBot="1">
      <c r="A19" s="2912" t="s">
        <v>2393</v>
      </c>
      <c r="B19" s="2866"/>
      <c r="C19" s="2866"/>
      <c r="D19" s="2866"/>
      <c r="E19" s="2866"/>
      <c r="F19" s="2867"/>
      <c r="G19" s="2887"/>
      <c r="H19" s="2843"/>
      <c r="I19" s="2844"/>
      <c r="J19" s="3756"/>
      <c r="K19" s="3759"/>
      <c r="L19" s="2898" t="s">
        <v>2373</v>
      </c>
      <c r="M19" s="2899"/>
      <c r="N19" s="2899">
        <f>SUM(N16:N18)</f>
        <v>0</v>
      </c>
      <c r="O19" s="2900"/>
      <c r="P19" s="2913" t="s">
        <v>2437</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56">
        <v>3</v>
      </c>
      <c r="K20" s="3757" t="s">
        <v>2394</v>
      </c>
      <c r="L20" s="2878" t="s">
        <v>2395</v>
      </c>
      <c r="M20" s="2879" t="s">
        <v>2396</v>
      </c>
      <c r="N20" s="2916" t="s">
        <v>2397</v>
      </c>
      <c r="O20" s="2880" t="s">
        <v>2398</v>
      </c>
      <c r="P20" s="2881" t="s">
        <v>2399</v>
      </c>
      <c r="Q20" s="2855" t="s">
        <v>2400</v>
      </c>
      <c r="R20" s="2902" t="s">
        <v>2401</v>
      </c>
      <c r="S20" s="2917"/>
      <c r="T20" s="2917"/>
      <c r="U20" s="2917"/>
      <c r="V20" s="2844"/>
    </row>
    <row r="21" spans="1:22" s="2848" customFormat="1" ht="13.15" customHeight="1">
      <c r="A21" s="2871"/>
      <c r="B21" s="2872"/>
      <c r="C21" s="2918" t="s">
        <v>2402</v>
      </c>
      <c r="D21" s="2919" t="s">
        <v>2403</v>
      </c>
      <c r="E21" s="2920" t="s">
        <v>2404</v>
      </c>
      <c r="F21" s="2915"/>
      <c r="G21" s="2887"/>
      <c r="H21" s="2843"/>
      <c r="I21" s="2844"/>
      <c r="J21" s="3756"/>
      <c r="K21" s="3758"/>
      <c r="L21" s="2878" t="s">
        <v>2405</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2406</v>
      </c>
      <c r="D22" s="2923" t="s">
        <v>2407</v>
      </c>
      <c r="E22" s="2924" t="s">
        <v>2408</v>
      </c>
      <c r="F22" s="2915"/>
      <c r="G22" s="2925"/>
      <c r="H22" s="2843"/>
      <c r="I22" s="2844"/>
      <c r="J22" s="3756"/>
      <c r="K22" s="3758"/>
      <c r="L22" s="2878" t="s">
        <v>2409</v>
      </c>
      <c r="M22" s="2879"/>
      <c r="N22" s="2879"/>
      <c r="O22" s="2880"/>
      <c r="P22" s="2881">
        <v>365</v>
      </c>
      <c r="Q22" s="2855"/>
      <c r="R22" s="2921">
        <f>ROUND(M22*N22*O22*P22/10000,0)</f>
        <v>0</v>
      </c>
      <c r="S22" s="2917"/>
      <c r="T22" s="2917"/>
      <c r="U22" s="2917"/>
      <c r="V22" s="2844"/>
    </row>
    <row r="23" spans="1:22" s="2848" customFormat="1" ht="13.15" customHeight="1">
      <c r="A23" s="2926">
        <v>1</v>
      </c>
      <c r="B23" s="2927" t="s">
        <v>2410</v>
      </c>
      <c r="C23" s="2928">
        <f>D6</f>
        <v>0</v>
      </c>
      <c r="D23" s="2929">
        <f>C23*(1+D24)</f>
        <v>0</v>
      </c>
      <c r="E23" s="2930">
        <f>D23*(1+E24)</f>
        <v>0</v>
      </c>
      <c r="F23" s="2931"/>
      <c r="G23" s="2932"/>
      <c r="H23" s="2843"/>
      <c r="I23" s="2844"/>
      <c r="J23" s="3756"/>
      <c r="K23" s="3758"/>
      <c r="L23" s="2878" t="s">
        <v>2411</v>
      </c>
      <c r="M23" s="2879"/>
      <c r="N23" s="2879"/>
      <c r="O23" s="2880"/>
      <c r="P23" s="2881">
        <v>365</v>
      </c>
      <c r="Q23" s="2855"/>
      <c r="R23" s="2921">
        <f>ROUND(M23*N23*O23*P23/10000,0)</f>
        <v>0</v>
      </c>
      <c r="S23" s="2836"/>
      <c r="T23" s="2836"/>
      <c r="U23" s="2836"/>
      <c r="V23" s="2844"/>
    </row>
    <row r="24" spans="1:22" s="2848" customFormat="1" ht="13.15" customHeight="1">
      <c r="A24" s="2933"/>
      <c r="B24" s="2934" t="s">
        <v>2412</v>
      </c>
      <c r="C24" s="2935"/>
      <c r="D24" s="2936"/>
      <c r="E24" s="2937"/>
      <c r="F24" s="2938"/>
      <c r="G24" s="2932"/>
      <c r="H24" s="2843"/>
      <c r="I24" s="2844"/>
      <c r="J24" s="3756"/>
      <c r="K24" s="3759"/>
      <c r="L24" s="2898" t="s">
        <v>2373</v>
      </c>
      <c r="M24" s="2899">
        <f>SUM(M21:M23)</f>
        <v>0</v>
      </c>
      <c r="N24" s="2899"/>
      <c r="O24" s="2900"/>
      <c r="P24" s="2913" t="s">
        <v>2437</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2413</v>
      </c>
      <c r="L25" s="2941"/>
      <c r="M25" s="2941"/>
      <c r="N25" s="2941"/>
      <c r="O25" s="2941"/>
      <c r="P25" s="2942"/>
      <c r="Q25" s="2943">
        <v>0</v>
      </c>
      <c r="R25" s="2914">
        <f>ROUND(R14*Q25,0)</f>
        <v>0</v>
      </c>
      <c r="S25" s="2836"/>
      <c r="T25" s="2836"/>
      <c r="U25" s="2836"/>
      <c r="V25" s="2944"/>
    </row>
    <row r="26" spans="1:22" s="2945" customFormat="1" ht="13.15" customHeight="1">
      <c r="A26" s="2926">
        <v>2</v>
      </c>
      <c r="B26" s="2927" t="s">
        <v>2414</v>
      </c>
      <c r="C26" s="2928">
        <f>D7</f>
        <v>0</v>
      </c>
      <c r="D26" s="2929">
        <f>D23*D27</f>
        <v>0</v>
      </c>
      <c r="E26" s="2930">
        <f>E23*E27</f>
        <v>0</v>
      </c>
      <c r="F26" s="2931"/>
      <c r="G26" s="2932"/>
      <c r="H26" s="2843"/>
      <c r="I26" s="2844"/>
      <c r="J26" s="3766">
        <v>5</v>
      </c>
      <c r="K26" s="2946" t="s">
        <v>2415</v>
      </c>
      <c r="L26" s="2947"/>
      <c r="M26" s="2948"/>
      <c r="N26" s="2949" t="s">
        <v>2416</v>
      </c>
      <c r="O26" s="2949" t="s">
        <v>2417</v>
      </c>
      <c r="P26" s="2950" t="s">
        <v>2418</v>
      </c>
      <c r="Q26" s="2950" t="s">
        <v>2419</v>
      </c>
      <c r="R26" s="2853" t="s">
        <v>2344</v>
      </c>
      <c r="S26" s="2951"/>
      <c r="T26" s="2951"/>
      <c r="U26" s="2951"/>
      <c r="V26" s="2944"/>
    </row>
    <row r="27" spans="1:22" s="2848" customFormat="1" ht="13.15" customHeight="1">
      <c r="A27" s="2933"/>
      <c r="B27" s="2934" t="s">
        <v>2420</v>
      </c>
      <c r="C27" s="2952" t="e">
        <f>E7</f>
        <v>#DIV/0!</v>
      </c>
      <c r="D27" s="2936"/>
      <c r="E27" s="2937"/>
      <c r="F27" s="2938"/>
      <c r="G27" s="2932"/>
      <c r="H27" s="2953"/>
      <c r="I27" s="2944"/>
      <c r="J27" s="3767"/>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2421</v>
      </c>
      <c r="F28" s="2938"/>
      <c r="G28" s="2925"/>
      <c r="H28" s="2953"/>
      <c r="I28" s="2944"/>
      <c r="J28" s="2959">
        <v>6</v>
      </c>
      <c r="K28" s="2960" t="s">
        <v>2422</v>
      </c>
      <c r="L28" s="2961" t="s">
        <v>2423</v>
      </c>
      <c r="M28" s="2962"/>
      <c r="N28" s="2961" t="s">
        <v>2424</v>
      </c>
      <c r="O28" s="2963"/>
      <c r="P28" s="2961" t="s">
        <v>2425</v>
      </c>
      <c r="Q28" s="2964">
        <v>1.4999999999999999E-2</v>
      </c>
      <c r="R28" s="2965"/>
      <c r="S28" s="2917"/>
      <c r="T28" s="2917"/>
      <c r="U28" s="2917"/>
      <c r="V28" s="2944"/>
    </row>
    <row r="29" spans="1:22" s="2945" customFormat="1" ht="13.15" customHeight="1">
      <c r="A29" s="2926">
        <v>3</v>
      </c>
      <c r="B29" s="2927" t="s">
        <v>2426</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2420</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2427</v>
      </c>
      <c r="K31" s="2834"/>
      <c r="L31" s="2834"/>
      <c r="M31" s="2834"/>
      <c r="N31" s="2834"/>
      <c r="O31" s="2834"/>
      <c r="P31" s="2834"/>
      <c r="Q31" s="2834"/>
      <c r="R31" s="2835"/>
      <c r="S31" s="2917"/>
      <c r="T31" s="2836"/>
      <c r="U31" s="2836"/>
      <c r="V31" s="2944"/>
    </row>
    <row r="32" spans="1:22" s="2945" customFormat="1" ht="13.15" customHeight="1">
      <c r="A32" s="2926">
        <v>4</v>
      </c>
      <c r="B32" s="2927" t="s">
        <v>2428</v>
      </c>
      <c r="C32" s="2928">
        <f>C23-C26-C29</f>
        <v>0</v>
      </c>
      <c r="D32" s="2929">
        <f>D23-D26-D29</f>
        <v>0</v>
      </c>
      <c r="E32" s="2930">
        <f>E23-E26-E29</f>
        <v>0</v>
      </c>
      <c r="F32" s="2931"/>
      <c r="G32" s="2925"/>
      <c r="H32" s="2843"/>
      <c r="I32" s="2844"/>
      <c r="J32" s="3749" t="s">
        <v>2320</v>
      </c>
      <c r="K32" s="3750"/>
      <c r="L32" s="2845" t="s">
        <v>2321</v>
      </c>
      <c r="M32" s="2845" t="s">
        <v>2322</v>
      </c>
      <c r="N32" s="2845" t="s">
        <v>2323</v>
      </c>
      <c r="O32" s="2845" t="s">
        <v>2324</v>
      </c>
      <c r="P32" s="2845" t="s">
        <v>2325</v>
      </c>
      <c r="Q32" s="2846" t="s">
        <v>2326</v>
      </c>
      <c r="R32" s="2968" t="s">
        <v>2327</v>
      </c>
      <c r="S32" s="2917"/>
      <c r="T32" s="2836"/>
      <c r="U32" s="2836"/>
      <c r="V32" s="2944"/>
    </row>
    <row r="33" spans="1:23" s="2848" customFormat="1" ht="13.15" customHeight="1">
      <c r="A33" s="2926"/>
      <c r="B33" s="2927"/>
      <c r="C33" s="2928"/>
      <c r="D33" s="2969"/>
      <c r="E33" s="2970"/>
      <c r="F33" s="2931"/>
      <c r="G33" s="2925"/>
      <c r="H33" s="2953"/>
      <c r="I33" s="2944"/>
      <c r="J33" s="3751" t="s">
        <v>2330</v>
      </c>
      <c r="K33" s="3752"/>
      <c r="L33" s="2851"/>
      <c r="M33" s="2851"/>
      <c r="N33" s="2851"/>
      <c r="O33" s="2851"/>
      <c r="P33" s="2851"/>
      <c r="Q33" s="2852"/>
      <c r="R33" s="2971">
        <f>SUM(L33:Q33)</f>
        <v>0</v>
      </c>
      <c r="S33" s="2917"/>
      <c r="T33" s="2836"/>
      <c r="U33" s="2836"/>
      <c r="V33" s="2844"/>
    </row>
    <row r="34" spans="1:23" s="2848" customFormat="1" ht="13.15" customHeight="1">
      <c r="A34" s="2926">
        <v>5</v>
      </c>
      <c r="B34" s="2927" t="s">
        <v>2429</v>
      </c>
      <c r="C34" s="2972"/>
      <c r="D34" s="2973"/>
      <c r="E34" s="2974"/>
      <c r="F34" s="2931"/>
      <c r="G34" s="2925"/>
      <c r="H34" s="2953"/>
      <c r="I34" s="2944"/>
      <c r="J34" s="3751" t="s">
        <v>2332</v>
      </c>
      <c r="K34" s="375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2430</v>
      </c>
      <c r="C35" s="2976"/>
      <c r="D35" s="2977"/>
      <c r="E35" s="2978"/>
      <c r="F35" s="2931"/>
      <c r="G35" s="2979"/>
      <c r="H35" s="2843"/>
      <c r="I35" s="2944"/>
      <c r="J35" s="2862" t="s">
        <v>2334</v>
      </c>
      <c r="K35" s="2863"/>
      <c r="L35" s="2863"/>
      <c r="M35" s="2864"/>
      <c r="N35" s="2864"/>
      <c r="O35" s="2864"/>
      <c r="P35" s="2864"/>
      <c r="Q35" s="2864"/>
      <c r="R35" s="2980">
        <f>R40+R41+R43</f>
        <v>0</v>
      </c>
      <c r="S35" s="2917"/>
      <c r="T35" s="2836" t="s">
        <v>2335</v>
      </c>
      <c r="U35" s="2836"/>
      <c r="V35" s="2844"/>
    </row>
    <row r="36" spans="1:23" s="2848" customFormat="1" ht="13.15" customHeight="1" thickBot="1">
      <c r="A36" s="2926">
        <v>7</v>
      </c>
      <c r="B36" s="2981" t="s">
        <v>2431</v>
      </c>
      <c r="C36" s="2982"/>
      <c r="D36" s="2983"/>
      <c r="E36" s="2984"/>
      <c r="F36" s="2985">
        <f>C36+D36+E36</f>
        <v>0</v>
      </c>
      <c r="G36" s="2925"/>
      <c r="H36" s="2843"/>
      <c r="I36" s="2844"/>
      <c r="J36" s="3756">
        <v>1</v>
      </c>
      <c r="K36" s="3757" t="s">
        <v>2432</v>
      </c>
      <c r="L36" s="2869"/>
      <c r="M36" s="2870"/>
      <c r="N36" s="2870"/>
      <c r="O36" s="2870"/>
      <c r="P36" s="2870"/>
      <c r="Q36" s="2870"/>
      <c r="R36" s="2853" t="s">
        <v>2344</v>
      </c>
      <c r="S36" s="2917"/>
      <c r="T36" s="2836" t="s">
        <v>2345</v>
      </c>
      <c r="U36" s="2836"/>
      <c r="V36" s="2844"/>
    </row>
    <row r="37" spans="1:23" s="2848" customFormat="1" ht="13.15" customHeight="1">
      <c r="A37" s="2926"/>
      <c r="B37" s="2927"/>
      <c r="C37" s="2927"/>
      <c r="D37" s="2927"/>
      <c r="E37" s="2927"/>
      <c r="F37" s="2931"/>
      <c r="G37" s="2925"/>
      <c r="H37" s="2843"/>
      <c r="I37" s="2844"/>
      <c r="J37" s="3756"/>
      <c r="K37" s="3758"/>
      <c r="L37" s="2878"/>
      <c r="M37" s="2879"/>
      <c r="N37" s="2855"/>
      <c r="O37" s="2880"/>
      <c r="P37" s="2880"/>
      <c r="Q37" s="2881"/>
      <c r="R37" s="2882"/>
      <c r="S37" s="2917"/>
      <c r="T37" s="2836" t="s">
        <v>2348</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56"/>
      <c r="K38" s="3758"/>
      <c r="L38" s="2878"/>
      <c r="M38" s="2879"/>
      <c r="N38" s="2855"/>
      <c r="O38" s="2880"/>
      <c r="P38" s="2880"/>
      <c r="Q38" s="2881"/>
      <c r="R38" s="2882"/>
      <c r="S38" s="2917"/>
      <c r="T38" s="2836" t="s">
        <v>2355</v>
      </c>
      <c r="U38" s="2836"/>
      <c r="V38" s="2844"/>
    </row>
    <row r="39" spans="1:23" s="2848" customFormat="1" ht="13.15" customHeight="1">
      <c r="A39" s="2926">
        <v>9</v>
      </c>
      <c r="B39" s="2927" t="s">
        <v>2433</v>
      </c>
      <c r="C39" s="2892" t="e">
        <f>C38</f>
        <v>#DIV/0!</v>
      </c>
      <c r="D39" s="2927">
        <f>D38/(1+D34)^C36</f>
        <v>0</v>
      </c>
      <c r="E39" s="2927">
        <f>E38/(1+E34)^(C36+D36)</f>
        <v>0</v>
      </c>
      <c r="F39" s="2931"/>
      <c r="G39" s="2986"/>
      <c r="H39" s="2843"/>
      <c r="I39" s="2844"/>
      <c r="J39" s="3756"/>
      <c r="K39" s="3758"/>
      <c r="L39" s="2878"/>
      <c r="M39" s="2879"/>
      <c r="N39" s="2855"/>
      <c r="O39" s="2880"/>
      <c r="P39" s="2880"/>
      <c r="Q39" s="2881"/>
      <c r="R39" s="2882"/>
      <c r="S39" s="2917"/>
      <c r="T39" s="2836"/>
      <c r="U39" s="2836"/>
      <c r="V39" s="2844"/>
    </row>
    <row r="40" spans="1:23" s="2848" customFormat="1" ht="13.15" customHeight="1">
      <c r="A40" s="2987">
        <v>10</v>
      </c>
      <c r="B40" s="2927" t="s">
        <v>2434</v>
      </c>
      <c r="C40" s="2988" t="e">
        <f>C39+D39+E39</f>
        <v>#DIV/0!</v>
      </c>
      <c r="D40" s="2989"/>
      <c r="E40" s="2989"/>
      <c r="F40" s="2990"/>
      <c r="G40" s="2925"/>
      <c r="H40" s="2843"/>
      <c r="I40" s="2844"/>
      <c r="J40" s="3756"/>
      <c r="K40" s="3759"/>
      <c r="L40" s="2898" t="s">
        <v>2373</v>
      </c>
      <c r="M40" s="2899"/>
      <c r="N40" s="2899"/>
      <c r="O40" s="2900"/>
      <c r="P40" s="2900"/>
      <c r="Q40" s="2901"/>
      <c r="R40" s="2847">
        <f>SUM(R37:R39)</f>
        <v>0</v>
      </c>
      <c r="S40" s="2917"/>
      <c r="T40" s="2836"/>
      <c r="U40" s="2836"/>
      <c r="V40" s="2844"/>
    </row>
    <row r="41" spans="1:23" s="2848" customFormat="1" ht="13.15" customHeight="1" thickBot="1">
      <c r="A41" s="2991">
        <v>11</v>
      </c>
      <c r="B41" s="2992" t="s">
        <v>2435</v>
      </c>
      <c r="C41" s="2992" t="e">
        <f>ROUND(C40*10000/B4,0)</f>
        <v>#DIV/0!</v>
      </c>
      <c r="D41" s="2993"/>
      <c r="E41" s="2993"/>
      <c r="F41" s="2994"/>
      <c r="G41" s="2995"/>
      <c r="H41" s="2843"/>
      <c r="I41" s="2844"/>
      <c r="J41" s="2939">
        <v>2</v>
      </c>
      <c r="K41" s="2940" t="s">
        <v>2413</v>
      </c>
      <c r="L41" s="2941"/>
      <c r="M41" s="2941"/>
      <c r="N41" s="2941"/>
      <c r="O41" s="2941"/>
      <c r="P41" s="2942"/>
      <c r="Q41" s="2943"/>
      <c r="R41" s="2914">
        <f>ROUND(R40*Q41,0)</f>
        <v>0</v>
      </c>
      <c r="S41" s="2917"/>
      <c r="T41" s="2836"/>
      <c r="U41" s="2951"/>
      <c r="V41" s="2844"/>
    </row>
    <row r="42" spans="1:23" s="2848" customFormat="1" ht="13.15" customHeight="1">
      <c r="G42" s="2995"/>
      <c r="H42" s="2843"/>
      <c r="I42" s="2844"/>
      <c r="J42" s="3766">
        <v>3</v>
      </c>
      <c r="K42" s="2946" t="s">
        <v>2415</v>
      </c>
      <c r="L42" s="2947"/>
      <c r="M42" s="2948"/>
      <c r="N42" s="2949" t="s">
        <v>2416</v>
      </c>
      <c r="O42" s="2949" t="s">
        <v>2417</v>
      </c>
      <c r="P42" s="2950" t="s">
        <v>2418</v>
      </c>
      <c r="Q42" s="2950" t="s">
        <v>2419</v>
      </c>
      <c r="R42" s="2853" t="s">
        <v>2344</v>
      </c>
      <c r="S42" s="2951"/>
      <c r="T42" s="2951"/>
      <c r="U42" s="2836"/>
      <c r="V42" s="2844"/>
    </row>
    <row r="43" spans="1:23" ht="13.15" customHeight="1">
      <c r="A43" s="2848"/>
      <c r="B43" s="2848"/>
      <c r="C43" s="2848"/>
      <c r="D43" s="2848"/>
      <c r="E43" s="2848"/>
      <c r="F43" s="2848"/>
      <c r="I43" s="2831"/>
      <c r="J43" s="3767"/>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2422</v>
      </c>
      <c r="L44" s="2999" t="s">
        <v>2423</v>
      </c>
      <c r="M44" s="2962"/>
      <c r="N44" s="2999" t="s">
        <v>2424</v>
      </c>
      <c r="O44" s="2962"/>
      <c r="P44" s="2999" t="s">
        <v>2425</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3" sqref="B3"/>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2"/>
      <c r="G1" s="1485"/>
      <c r="H1" s="1485"/>
      <c r="I1" s="1485"/>
      <c r="J1" s="1485"/>
      <c r="K1" s="1485"/>
      <c r="L1" s="1485"/>
      <c r="M1" s="1485"/>
      <c r="N1" s="1485"/>
      <c r="O1" s="1485"/>
      <c r="P1" s="1485"/>
      <c r="Q1" s="1485"/>
      <c r="R1" s="1485"/>
      <c r="S1" s="1485"/>
    </row>
    <row r="2" spans="1:22" ht="15.75">
      <c r="A2" s="1866" t="s">
        <v>1462</v>
      </c>
      <c r="B2" s="1867">
        <f ca="1">SUMIF(B6:B13,"&lt;&gt;#ref!",B6:B13)</f>
        <v>257063</v>
      </c>
      <c r="C2" s="1868" t="s">
        <v>1651</v>
      </c>
      <c r="D2" s="1869" t="s">
        <v>1652</v>
      </c>
      <c r="E2" s="2603">
        <f>SUM(E6:E13)</f>
        <v>67567.28</v>
      </c>
      <c r="F2" s="2702"/>
      <c r="G2" s="1485"/>
      <c r="H2" s="1485"/>
      <c r="I2" s="1485"/>
      <c r="J2" s="1485"/>
      <c r="K2" s="1485"/>
      <c r="L2" s="1485"/>
      <c r="M2" s="1485"/>
      <c r="N2" s="1485"/>
      <c r="O2" s="1485"/>
      <c r="P2" s="1485"/>
      <c r="Q2" s="1485"/>
      <c r="R2" s="1485"/>
      <c r="S2" s="1485"/>
    </row>
    <row r="3" spans="1:22" ht="15.75">
      <c r="A3" s="1866" t="s">
        <v>686</v>
      </c>
      <c r="B3" s="2597">
        <f ca="1">ROUND(B2*10000/E2,0)</f>
        <v>38045</v>
      </c>
      <c r="C3" s="1868" t="s">
        <v>1659</v>
      </c>
      <c r="D3" s="2704"/>
      <c r="E3" s="2706"/>
      <c r="F3" s="2702"/>
      <c r="G3" s="1485"/>
      <c r="H3" s="1485"/>
      <c r="I3" s="1485"/>
      <c r="J3" s="1485"/>
      <c r="K3" s="1485"/>
      <c r="L3" s="1485"/>
      <c r="M3" s="1485"/>
      <c r="N3" s="1485"/>
      <c r="O3" s="1485"/>
      <c r="P3" s="1485"/>
      <c r="Q3" s="1485"/>
      <c r="R3" s="1485"/>
      <c r="S3" s="1485"/>
    </row>
    <row r="4" spans="1:22" ht="15.75">
      <c r="A4" s="2707"/>
      <c r="B4" s="2704"/>
      <c r="C4" s="2704"/>
      <c r="D4" s="2704"/>
      <c r="E4" s="2706"/>
      <c r="F4" s="2702"/>
      <c r="G4" s="1485"/>
      <c r="H4" s="1485"/>
      <c r="I4" s="1485"/>
      <c r="J4" s="1485"/>
      <c r="K4" s="1485"/>
      <c r="L4" s="1485"/>
      <c r="M4" s="1485"/>
      <c r="N4" s="1485"/>
      <c r="O4" s="1485"/>
      <c r="P4" s="1485"/>
      <c r="Q4" s="1485"/>
      <c r="R4" s="1485"/>
      <c r="S4" s="1485"/>
    </row>
    <row r="5" spans="1:22" ht="15">
      <c r="A5" s="2599" t="s">
        <v>1653</v>
      </c>
      <c r="B5" s="3768" t="s">
        <v>1654</v>
      </c>
      <c r="C5" s="3769"/>
      <c r="D5" s="2703"/>
      <c r="E5" s="1870" t="s">
        <v>1655</v>
      </c>
      <c r="F5" s="1871" t="s">
        <v>1656</v>
      </c>
      <c r="G5" s="1485"/>
      <c r="H5" s="1485"/>
      <c r="I5" s="1485"/>
      <c r="J5" s="1485"/>
      <c r="K5" s="1485"/>
      <c r="L5" s="1485"/>
      <c r="M5" s="1485"/>
      <c r="N5" s="1485"/>
      <c r="O5" s="1485"/>
      <c r="P5" s="1485"/>
      <c r="Q5" s="1485"/>
      <c r="R5" s="1485"/>
      <c r="S5" s="1485"/>
    </row>
    <row r="6" spans="1:22">
      <c r="A6" s="2600" t="str">
        <f>'数据-取费表'!AN6</f>
        <v>收益法</v>
      </c>
      <c r="B6" s="2598">
        <f ca="1">IF(F6="是",'数据-取费表'!AO6,0)</f>
        <v>21889</v>
      </c>
      <c r="C6" s="1868" t="s">
        <v>1651</v>
      </c>
      <c r="D6" s="2704"/>
      <c r="E6" s="2602">
        <f>IF(OR(A6=0,F6="否"),0,'数据-取费表'!K6+'数据-取费表'!S6)</f>
        <v>6594.42</v>
      </c>
      <c r="F6" s="1872" t="s">
        <v>1657</v>
      </c>
      <c r="G6" s="1485"/>
      <c r="H6" s="1485"/>
      <c r="I6" s="1485"/>
      <c r="J6" s="1485"/>
      <c r="K6" s="1485"/>
      <c r="L6" s="1485"/>
      <c r="M6" s="1485"/>
      <c r="N6" s="1485"/>
      <c r="O6" s="1485"/>
      <c r="P6" s="1485"/>
      <c r="Q6" s="1485"/>
      <c r="R6" s="1485"/>
      <c r="S6" s="1485"/>
    </row>
    <row r="7" spans="1:22">
      <c r="A7" s="2600" t="str">
        <f>'数据-取费表'!AN7</f>
        <v>收益法办</v>
      </c>
      <c r="B7" s="2598">
        <f ca="1">IF(F7="是",'数据-取费表'!AO7,0)</f>
        <v>228200</v>
      </c>
      <c r="C7" s="1868" t="s">
        <v>1651</v>
      </c>
      <c r="D7" s="2704"/>
      <c r="E7" s="2602">
        <f>IF(OR(A7=0,F7="否"),0,'数据-取费表'!K7+'数据-取费表'!S7)</f>
        <v>47610.64</v>
      </c>
      <c r="F7" s="1872" t="s">
        <v>1657</v>
      </c>
      <c r="G7" s="1485"/>
      <c r="H7" s="1485"/>
      <c r="I7" s="1485"/>
      <c r="J7" s="1485"/>
      <c r="K7" s="1485"/>
      <c r="L7" s="1485"/>
      <c r="M7" s="1485"/>
      <c r="N7" s="1485"/>
      <c r="O7" s="1485"/>
      <c r="P7" s="1485"/>
      <c r="Q7" s="1485"/>
      <c r="R7" s="1485"/>
      <c r="S7" s="1485"/>
    </row>
    <row r="8" spans="1:22">
      <c r="A8" s="2600" t="str">
        <f>'数据-取费表'!AN8</f>
        <v>收益法仓</v>
      </c>
      <c r="B8" s="2598">
        <f ca="1">IF(F8="是",'数据-取费表'!AO8,0)</f>
        <v>423</v>
      </c>
      <c r="C8" s="1868" t="s">
        <v>1651</v>
      </c>
      <c r="D8" s="2704"/>
      <c r="E8" s="2602">
        <f>IF(OR(A8=0,F8="否"),0,'数据-取费表'!K8+'数据-取费表'!S8)</f>
        <v>579.65000000000009</v>
      </c>
      <c r="F8" s="1872" t="s">
        <v>1657</v>
      </c>
      <c r="G8" s="1485"/>
      <c r="H8" s="1485"/>
      <c r="I8" s="1485"/>
      <c r="J8" s="1485"/>
      <c r="K8" s="1485"/>
      <c r="L8" s="1485"/>
      <c r="M8" s="1485"/>
      <c r="N8" s="1485"/>
      <c r="O8" s="1485"/>
      <c r="P8" s="1485"/>
      <c r="Q8" s="1485"/>
      <c r="R8" s="1485"/>
      <c r="S8" s="1485"/>
    </row>
    <row r="9" spans="1:22">
      <c r="A9" s="2600" t="str">
        <f>'数据-取费表'!AN9</f>
        <v>收益法车</v>
      </c>
      <c r="B9" s="2598">
        <f ca="1">IF(F9="是",'数据-取费表'!AO9,0)</f>
        <v>6551</v>
      </c>
      <c r="C9" s="1868" t="s">
        <v>1651</v>
      </c>
      <c r="D9" s="2704"/>
      <c r="E9" s="2602">
        <f>IF(OR(A9=0,F9="否"),0,'数据-取费表'!K9+'数据-取费表'!S9)</f>
        <v>12782.57</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4"/>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4"/>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4"/>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5"/>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4" sqref="K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673</v>
      </c>
      <c r="D1" s="1358" t="s">
        <v>43</v>
      </c>
      <c r="E1" s="1359" t="s">
        <v>678</v>
      </c>
      <c r="F1" s="1058">
        <f ca="1">J53</f>
        <v>20.71</v>
      </c>
      <c r="G1" s="1374">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21889</v>
      </c>
      <c r="C2" s="1383" t="s">
        <v>805</v>
      </c>
      <c r="D2" s="1383"/>
      <c r="E2" s="1384"/>
      <c r="F2" s="1385"/>
      <c r="G2" s="2701"/>
      <c r="H2" s="2690"/>
      <c r="I2" s="2690"/>
      <c r="J2" s="2690"/>
      <c r="K2" s="2691"/>
      <c r="L2" s="2690"/>
      <c r="M2" s="2690"/>
    </row>
    <row r="3" spans="1:37" ht="18" customHeight="1" thickBot="1">
      <c r="A3" s="1386" t="s">
        <v>806</v>
      </c>
      <c r="B3" s="1387">
        <f ca="1">IF(ISERROR(B2*10000/F43),0,ROUND(B2*10000/F43,0))</f>
        <v>33982</v>
      </c>
      <c r="C3" s="1383" t="s">
        <v>807</v>
      </c>
      <c r="D3" s="1383"/>
      <c r="E3" s="1384"/>
      <c r="F3" s="1385"/>
      <c r="G3" s="2701"/>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2237</v>
      </c>
      <c r="D5" s="1360" t="s">
        <v>693</v>
      </c>
      <c r="E5" s="1067"/>
      <c r="F5" s="1068"/>
      <c r="G5" s="1380"/>
      <c r="H5" s="299">
        <v>1</v>
      </c>
      <c r="I5" s="300" t="s">
        <v>692</v>
      </c>
      <c r="J5" s="1066">
        <f ca="1">J6+J10+J12</f>
        <v>0</v>
      </c>
      <c r="K5" s="1360" t="s">
        <v>693</v>
      </c>
      <c r="L5" s="1067"/>
      <c r="M5" s="1068"/>
    </row>
    <row r="6" spans="1:37" ht="18" customHeight="1">
      <c r="A6" s="1065" t="s">
        <v>398</v>
      </c>
      <c r="B6" s="3772" t="s">
        <v>694</v>
      </c>
      <c r="C6" s="1070">
        <f ca="1">ROUND(F6*F8*F7*(1-F9)/10000,0)</f>
        <v>2234</v>
      </c>
      <c r="D6" s="155" t="s">
        <v>2108</v>
      </c>
      <c r="E6" s="302" t="s">
        <v>696</v>
      </c>
      <c r="F6" s="303">
        <f ca="1">INDIRECT("'数据-取费表'!u"&amp;$G$1)</f>
        <v>10</v>
      </c>
      <c r="G6" s="1380"/>
      <c r="H6" s="1065" t="s">
        <v>398</v>
      </c>
      <c r="I6" s="3772" t="s">
        <v>694</v>
      </c>
      <c r="J6" s="301">
        <f ca="1">ROUND(M6*M8*M7*(1-M9)/10000,0)</f>
        <v>0</v>
      </c>
      <c r="K6" s="155" t="s">
        <v>2107</v>
      </c>
      <c r="L6" s="302" t="s">
        <v>696</v>
      </c>
      <c r="M6" s="303">
        <f ca="1">INDIRECT("'数据-取费表'!z"&amp;$G$1)</f>
        <v>0</v>
      </c>
    </row>
    <row r="7" spans="1:37" ht="18" customHeight="1">
      <c r="A7" s="1069"/>
      <c r="B7" s="3773"/>
      <c r="C7" s="1071"/>
      <c r="D7" s="307"/>
      <c r="E7" s="1072" t="s">
        <v>697</v>
      </c>
      <c r="F7" s="303">
        <f ca="1">IF(INDIRECT("'数据-取费表'!ah"&amp;$G$1)="",INDIRECT("'数据-取费表'!k"&amp;$G$1),INDIRECT("'数据-取费表'!ah"&amp;$G$1))</f>
        <v>6441.3</v>
      </c>
      <c r="G7" s="1380"/>
      <c r="H7" s="304"/>
      <c r="I7" s="3773"/>
      <c r="J7" s="306"/>
      <c r="K7" s="307"/>
      <c r="L7" s="302" t="s">
        <v>697</v>
      </c>
      <c r="M7" s="303">
        <f ca="1">F7</f>
        <v>6441.3</v>
      </c>
    </row>
    <row r="8" spans="1:37" ht="18" customHeight="1">
      <c r="A8" s="304"/>
      <c r="B8" s="3773"/>
      <c r="C8" s="306"/>
      <c r="D8" s="307"/>
      <c r="E8" s="302" t="s">
        <v>698</v>
      </c>
      <c r="F8" s="303">
        <f ca="1">INDIRECT("'数据-取费表'!ai"&amp;$G$1)</f>
        <v>365</v>
      </c>
      <c r="G8" s="1380"/>
      <c r="H8" s="304"/>
      <c r="I8" s="3773"/>
      <c r="J8" s="306"/>
      <c r="K8" s="307"/>
      <c r="L8" s="302" t="s">
        <v>698</v>
      </c>
      <c r="M8" s="303">
        <f ca="1">INDIRECT("'数据-取费表'!ai"&amp;$G$1)</f>
        <v>365</v>
      </c>
    </row>
    <row r="9" spans="1:37" ht="18" customHeight="1">
      <c r="A9" s="304"/>
      <c r="B9" s="3774"/>
      <c r="C9" s="306"/>
      <c r="D9" s="307"/>
      <c r="E9" s="302" t="s">
        <v>699</v>
      </c>
      <c r="F9" s="312">
        <f ca="1">INDIRECT("'数据-取费表'!w"&amp;$G$1)</f>
        <v>0.05</v>
      </c>
      <c r="G9" s="1380"/>
      <c r="H9" s="304"/>
      <c r="I9" s="3774"/>
      <c r="J9" s="306"/>
      <c r="K9" s="307"/>
      <c r="L9" s="313" t="s">
        <v>699</v>
      </c>
      <c r="M9" s="314">
        <f ca="1">INDIRECT("'数据-取费表'!ab"&amp;$G$1)</f>
        <v>0</v>
      </c>
    </row>
    <row r="10" spans="1:37" ht="18" customHeight="1">
      <c r="A10" s="1065" t="s">
        <v>402</v>
      </c>
      <c r="B10" s="1361" t="s">
        <v>700</v>
      </c>
      <c r="C10" s="316">
        <f ca="1">ROUND(IF(F10="押一",C6/12*F11,IF(F10="押二",C6/12*2*F11,IF(F10="押三",C6/12*3*F11,C11*F11))),0)</f>
        <v>3</v>
      </c>
      <c r="D10" s="1362" t="s">
        <v>2116</v>
      </c>
      <c r="E10" s="313" t="s">
        <v>701</v>
      </c>
      <c r="F10" s="1112" t="s">
        <v>3400</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5127</v>
      </c>
      <c r="D13" s="1077" t="s">
        <v>705</v>
      </c>
      <c r="E13" s="1077"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3957</v>
      </c>
      <c r="D14" s="1341" t="s">
        <v>708</v>
      </c>
      <c r="E14" s="1338"/>
      <c r="F14" s="319"/>
      <c r="G14" s="1380"/>
      <c r="H14" s="978" t="s">
        <v>398</v>
      </c>
      <c r="I14" s="302" t="s">
        <v>709</v>
      </c>
      <c r="J14" s="21">
        <f ca="1">C29</f>
        <v>5826</v>
      </c>
      <c r="K14" s="12"/>
      <c r="L14" s="803"/>
      <c r="M14" s="804"/>
    </row>
    <row r="15" spans="1:37" s="1393" customFormat="1" ht="18" customHeight="1" thickBot="1">
      <c r="A15" s="978" t="s">
        <v>399</v>
      </c>
      <c r="B15" s="302" t="s">
        <v>710</v>
      </c>
      <c r="C15" s="21">
        <f ca="1">ROUND(C14*F15,0)</f>
        <v>119</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32</v>
      </c>
      <c r="K16" s="1083" t="s">
        <v>715</v>
      </c>
      <c r="L16" s="1084"/>
      <c r="M16" s="1068"/>
    </row>
    <row r="17" spans="1:37" s="1393" customFormat="1" ht="18" customHeight="1">
      <c r="A17" s="978" t="s">
        <v>681</v>
      </c>
      <c r="B17" s="302" t="s">
        <v>716</v>
      </c>
      <c r="C17" s="21">
        <f ca="1">ROUND(F17*(F43+INDIRECT("'数据-取费表'!S"&amp;$G$1))/10000,0)</f>
        <v>132</v>
      </c>
      <c r="D17" s="302" t="s">
        <v>717</v>
      </c>
      <c r="E17" s="302" t="s">
        <v>718</v>
      </c>
      <c r="F17" s="23">
        <f>'数据-取费表'!B35</f>
        <v>200</v>
      </c>
      <c r="G17" s="1392"/>
      <c r="H17" s="978" t="s">
        <v>398</v>
      </c>
      <c r="I17" s="302" t="s">
        <v>719</v>
      </c>
      <c r="J17" s="2312">
        <f ca="1">ROUND(IF(AND(项目基本情况!B11="自然人",项目基本情况!B10="北京市"),J6*M17/(1+'数据-取费表'!C42),J18+J19+J20),2)</f>
        <v>2.83</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59</v>
      </c>
      <c r="D18" s="302" t="s">
        <v>711</v>
      </c>
      <c r="E18" s="302" t="s">
        <v>712</v>
      </c>
      <c r="F18" s="322">
        <f>'数据-取费表'!B36</f>
        <v>1.4999999999999999E-2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4267</v>
      </c>
      <c r="D19" s="131" t="s">
        <v>726</v>
      </c>
      <c r="E19" s="1356"/>
      <c r="F19" s="23"/>
      <c r="G19" s="1380"/>
      <c r="H19" s="978" t="s">
        <v>399</v>
      </c>
      <c r="I19" s="302" t="s">
        <v>727</v>
      </c>
      <c r="J19" s="21">
        <f ca="1">IF(K19="按租金收入计税",ROUND(J6*M19/(1+'数据-取费表'!C42),2),ROUND(C29*M19*0.7,2))</f>
        <v>0</v>
      </c>
      <c r="K19" s="1366" t="s">
        <v>3337</v>
      </c>
      <c r="L19" s="302" t="s">
        <v>712</v>
      </c>
      <c r="M19" s="322">
        <f>IF(K19="按租金收入计税",'数据-取费表'!B51,'数据-取费表'!B50)</f>
        <v>0.12</v>
      </c>
    </row>
    <row r="20" spans="1:37" s="1393" customFormat="1" ht="18" customHeight="1">
      <c r="A20" s="978" t="s">
        <v>402</v>
      </c>
      <c r="B20" s="302" t="s">
        <v>728</v>
      </c>
      <c r="C20" s="21">
        <f ca="1">ROUND(C19*F20,0)</f>
        <v>85</v>
      </c>
      <c r="D20" s="323" t="s">
        <v>729</v>
      </c>
      <c r="E20" s="302" t="s">
        <v>712</v>
      </c>
      <c r="F20" s="322">
        <f>'数据-取费表'!B37</f>
        <v>0.02</v>
      </c>
      <c r="G20" s="1392"/>
      <c r="H20" s="978" t="s">
        <v>680</v>
      </c>
      <c r="I20" s="155" t="s">
        <v>730</v>
      </c>
      <c r="J20" s="22">
        <f ca="1">ROUND(M20*M21/10000,2)</f>
        <v>2.83</v>
      </c>
      <c r="K20" s="324" t="s">
        <v>731</v>
      </c>
      <c r="L20" s="302" t="s">
        <v>732</v>
      </c>
      <c r="M20" s="325">
        <f>'数据-取费表'!B52</f>
        <v>30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944.56999999999994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29.13</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150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-32</v>
      </c>
      <c r="K25" s="1091" t="s">
        <v>753</v>
      </c>
      <c r="L25" s="1092"/>
      <c r="M25" s="1093"/>
    </row>
    <row r="26" spans="1:37">
      <c r="A26" s="978" t="s">
        <v>397</v>
      </c>
      <c r="B26" s="302" t="s">
        <v>754</v>
      </c>
      <c r="C26" s="21">
        <f ca="1">ROUND((C19+C20)*F26,0)</f>
        <v>870</v>
      </c>
      <c r="D26" s="323" t="s">
        <v>755</v>
      </c>
      <c r="E26" s="313" t="s">
        <v>756</v>
      </c>
      <c r="F26" s="312">
        <f ca="1">INDIRECT("'数据-取费表'!q"&amp;$G$1)</f>
        <v>0.2</v>
      </c>
      <c r="G26" s="1380"/>
      <c r="H26" s="299" t="s">
        <v>395</v>
      </c>
      <c r="I26" s="300" t="s">
        <v>757</v>
      </c>
      <c r="J26" s="301">
        <f ca="1">IF(J5&lt;&gt;0,ROUND(J25*(1-((1+M28)/(1+M26))^M27)/(M26-M28),0),0)</f>
        <v>0</v>
      </c>
      <c r="K26" s="324" t="s">
        <v>758</v>
      </c>
      <c r="L26" s="302" t="s">
        <v>759</v>
      </c>
      <c r="M26" s="312">
        <f ca="1">INDIRECT("'数据-取费表'!I"&amp;$G$1)</f>
        <v>0.06</v>
      </c>
    </row>
    <row r="27" spans="1:37" ht="18" customHeight="1">
      <c r="A27" s="978" t="s">
        <v>399</v>
      </c>
      <c r="B27" s="302" t="s">
        <v>760</v>
      </c>
      <c r="C27" s="21">
        <f ca="1">ROUND(F21*F26,4)</f>
        <v>4.0000000000000001E-3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5826</v>
      </c>
      <c r="D29" s="1088"/>
      <c r="E29" s="1086"/>
      <c r="F29" s="1089"/>
      <c r="G29" s="1392"/>
      <c r="H29" s="334" t="s">
        <v>396</v>
      </c>
      <c r="I29" s="335" t="s">
        <v>768</v>
      </c>
      <c r="J29" s="336">
        <f ca="1">ROUND(J26/(1+F40)^F41,0)</f>
        <v>0</v>
      </c>
      <c r="K29" s="337" t="s">
        <v>769</v>
      </c>
      <c r="L29" s="338"/>
      <c r="M29" s="339">
        <f ca="1">INDIRECT("'数据-取费表'!k"&amp;$G$1)</f>
        <v>6441.3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423</v>
      </c>
      <c r="D30" s="1083" t="s">
        <v>715</v>
      </c>
      <c r="E30" s="1084"/>
      <c r="F30" s="1068"/>
      <c r="G30" s="1380"/>
      <c r="H30" s="2692"/>
      <c r="I30" s="1394"/>
      <c r="J30" s="1395"/>
      <c r="K30" s="2471"/>
      <c r="L30" s="2693"/>
      <c r="M30" s="2694"/>
    </row>
    <row r="31" spans="1:37" ht="18" customHeight="1">
      <c r="A31" s="978" t="s">
        <v>398</v>
      </c>
      <c r="B31" s="302" t="s">
        <v>719</v>
      </c>
      <c r="C31" s="2312">
        <f ca="1">ROUND(IF(AND(项目基本情况!B11="自然人",项目基本情况!B10="北京市"),C6*F31/(1+'数据-取费表'!C42),C32+C33+C34),2)</f>
        <v>377.29</v>
      </c>
      <c r="D31" s="1341" t="s">
        <v>720</v>
      </c>
      <c r="E31" s="1340" t="s">
        <v>770</v>
      </c>
      <c r="F31" s="2311" t="str">
        <f>IF(项目基本情况!B11="企业","——",IF(M47="住宅",IF(F6*F7*F8/12/(1+'数据-取费表'!F30)&gt;100000,4%,2.5%),IF(F6*F7*F8/12/(1+'数据-取费表'!F30)&gt;100000,12%,7%)))</f>
        <v>——</v>
      </c>
      <c r="G31" s="1380"/>
      <c r="H31" s="2803" t="s">
        <v>2309</v>
      </c>
      <c r="I31" s="1394"/>
      <c r="J31" s="1395"/>
      <c r="K31" s="2471"/>
      <c r="L31" s="2693"/>
      <c r="M31" s="2694"/>
    </row>
    <row r="32" spans="1:37" ht="18" customHeight="1">
      <c r="A32" s="978" t="s">
        <v>397</v>
      </c>
      <c r="B32" s="302" t="s">
        <v>723</v>
      </c>
      <c r="C32" s="21">
        <f ca="1">IF(项目基本情况!B11="自然人","——",ROUND(C6*F32/(1+'数据-取费表'!C42),2))</f>
        <v>119.15</v>
      </c>
      <c r="D32" s="1340" t="s">
        <v>724</v>
      </c>
      <c r="E32" s="302" t="s">
        <v>712</v>
      </c>
      <c r="F32" s="331">
        <f>'数据-取费表'!B41</f>
        <v>5.6000000000000001E-2</v>
      </c>
      <c r="G32" s="1380"/>
      <c r="H32" s="2692"/>
      <c r="I32" s="1394"/>
      <c r="J32" s="1395"/>
      <c r="K32" s="2471"/>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255.31</v>
      </c>
      <c r="D33" s="1366" t="s">
        <v>3337</v>
      </c>
      <c r="E33" s="302" t="s">
        <v>712</v>
      </c>
      <c r="F33" s="322">
        <f>IF(D33="按票据","——",IF(D33="按租金收入计税",'数据-取费表'!B51,'数据-取费表'!B50))</f>
        <v>0.12</v>
      </c>
      <c r="G33" s="1380"/>
      <c r="H33" s="2695"/>
      <c r="I33" s="1394"/>
      <c r="J33" s="1395"/>
      <c r="K33" s="2696"/>
      <c r="L33" s="2695"/>
      <c r="M33" s="2695"/>
    </row>
    <row r="34" spans="1:18" ht="18" customHeight="1">
      <c r="A34" s="1065" t="s">
        <v>680</v>
      </c>
      <c r="B34" s="155" t="s">
        <v>730</v>
      </c>
      <c r="C34" s="22">
        <f ca="1">IF(项目基本情况!B11="自然人","——",ROUND(F34*F35/10000,2))</f>
        <v>2.83</v>
      </c>
      <c r="D34" s="324" t="s">
        <v>731</v>
      </c>
      <c r="E34" s="302" t="s">
        <v>732</v>
      </c>
      <c r="F34" s="325">
        <f>'数据-取费表'!B52</f>
        <v>30</v>
      </c>
      <c r="G34" s="1380"/>
      <c r="H34" s="2692"/>
      <c r="I34" s="1394"/>
      <c r="J34" s="1395"/>
      <c r="K34" s="2697"/>
      <c r="L34" s="2698"/>
      <c r="M34" s="2698"/>
    </row>
    <row r="35" spans="1:18" ht="18" customHeight="1">
      <c r="A35" s="1099"/>
      <c r="B35" s="1097"/>
      <c r="C35" s="26"/>
      <c r="D35" s="327"/>
      <c r="E35" s="302" t="s">
        <v>736</v>
      </c>
      <c r="F35" s="303">
        <f ca="1">INDIRECT("'数据-取费表'!r"&amp;$G$1)</f>
        <v>944.56999999999994</v>
      </c>
      <c r="G35" s="1380"/>
      <c r="H35" s="2692"/>
      <c r="I35" s="1394"/>
      <c r="J35" s="1395"/>
      <c r="K35" s="2696"/>
      <c r="L35" s="2695"/>
      <c r="M35" s="2695"/>
    </row>
    <row r="36" spans="1:18" ht="18" customHeight="1">
      <c r="A36" s="1098" t="s">
        <v>402</v>
      </c>
      <c r="B36" s="302" t="s">
        <v>738</v>
      </c>
      <c r="C36" s="21">
        <f ca="1">ROUND(C29*F36,2)</f>
        <v>29.13</v>
      </c>
      <c r="D36" s="1340" t="s">
        <v>771</v>
      </c>
      <c r="E36" s="302" t="s">
        <v>712</v>
      </c>
      <c r="F36" s="328">
        <f ca="1">INDIRECT("'数据-取费表'!Ak"&amp;$G$1)</f>
        <v>5.0000000000000001E-3</v>
      </c>
      <c r="G36" s="1380"/>
      <c r="H36" s="2695"/>
      <c r="I36" s="1394"/>
      <c r="J36" s="1395"/>
      <c r="K36" s="2540"/>
      <c r="L36" s="2695"/>
      <c r="M36" s="2695"/>
    </row>
    <row r="37" spans="1:18" ht="18" customHeight="1">
      <c r="A37" s="978" t="s">
        <v>437</v>
      </c>
      <c r="B37" s="302" t="s">
        <v>742</v>
      </c>
      <c r="C37" s="21">
        <f ca="1">ROUND(C13*F37,2)</f>
        <v>5.13</v>
      </c>
      <c r="D37" s="1340" t="s">
        <v>743</v>
      </c>
      <c r="E37" s="302" t="s">
        <v>744</v>
      </c>
      <c r="F37" s="330">
        <f ca="1">INDIRECT("'数据-取费表'!Al"&amp;$G$1)</f>
        <v>1E-3</v>
      </c>
      <c r="G37" s="1380"/>
      <c r="H37" s="2695"/>
      <c r="I37" s="1394"/>
      <c r="J37" s="1395"/>
      <c r="K37" s="2540"/>
      <c r="L37" s="2695"/>
      <c r="M37" s="2695"/>
    </row>
    <row r="38" spans="1:18" ht="18" customHeight="1" thickBot="1">
      <c r="A38" s="1085" t="s">
        <v>684</v>
      </c>
      <c r="B38" s="1086" t="s">
        <v>728</v>
      </c>
      <c r="C38" s="1087">
        <f ca="1">ROUND(C5*F38,2)</f>
        <v>11.19</v>
      </c>
      <c r="D38" s="1088" t="s">
        <v>748</v>
      </c>
      <c r="E38" s="1086" t="s">
        <v>744</v>
      </c>
      <c r="F38" s="1082">
        <f ca="1">INDIRECT("'数据-取费表'!Am"&amp;$G$1)</f>
        <v>5.0000000000000001E-3</v>
      </c>
      <c r="G38" s="1380"/>
      <c r="H38" s="2695"/>
      <c r="I38" s="1394"/>
      <c r="J38" s="1395"/>
      <c r="K38" s="2699"/>
      <c r="L38" s="2695"/>
      <c r="M38" s="2695"/>
    </row>
    <row r="39" spans="1:18" ht="24.6" customHeight="1" thickTop="1">
      <c r="A39" s="1075" t="s">
        <v>394</v>
      </c>
      <c r="B39" s="1090" t="s">
        <v>772</v>
      </c>
      <c r="C39" s="310">
        <f ca="1">C5-C30</f>
        <v>1814</v>
      </c>
      <c r="D39" s="1091" t="s">
        <v>773</v>
      </c>
      <c r="E39" s="1092"/>
      <c r="F39" s="1093"/>
      <c r="G39" s="1380"/>
      <c r="H39" s="2695"/>
      <c r="I39" s="1394"/>
      <c r="J39" s="1395"/>
      <c r="K39" s="2699"/>
      <c r="L39" s="2695"/>
      <c r="M39" s="2695"/>
    </row>
    <row r="40" spans="1:18" ht="18" customHeight="1">
      <c r="A40" s="299" t="s">
        <v>395</v>
      </c>
      <c r="B40" s="300" t="s">
        <v>774</v>
      </c>
      <c r="C40" s="301">
        <f ca="1">ROUND(C39*(1-((1+F42)/(1+F40))^F41)/(F40-F42),0)</f>
        <v>21188</v>
      </c>
      <c r="D40" s="324" t="s">
        <v>758</v>
      </c>
      <c r="E40" s="302" t="s">
        <v>759</v>
      </c>
      <c r="F40" s="312">
        <f ca="1">INDIRECT("'数据-取费表'!I"&amp;$G$1)</f>
        <v>0.06</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20.71</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f ca="1">ROUND(C40*10000/F43,0)</f>
        <v>32894</v>
      </c>
      <c r="D43" s="337" t="s">
        <v>777</v>
      </c>
      <c r="E43" s="338" t="s">
        <v>778</v>
      </c>
      <c r="F43" s="339">
        <f ca="1">INDIRECT("'数据-取费表'!k"&amp;$G$1)</f>
        <v>6441.3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0" t="s">
        <v>808</v>
      </c>
      <c r="P45" s="1457"/>
      <c r="Q45" s="1457"/>
      <c r="R45" s="1457"/>
    </row>
    <row r="46" spans="1:18" s="1380" customFormat="1" ht="13.5" thickBot="1">
      <c r="A46" s="1400" t="s">
        <v>809</v>
      </c>
      <c r="C46" s="1401">
        <f ca="1">C68-C40</f>
        <v>-21620</v>
      </c>
      <c r="D46" s="1402" t="str">
        <f>C2</f>
        <v>万元</v>
      </c>
      <c r="E46" s="1396"/>
      <c r="F46" s="1396"/>
      <c r="I46" s="1403" t="s">
        <v>810</v>
      </c>
      <c r="J46" s="1404"/>
      <c r="K46" s="1405"/>
      <c r="L46" s="1406">
        <f ca="1">IF(M47="住宅",0,IF(L48&gt;J51,L60,J60))</f>
        <v>701</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3401</v>
      </c>
      <c r="K47" s="1412" t="s">
        <v>816</v>
      </c>
      <c r="L47" s="1413">
        <f ca="1">INDIRECT("'数据-取费表'!d"&amp;$G$1)</f>
        <v>40</v>
      </c>
      <c r="M47" s="1376" t="str">
        <f>IF(ISNUMBER(FIND("住宅",C1)),"住宅","非住宅")</f>
        <v>非住宅</v>
      </c>
      <c r="O47" s="1414" t="s">
        <v>403</v>
      </c>
      <c r="P47" s="1415" t="s">
        <v>817</v>
      </c>
      <c r="Q47" s="1416">
        <f ca="1">C40+J29</f>
        <v>21188</v>
      </c>
      <c r="R47" s="1416" t="s">
        <v>818</v>
      </c>
    </row>
    <row r="48" spans="1:18" s="1380" customFormat="1" ht="28.5" thickBot="1">
      <c r="A48" s="1106" t="s">
        <v>438</v>
      </c>
      <c r="B48" s="300" t="s">
        <v>692</v>
      </c>
      <c r="C48" s="1355">
        <f ca="1">C49+C53+C55</f>
        <v>0</v>
      </c>
      <c r="D48" s="1108"/>
      <c r="E48" s="1109"/>
      <c r="F48" s="958"/>
      <c r="G48" s="722"/>
      <c r="H48" s="723"/>
      <c r="I48" s="1417" t="s">
        <v>819</v>
      </c>
      <c r="J48" s="1418" t="s">
        <v>3402</v>
      </c>
      <c r="K48" s="1419" t="s">
        <v>820</v>
      </c>
      <c r="L48" s="1420">
        <f ca="1">INDIRECT("'数据-取费表'!f"&amp;$G$1)</f>
        <v>20.71</v>
      </c>
      <c r="O48" s="1414" t="s">
        <v>404</v>
      </c>
      <c r="P48" s="1415" t="s">
        <v>821</v>
      </c>
      <c r="Q48" s="1416">
        <f ca="1">J60</f>
        <v>701</v>
      </c>
      <c r="R48" s="1416" t="s">
        <v>822</v>
      </c>
    </row>
    <row r="49" spans="1:18" s="1380" customFormat="1" ht="13.5" thickBot="1">
      <c r="A49" s="971" t="s">
        <v>439</v>
      </c>
      <c r="B49" s="1367" t="s">
        <v>779</v>
      </c>
      <c r="C49" s="1110">
        <f ca="1">ROUND(F49*F51*F50*(1-F52)/10000,0)</f>
        <v>0</v>
      </c>
      <c r="D49" s="1051" t="s">
        <v>2109</v>
      </c>
      <c r="E49" s="1368" t="s">
        <v>780</v>
      </c>
      <c r="F49" s="1056"/>
      <c r="G49" s="1421"/>
      <c r="H49" s="723"/>
      <c r="I49" s="1417" t="s">
        <v>823</v>
      </c>
      <c r="J49" s="1422">
        <v>2016</v>
      </c>
      <c r="K49" s="1419" t="s">
        <v>824</v>
      </c>
      <c r="L49" s="1423"/>
      <c r="O49" s="1424" t="s">
        <v>405</v>
      </c>
      <c r="P49" s="1415" t="s">
        <v>825</v>
      </c>
      <c r="Q49" s="1416">
        <f ca="1">C29</f>
        <v>5826</v>
      </c>
      <c r="R49" s="1416" t="s">
        <v>818</v>
      </c>
    </row>
    <row r="50" spans="1:18" s="1380" customFormat="1" ht="13.5" thickBot="1">
      <c r="A50" s="972"/>
      <c r="B50" s="975"/>
      <c r="C50" s="1114"/>
      <c r="D50" s="949"/>
      <c r="E50" s="1052" t="s">
        <v>697</v>
      </c>
      <c r="F50" s="1053">
        <f ca="1">F7</f>
        <v>6441.3</v>
      </c>
      <c r="H50" s="723"/>
      <c r="I50" s="1417" t="s">
        <v>826</v>
      </c>
      <c r="J50" s="1425">
        <f>SUMPRODUCT((I63:I65=J47)*(J62:L62=J48)*(J63:L65))</f>
        <v>60</v>
      </c>
      <c r="K50" s="1419" t="s">
        <v>827</v>
      </c>
      <c r="L50" s="1423"/>
      <c r="M50" s="1426"/>
      <c r="O50" s="1424" t="s">
        <v>406</v>
      </c>
      <c r="P50" s="1415" t="s">
        <v>828</v>
      </c>
      <c r="Q50" s="1427">
        <f ca="1">J58</f>
        <v>0.53800000000000003</v>
      </c>
      <c r="R50" s="1416"/>
    </row>
    <row r="51" spans="1:18" s="1380" customFormat="1" ht="13.5" thickBot="1">
      <c r="A51" s="973"/>
      <c r="B51" s="975"/>
      <c r="C51" s="976"/>
      <c r="D51" s="949"/>
      <c r="E51" s="977" t="s">
        <v>698</v>
      </c>
      <c r="F51" s="303">
        <f ca="1">F8</f>
        <v>365</v>
      </c>
      <c r="I51" s="1428" t="s">
        <v>829</v>
      </c>
      <c r="J51" s="1429">
        <f>IF(J49="",J50,J49+J50-YEAR('数据-取费表'!B2))</f>
        <v>53</v>
      </c>
      <c r="K51" s="1430" t="s">
        <v>830</v>
      </c>
      <c r="L51" s="1431">
        <f ca="1">ROUND(-PV(INDIRECT("'数据-取费表'!h"&amp;$G$1),J51,(C39-C13*C76),0),0)</f>
        <v>24907</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20.71</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20.71</v>
      </c>
      <c r="K53" s="3770" t="s">
        <v>837</v>
      </c>
      <c r="L53" s="3771"/>
      <c r="O53" s="1414" t="s">
        <v>409</v>
      </c>
      <c r="P53" s="1415" t="s">
        <v>838</v>
      </c>
      <c r="Q53" s="1416">
        <f ca="1">Q47+Q48</f>
        <v>21889</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0.53800000000000003</v>
      </c>
      <c r="K55" s="1441" t="s">
        <v>841</v>
      </c>
      <c r="L55" s="1442"/>
      <c r="O55" s="1407" t="s">
        <v>811</v>
      </c>
      <c r="P55" s="1408" t="s">
        <v>812</v>
      </c>
      <c r="Q55" s="1409" t="s">
        <v>813</v>
      </c>
      <c r="R55" s="1409" t="s">
        <v>814</v>
      </c>
    </row>
    <row r="56" spans="1:18" s="1380" customFormat="1" ht="25.5" thickTop="1" thickBot="1">
      <c r="A56" s="953">
        <v>2</v>
      </c>
      <c r="B56" s="954" t="s">
        <v>704</v>
      </c>
      <c r="C56" s="232">
        <f ca="1">C13</f>
        <v>5127</v>
      </c>
      <c r="D56" s="1443"/>
      <c r="E56" s="1444"/>
      <c r="F56" s="1436"/>
      <c r="I56" s="1445" t="s">
        <v>842</v>
      </c>
      <c r="J56" s="1446" t="s">
        <v>3403</v>
      </c>
      <c r="K56" s="1417" t="s">
        <v>843</v>
      </c>
      <c r="L56" s="1420" t="str">
        <f ca="1">IF(L48&lt;J51,"——",L48-J53)</f>
        <v>——</v>
      </c>
      <c r="O56" s="1414" t="s">
        <v>403</v>
      </c>
      <c r="P56" s="1415" t="s">
        <v>817</v>
      </c>
      <c r="Q56" s="1416">
        <f ca="1">C40+J29</f>
        <v>21188</v>
      </c>
      <c r="R56" s="1416" t="s">
        <v>818</v>
      </c>
    </row>
    <row r="57" spans="1:18" s="1380" customFormat="1" ht="24.75" thickBot="1">
      <c r="A57" s="1447"/>
      <c r="B57" s="946" t="s">
        <v>767</v>
      </c>
      <c r="C57" s="238">
        <f ca="1">C29</f>
        <v>5826</v>
      </c>
      <c r="D57" s="1448"/>
      <c r="E57" s="1449"/>
      <c r="F57" s="1450"/>
      <c r="I57" s="1451" t="s">
        <v>844</v>
      </c>
      <c r="J57" s="1452">
        <f ca="1">IF(OR(M47="住宅",J51&lt;L48,J56="是"),"——",J51-L48)</f>
        <v>32.29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37</v>
      </c>
      <c r="D58" s="956" t="s">
        <v>715</v>
      </c>
      <c r="E58" s="957"/>
      <c r="F58" s="958"/>
      <c r="I58" s="1451" t="s">
        <v>848</v>
      </c>
      <c r="J58" s="1453">
        <f ca="1">IF(J55&lt;0.4,0.4,J55)</f>
        <v>0.53800000000000003</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3</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3134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701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3337</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2.83</v>
      </c>
      <c r="D62" s="961" t="s">
        <v>786</v>
      </c>
      <c r="E62" s="946" t="s">
        <v>787</v>
      </c>
      <c r="F62" s="325">
        <f t="shared" si="0"/>
        <v>30</v>
      </c>
      <c r="I62" s="1458" t="s">
        <v>858</v>
      </c>
      <c r="J62" s="1459" t="s">
        <v>859</v>
      </c>
      <c r="K62" s="1459" t="s">
        <v>860</v>
      </c>
      <c r="L62" s="1459" t="s">
        <v>861</v>
      </c>
      <c r="M62" s="1460" t="s">
        <v>862</v>
      </c>
      <c r="O62" s="1414" t="s">
        <v>409</v>
      </c>
      <c r="P62" s="1415" t="s">
        <v>863</v>
      </c>
      <c r="Q62" s="1416">
        <f ca="1">Q56+Q57</f>
        <v>21188</v>
      </c>
      <c r="R62" s="1416" t="s">
        <v>410</v>
      </c>
    </row>
    <row r="63" spans="1:18" s="1380" customFormat="1" ht="13.5" thickBot="1">
      <c r="A63" s="326"/>
      <c r="B63" s="952"/>
      <c r="C63" s="26"/>
      <c r="D63" s="962"/>
      <c r="E63" s="946" t="s">
        <v>788</v>
      </c>
      <c r="F63" s="303">
        <f t="shared" ca="1" si="0"/>
        <v>944.56999999999994</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29.13</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5.13</v>
      </c>
      <c r="D65" s="960" t="s">
        <v>743</v>
      </c>
      <c r="E65" s="946" t="s">
        <v>744</v>
      </c>
      <c r="F65" s="330">
        <f t="shared" ca="1" si="0"/>
        <v>1E-3</v>
      </c>
      <c r="I65" s="1458" t="s">
        <v>867</v>
      </c>
      <c r="J65" s="1459">
        <v>40</v>
      </c>
      <c r="K65" s="1459">
        <v>30</v>
      </c>
      <c r="L65" s="1459">
        <v>50</v>
      </c>
      <c r="M65" s="1461">
        <v>0.02</v>
      </c>
      <c r="O65" s="1414" t="s">
        <v>403</v>
      </c>
      <c r="P65" s="1415" t="s">
        <v>868</v>
      </c>
      <c r="Q65" s="1416">
        <f ca="1">C40+J29</f>
        <v>21188</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-37</v>
      </c>
      <c r="D67" s="959" t="s">
        <v>753</v>
      </c>
      <c r="E67" s="964"/>
      <c r="F67" s="965"/>
      <c r="O67" s="1424" t="s">
        <v>405</v>
      </c>
      <c r="P67" s="1415" t="s">
        <v>850</v>
      </c>
      <c r="Q67" s="1462">
        <f ca="1">L51</f>
        <v>24907</v>
      </c>
      <c r="R67" s="1416" t="s">
        <v>870</v>
      </c>
    </row>
    <row r="68" spans="1:18" s="1380" customFormat="1" ht="16.5" thickBot="1">
      <c r="A68" s="943" t="s">
        <v>395</v>
      </c>
      <c r="B68" s="944" t="s">
        <v>774</v>
      </c>
      <c r="C68" s="301">
        <f ca="1">ROUND(C67*(1-((1+F70)/(1+F68))^F69)/(F68-F70),0)</f>
        <v>-432</v>
      </c>
      <c r="D68" s="961" t="s">
        <v>758</v>
      </c>
      <c r="E68" s="946" t="s">
        <v>759</v>
      </c>
      <c r="F68" s="312">
        <f ca="1">F40</f>
        <v>0.06</v>
      </c>
      <c r="O68" s="1424" t="s">
        <v>406</v>
      </c>
      <c r="P68" s="1463" t="s">
        <v>871</v>
      </c>
      <c r="Q68" s="1416">
        <f ca="1">ROUND(Q69-Q70*Q71,0)</f>
        <v>1455</v>
      </c>
      <c r="R68" s="1416" t="s">
        <v>414</v>
      </c>
    </row>
    <row r="69" spans="1:18" s="1380" customFormat="1" ht="13.5" thickBot="1">
      <c r="A69" s="947"/>
      <c r="B69" s="948"/>
      <c r="C69" s="306"/>
      <c r="D69" s="966" t="s">
        <v>762</v>
      </c>
      <c r="E69" s="946" t="s">
        <v>763</v>
      </c>
      <c r="F69" s="333">
        <f ca="1">F41</f>
        <v>20.71</v>
      </c>
      <c r="O69" s="1424" t="s">
        <v>411</v>
      </c>
      <c r="P69" s="1463" t="s">
        <v>872</v>
      </c>
      <c r="Q69" s="1416">
        <f ca="1">C39</f>
        <v>1814</v>
      </c>
      <c r="R69" s="1416" t="s">
        <v>818</v>
      </c>
    </row>
    <row r="70" spans="1:18" s="1380" customFormat="1" ht="13.5" thickBot="1">
      <c r="A70" s="950"/>
      <c r="B70" s="951"/>
      <c r="C70" s="310"/>
      <c r="D70" s="962"/>
      <c r="E70" s="946" t="s">
        <v>766</v>
      </c>
      <c r="F70" s="1050"/>
      <c r="O70" s="1424" t="s">
        <v>412</v>
      </c>
      <c r="P70" s="1463" t="s">
        <v>873</v>
      </c>
      <c r="Q70" s="1416">
        <f ca="1">C13</f>
        <v>5127</v>
      </c>
      <c r="R70" s="1416" t="s">
        <v>818</v>
      </c>
    </row>
    <row r="71" spans="1:18" s="1380" customFormat="1" ht="13.5" thickBot="1">
      <c r="A71" s="967" t="s">
        <v>396</v>
      </c>
      <c r="B71" s="968" t="s">
        <v>776</v>
      </c>
      <c r="C71" s="336">
        <f ca="1">ROUND(C68*10000/F71,0)</f>
        <v>-671</v>
      </c>
      <c r="D71" s="969" t="s">
        <v>777</v>
      </c>
      <c r="E71" s="970" t="s">
        <v>778</v>
      </c>
      <c r="F71" s="339">
        <f ca="1">F43</f>
        <v>6441.3</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359</v>
      </c>
      <c r="D75" s="1380"/>
      <c r="E75" s="1380"/>
      <c r="F75" s="1380"/>
      <c r="K75" s="1398"/>
      <c r="L75" s="1380"/>
      <c r="O75" s="1414" t="s">
        <v>409</v>
      </c>
      <c r="P75" s="1415" t="s">
        <v>838</v>
      </c>
      <c r="Q75" s="1416">
        <f ca="1">Q65+Q66</f>
        <v>21188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0.80200000000000005</v>
      </c>
    </row>
    <row r="80" spans="1:18">
      <c r="B80" s="340" t="s">
        <v>800</v>
      </c>
      <c r="C80" s="274">
        <f ca="1">ROUND(C75/C39,3)</f>
        <v>0.19800000000000001</v>
      </c>
    </row>
    <row r="81" spans="2:3">
      <c r="B81" s="270" t="s">
        <v>801</v>
      </c>
      <c r="C81" s="238"/>
    </row>
    <row r="82" spans="2:3">
      <c r="B82" s="273" t="s">
        <v>802</v>
      </c>
      <c r="C82" s="275">
        <f ca="1">1-C83</f>
        <v>0.75800000000000001</v>
      </c>
    </row>
    <row r="83" spans="2:3">
      <c r="B83" s="273" t="s">
        <v>803</v>
      </c>
      <c r="C83" s="274">
        <f ca="1">ROUND(C13/C40,3)</f>
        <v>0.24199999999999999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受贵公司委托，我公司对北京市丰台区青塔西路58号院22号楼3层301-306/203-205房地产抵押价值进行了预评估。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估价对象为北京市丰台区青塔西路58号院22号楼3层301-306/203-205房地产，为所有。根据《国有土地使用证》[]，估价对象（分摊）出让国有建设用地使用权面积为9678.19平方米，建筑面积为67567.27平方米。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青塔西路58号院22号楼3层301-306/203-205房地产,属开发建设的，该项目尚在开发建设中。根据《国有土地使用证》[]，估价对象（分摊）出让国有建设用地使用权面积为9678.19平方米，规划建筑面积为67567.27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丰台区青塔西路58号院22号楼3层301-306/203-205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2023年12月19日（评估专业人员实地查勘之日）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21</v>
      </c>
      <c r="D1" s="1358" t="s">
        <v>43</v>
      </c>
      <c r="E1" s="1359" t="s">
        <v>678</v>
      </c>
      <c r="F1" s="1058">
        <f ca="1">J53</f>
        <v>30.71</v>
      </c>
      <c r="G1" s="1374">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228200</v>
      </c>
      <c r="C2" s="1383" t="s">
        <v>805</v>
      </c>
      <c r="D2" s="1383"/>
      <c r="E2" s="1384"/>
      <c r="F2" s="1385"/>
      <c r="G2" s="2701"/>
      <c r="H2" s="2690"/>
      <c r="I2" s="2690"/>
      <c r="J2" s="2690"/>
      <c r="K2" s="2691"/>
      <c r="L2" s="2690"/>
      <c r="M2" s="2690"/>
    </row>
    <row r="3" spans="1:37" ht="18" customHeight="1" thickBot="1">
      <c r="A3" s="1386" t="s">
        <v>806</v>
      </c>
      <c r="B3" s="1387">
        <f ca="1">IF(ISERROR(B2*10000/F43),0,ROUND(B2*10000/F43,0))</f>
        <v>49070</v>
      </c>
      <c r="C3" s="1383" t="s">
        <v>807</v>
      </c>
      <c r="D3" s="1383"/>
      <c r="E3" s="1384"/>
      <c r="F3" s="1385"/>
      <c r="G3" s="2701"/>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20021</v>
      </c>
      <c r="D5" s="1360" t="s">
        <v>693</v>
      </c>
      <c r="E5" s="1067"/>
      <c r="F5" s="1068"/>
      <c r="G5" s="1380"/>
      <c r="H5" s="299">
        <v>1</v>
      </c>
      <c r="I5" s="300" t="s">
        <v>692</v>
      </c>
      <c r="J5" s="1066">
        <f ca="1">J6+J10+J12</f>
        <v>0</v>
      </c>
      <c r="K5" s="1360" t="s">
        <v>693</v>
      </c>
      <c r="L5" s="1067"/>
      <c r="M5" s="1068"/>
    </row>
    <row r="6" spans="1:37" ht="18" customHeight="1">
      <c r="A6" s="1065" t="s">
        <v>398</v>
      </c>
      <c r="B6" s="3772" t="s">
        <v>694</v>
      </c>
      <c r="C6" s="1070">
        <f ca="1">ROUND(F6*F8*F7*(1-F9)/10000,0)</f>
        <v>19996</v>
      </c>
      <c r="D6" s="155" t="s">
        <v>2108</v>
      </c>
      <c r="E6" s="302" t="s">
        <v>696</v>
      </c>
      <c r="F6" s="303">
        <f ca="1">INDIRECT("'数据-取费表'!u"&amp;$G$1)</f>
        <v>12.4</v>
      </c>
      <c r="G6" s="1380"/>
      <c r="H6" s="1065" t="s">
        <v>398</v>
      </c>
      <c r="I6" s="3772" t="s">
        <v>694</v>
      </c>
      <c r="J6" s="301">
        <f ca="1">ROUND(M6*M8*M7*(1-M9)/10000,0)</f>
        <v>0</v>
      </c>
      <c r="K6" s="155" t="s">
        <v>2107</v>
      </c>
      <c r="L6" s="302" t="s">
        <v>696</v>
      </c>
      <c r="M6" s="303">
        <f ca="1">INDIRECT("'数据-取费表'!z"&amp;$G$1)</f>
        <v>0</v>
      </c>
    </row>
    <row r="7" spans="1:37" ht="18" customHeight="1">
      <c r="A7" s="1069"/>
      <c r="B7" s="3773"/>
      <c r="C7" s="1071"/>
      <c r="D7" s="307"/>
      <c r="E7" s="3476" t="s">
        <v>697</v>
      </c>
      <c r="F7" s="303">
        <f ca="1">IF(INDIRECT("'数据-取费表'!ah"&amp;$G$1)="",INDIRECT("'数据-取费表'!k"&amp;$G$1),INDIRECT("'数据-取费表'!ah"&amp;$G$1))</f>
        <v>46505.14</v>
      </c>
      <c r="G7" s="1380"/>
      <c r="H7" s="304"/>
      <c r="I7" s="3773"/>
      <c r="J7" s="306"/>
      <c r="K7" s="307"/>
      <c r="L7" s="302" t="s">
        <v>697</v>
      </c>
      <c r="M7" s="303">
        <f ca="1">F7</f>
        <v>46505.14</v>
      </c>
    </row>
    <row r="8" spans="1:37" ht="18" customHeight="1">
      <c r="A8" s="304"/>
      <c r="B8" s="3773"/>
      <c r="C8" s="306"/>
      <c r="D8" s="307"/>
      <c r="E8" s="302" t="s">
        <v>698</v>
      </c>
      <c r="F8" s="303">
        <f ca="1">INDIRECT("'数据-取费表'!ai"&amp;$G$1)</f>
        <v>365</v>
      </c>
      <c r="G8" s="1380"/>
      <c r="H8" s="304"/>
      <c r="I8" s="3773"/>
      <c r="J8" s="306"/>
      <c r="K8" s="307"/>
      <c r="L8" s="302" t="s">
        <v>698</v>
      </c>
      <c r="M8" s="303">
        <f ca="1">INDIRECT("'数据-取费表'!ai"&amp;$G$1)</f>
        <v>365</v>
      </c>
    </row>
    <row r="9" spans="1:37" ht="18" customHeight="1">
      <c r="A9" s="304"/>
      <c r="B9" s="3774"/>
      <c r="C9" s="306"/>
      <c r="D9" s="307"/>
      <c r="E9" s="302" t="s">
        <v>699</v>
      </c>
      <c r="F9" s="312">
        <f ca="1">INDIRECT("'数据-取费表'!w"&amp;$G$1)</f>
        <v>0.05</v>
      </c>
      <c r="G9" s="1380"/>
      <c r="H9" s="304"/>
      <c r="I9" s="3774"/>
      <c r="J9" s="306"/>
      <c r="K9" s="307"/>
      <c r="L9" s="313" t="s">
        <v>699</v>
      </c>
      <c r="M9" s="314">
        <f ca="1">INDIRECT("'数据-取费表'!ab"&amp;$G$1)</f>
        <v>0</v>
      </c>
    </row>
    <row r="10" spans="1:37" ht="18" customHeight="1">
      <c r="A10" s="1065" t="s">
        <v>402</v>
      </c>
      <c r="B10" s="1361" t="s">
        <v>700</v>
      </c>
      <c r="C10" s="316">
        <f ca="1">ROUND(IF(F10="押一",C6/12*F11,IF(F10="押二",C6/12*2*F11,IF(F10="押三",C6/12*3*F11,C11*F11))),0)</f>
        <v>25</v>
      </c>
      <c r="D10" s="1362" t="s">
        <v>2115</v>
      </c>
      <c r="E10" s="313" t="s">
        <v>701</v>
      </c>
      <c r="F10" s="1112" t="s">
        <v>3400</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35482</v>
      </c>
      <c r="D13" s="3468" t="s">
        <v>705</v>
      </c>
      <c r="E13" s="3468"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28566</v>
      </c>
      <c r="D14" s="3472" t="s">
        <v>708</v>
      </c>
      <c r="E14" s="3470"/>
      <c r="F14" s="319"/>
      <c r="G14" s="1380"/>
      <c r="H14" s="978" t="s">
        <v>398</v>
      </c>
      <c r="I14" s="302" t="s">
        <v>709</v>
      </c>
      <c r="J14" s="21">
        <f ca="1">C29</f>
        <v>40321</v>
      </c>
      <c r="K14" s="3475"/>
      <c r="L14" s="803"/>
      <c r="M14" s="804"/>
    </row>
    <row r="15" spans="1:37" s="1393" customFormat="1" ht="18" customHeight="1" thickBot="1">
      <c r="A15" s="978" t="s">
        <v>399</v>
      </c>
      <c r="B15" s="302" t="s">
        <v>710</v>
      </c>
      <c r="C15" s="21">
        <f ca="1">ROUND(C14*F15,0)</f>
        <v>857</v>
      </c>
      <c r="D15" s="3469" t="s">
        <v>711</v>
      </c>
      <c r="E15" s="3469"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222</v>
      </c>
      <c r="K16" s="1083" t="s">
        <v>715</v>
      </c>
      <c r="L16" s="3473"/>
      <c r="M16" s="1068"/>
    </row>
    <row r="17" spans="1:37" s="1393" customFormat="1" ht="18" customHeight="1">
      <c r="A17" s="978" t="s">
        <v>681</v>
      </c>
      <c r="B17" s="302" t="s">
        <v>716</v>
      </c>
      <c r="C17" s="21">
        <f ca="1">ROUND(F17*(F43+INDIRECT("'数据-取费表'!S"&amp;$G$1))/10000,0)</f>
        <v>952</v>
      </c>
      <c r="D17" s="302" t="s">
        <v>717</v>
      </c>
      <c r="E17" s="302" t="s">
        <v>718</v>
      </c>
      <c r="F17" s="23">
        <f>'数据-取费表'!B35</f>
        <v>200</v>
      </c>
      <c r="G17" s="1392"/>
      <c r="H17" s="978" t="s">
        <v>398</v>
      </c>
      <c r="I17" s="302" t="s">
        <v>719</v>
      </c>
      <c r="J17" s="2312">
        <f ca="1">ROUND(IF(AND(项目基本情况!B11="自然人",项目基本情况!B10="北京市"),J6*M17/(1+'数据-取费表'!C42),J18+J19+J20),2)</f>
        <v>20.46</v>
      </c>
      <c r="K17" s="3472" t="s">
        <v>720</v>
      </c>
      <c r="L17" s="347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428</v>
      </c>
      <c r="D18" s="302" t="s">
        <v>711</v>
      </c>
      <c r="E18" s="302" t="s">
        <v>712</v>
      </c>
      <c r="F18" s="322">
        <f>'数据-取费表'!B36</f>
        <v>1.4999999999999999E-2</v>
      </c>
      <c r="G18" s="1392"/>
      <c r="H18" s="978" t="s">
        <v>397</v>
      </c>
      <c r="I18" s="302" t="s">
        <v>723</v>
      </c>
      <c r="J18" s="21">
        <f ca="1">ROUND(J6*M18/(1+'数据-取费表'!C42),2)</f>
        <v>0</v>
      </c>
      <c r="K18" s="347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30803</v>
      </c>
      <c r="D19" s="131" t="s">
        <v>726</v>
      </c>
      <c r="E19" s="3478"/>
      <c r="F19" s="23"/>
      <c r="G19" s="1380"/>
      <c r="H19" s="978" t="s">
        <v>399</v>
      </c>
      <c r="I19" s="302" t="s">
        <v>727</v>
      </c>
      <c r="J19" s="21">
        <f ca="1">IF(K19="按租金收入计税",ROUND(J6*M19/(1+'数据-取费表'!C42),2),ROUND(C29*M19*0.7,2))</f>
        <v>0</v>
      </c>
      <c r="K19" s="1366" t="s">
        <v>3337</v>
      </c>
      <c r="L19" s="302" t="s">
        <v>712</v>
      </c>
      <c r="M19" s="322">
        <f>IF(K19="按租金收入计税",'数据-取费表'!B51,'数据-取费表'!B50)</f>
        <v>0.12</v>
      </c>
    </row>
    <row r="20" spans="1:37" s="1393" customFormat="1" ht="18" customHeight="1">
      <c r="A20" s="978" t="s">
        <v>402</v>
      </c>
      <c r="B20" s="302" t="s">
        <v>728</v>
      </c>
      <c r="C20" s="21">
        <f ca="1">ROUND(C19*F20,0)</f>
        <v>616</v>
      </c>
      <c r="D20" s="2424" t="s">
        <v>729</v>
      </c>
      <c r="E20" s="302" t="s">
        <v>712</v>
      </c>
      <c r="F20" s="322">
        <f>'数据-取费表'!B37</f>
        <v>0.02</v>
      </c>
      <c r="G20" s="1392"/>
      <c r="H20" s="978" t="s">
        <v>680</v>
      </c>
      <c r="I20" s="155" t="s">
        <v>730</v>
      </c>
      <c r="J20" s="22">
        <f ca="1">ROUND(M20*M21/10000,2)</f>
        <v>20.46</v>
      </c>
      <c r="K20" s="324" t="s">
        <v>731</v>
      </c>
      <c r="L20" s="302" t="s">
        <v>732</v>
      </c>
      <c r="M20" s="325">
        <f>'数据-取费表'!B52</f>
        <v>30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2424" t="s">
        <v>734</v>
      </c>
      <c r="E21" s="302" t="s">
        <v>735</v>
      </c>
      <c r="F21" s="322">
        <f>'数据-取费表'!B38</f>
        <v>0.02</v>
      </c>
      <c r="G21" s="1392"/>
      <c r="H21" s="326"/>
      <c r="I21" s="311"/>
      <c r="J21" s="26"/>
      <c r="K21" s="327"/>
      <c r="L21" s="302" t="s">
        <v>736</v>
      </c>
      <c r="M21" s="303">
        <f ca="1">INDIRECT("'数据-取费表'!r"&amp;$G$1)</f>
        <v>6819.6500000000005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8"/>
      <c r="F22" s="23"/>
      <c r="G22" s="1380"/>
      <c r="H22" s="978" t="s">
        <v>402</v>
      </c>
      <c r="I22" s="302" t="s">
        <v>738</v>
      </c>
      <c r="J22" s="21">
        <f ca="1">ROUND(J14*M22,2)</f>
        <v>201.61</v>
      </c>
      <c r="K22" s="3471"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1084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3471" t="s">
        <v>743</v>
      </c>
      <c r="L23" s="302" t="s">
        <v>712</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683</v>
      </c>
      <c r="I24" s="1086" t="s">
        <v>728</v>
      </c>
      <c r="J24" s="1087">
        <f ca="1">ROUND(J5*M24,2)</f>
        <v>0</v>
      </c>
      <c r="K24" s="1088" t="s">
        <v>748</v>
      </c>
      <c r="L24" s="1086" t="s">
        <v>712</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78"/>
      <c r="F25" s="23"/>
      <c r="G25" s="1380"/>
      <c r="H25" s="1075" t="s">
        <v>394</v>
      </c>
      <c r="I25" s="1090" t="s">
        <v>752</v>
      </c>
      <c r="J25" s="310">
        <f ca="1">J5-J16</f>
        <v>-222</v>
      </c>
      <c r="K25" s="1091" t="s">
        <v>753</v>
      </c>
      <c r="L25" s="1092"/>
      <c r="M25" s="1093"/>
    </row>
    <row r="26" spans="1:37">
      <c r="A26" s="978" t="s">
        <v>397</v>
      </c>
      <c r="B26" s="302" t="s">
        <v>754</v>
      </c>
      <c r="C26" s="21">
        <f ca="1">ROUND((C19+C20)*F26,0)</f>
        <v>4713</v>
      </c>
      <c r="D26" s="2424"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0.06</v>
      </c>
    </row>
    <row r="27" spans="1:37" ht="18" customHeight="1">
      <c r="A27" s="978" t="s">
        <v>399</v>
      </c>
      <c r="B27" s="302" t="s">
        <v>760</v>
      </c>
      <c r="C27" s="21">
        <f ca="1">ROUND(F21*F26,4)</f>
        <v>3.0000000000000001E-3</v>
      </c>
      <c r="D27" s="2424" t="s">
        <v>761</v>
      </c>
      <c r="E27" s="3469"/>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4"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40321</v>
      </c>
      <c r="D29" s="1088"/>
      <c r="E29" s="1086"/>
      <c r="F29" s="1089"/>
      <c r="G29" s="1392"/>
      <c r="H29" s="334" t="s">
        <v>396</v>
      </c>
      <c r="I29" s="335" t="s">
        <v>768</v>
      </c>
      <c r="J29" s="336">
        <f ca="1">ROUND(J26/(1+F40)^F41,0)</f>
        <v>0</v>
      </c>
      <c r="K29" s="337" t="s">
        <v>769</v>
      </c>
      <c r="L29" s="338"/>
      <c r="M29" s="339">
        <f ca="1">INDIRECT("'数据-取费表'!k"&amp;$G$1)</f>
        <v>46505.14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3709</v>
      </c>
      <c r="D30" s="1083" t="s">
        <v>715</v>
      </c>
      <c r="E30" s="3473"/>
      <c r="F30" s="1068"/>
      <c r="G30" s="1380"/>
      <c r="H30" s="2692"/>
      <c r="I30" s="1394"/>
      <c r="J30" s="1395"/>
      <c r="K30" s="2471"/>
      <c r="L30" s="2693"/>
      <c r="M30" s="2694"/>
    </row>
    <row r="31" spans="1:37" ht="18" customHeight="1">
      <c r="A31" s="978" t="s">
        <v>398</v>
      </c>
      <c r="B31" s="302" t="s">
        <v>719</v>
      </c>
      <c r="C31" s="2312">
        <f ca="1">ROUND(IF(AND(项目基本情况!B11="自然人",项目基本情况!B10="北京市"),C6*F31/(1+'数据-取费表'!C42),C32+C33+C34),2)</f>
        <v>3372.17</v>
      </c>
      <c r="D31" s="3472" t="s">
        <v>720</v>
      </c>
      <c r="E31" s="3471" t="s">
        <v>770</v>
      </c>
      <c r="F31" s="2311" t="str">
        <f>IF(项目基本情况!B11="企业","——",IF(M47="住宅",IF(F6*F7*F8/12/(1+'数据-取费表'!F30)&gt;100000,4%,2.5%),IF(F6*F7*F8/12/(1+'数据-取费表'!F30)&gt;100000,12%,7%)))</f>
        <v>——</v>
      </c>
      <c r="G31" s="1380"/>
      <c r="H31" s="2803" t="s">
        <v>2309</v>
      </c>
      <c r="I31" s="1394"/>
      <c r="J31" s="1395"/>
      <c r="K31" s="2471"/>
      <c r="L31" s="2693"/>
      <c r="M31" s="2694"/>
    </row>
    <row r="32" spans="1:37" ht="18" customHeight="1">
      <c r="A32" s="978" t="s">
        <v>397</v>
      </c>
      <c r="B32" s="302" t="s">
        <v>723</v>
      </c>
      <c r="C32" s="21">
        <f ca="1">IF(项目基本情况!B11="自然人","——",ROUND(C6*F32/(1+'数据-取费表'!C42),2))</f>
        <v>1066.45</v>
      </c>
      <c r="D32" s="3471" t="s">
        <v>724</v>
      </c>
      <c r="E32" s="302" t="s">
        <v>712</v>
      </c>
      <c r="F32" s="331">
        <f>'数据-取费表'!B41</f>
        <v>5.6000000000000001E-2</v>
      </c>
      <c r="G32" s="1380"/>
      <c r="H32" s="2692"/>
      <c r="I32" s="1394"/>
      <c r="J32" s="1395"/>
      <c r="K32" s="2471"/>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2285.2600000000002</v>
      </c>
      <c r="D33" s="1366" t="s">
        <v>3337</v>
      </c>
      <c r="E33" s="302" t="s">
        <v>712</v>
      </c>
      <c r="F33" s="322">
        <f>IF(D33="按票据","——",IF(D33="按租金收入计税",'数据-取费表'!B51,'数据-取费表'!B50))</f>
        <v>0.12</v>
      </c>
      <c r="G33" s="1380"/>
      <c r="H33" s="2695"/>
      <c r="I33" s="1394"/>
      <c r="J33" s="1395"/>
      <c r="K33" s="2696"/>
      <c r="L33" s="2695"/>
      <c r="M33" s="2695"/>
    </row>
    <row r="34" spans="1:18" ht="18" customHeight="1">
      <c r="A34" s="1065" t="s">
        <v>680</v>
      </c>
      <c r="B34" s="155" t="s">
        <v>730</v>
      </c>
      <c r="C34" s="22">
        <f ca="1">IF(项目基本情况!B11="自然人","——",ROUND(F34*F35/10000,2))</f>
        <v>20.46</v>
      </c>
      <c r="D34" s="324" t="s">
        <v>731</v>
      </c>
      <c r="E34" s="302" t="s">
        <v>732</v>
      </c>
      <c r="F34" s="325">
        <f>'数据-取费表'!B52</f>
        <v>30</v>
      </c>
      <c r="G34" s="1380"/>
      <c r="H34" s="2692"/>
      <c r="I34" s="1394"/>
      <c r="J34" s="1395"/>
      <c r="K34" s="2697"/>
      <c r="L34" s="2698"/>
      <c r="M34" s="2698"/>
    </row>
    <row r="35" spans="1:18" ht="18" customHeight="1">
      <c r="A35" s="1099"/>
      <c r="B35" s="1097"/>
      <c r="C35" s="26"/>
      <c r="D35" s="327"/>
      <c r="E35" s="302" t="s">
        <v>736</v>
      </c>
      <c r="F35" s="303">
        <f ca="1">INDIRECT("'数据-取费表'!r"&amp;$G$1)</f>
        <v>6819.6500000000005</v>
      </c>
      <c r="G35" s="1380"/>
      <c r="H35" s="2692"/>
      <c r="I35" s="1394"/>
      <c r="J35" s="1395"/>
      <c r="K35" s="2696"/>
      <c r="L35" s="2695"/>
      <c r="M35" s="2695"/>
    </row>
    <row r="36" spans="1:18" ht="18" customHeight="1">
      <c r="A36" s="1098" t="s">
        <v>402</v>
      </c>
      <c r="B36" s="302" t="s">
        <v>738</v>
      </c>
      <c r="C36" s="21">
        <f ca="1">ROUND(C29*F36,2)</f>
        <v>201.61</v>
      </c>
      <c r="D36" s="3471" t="s">
        <v>771</v>
      </c>
      <c r="E36" s="302" t="s">
        <v>712</v>
      </c>
      <c r="F36" s="328">
        <f ca="1">INDIRECT("'数据-取费表'!Ak"&amp;$G$1)</f>
        <v>5.0000000000000001E-3</v>
      </c>
      <c r="G36" s="1380"/>
      <c r="H36" s="2695"/>
      <c r="I36" s="1394"/>
      <c r="J36" s="1395"/>
      <c r="K36" s="2540"/>
      <c r="L36" s="2695"/>
      <c r="M36" s="2695"/>
    </row>
    <row r="37" spans="1:18" ht="18" customHeight="1">
      <c r="A37" s="978" t="s">
        <v>437</v>
      </c>
      <c r="B37" s="302" t="s">
        <v>742</v>
      </c>
      <c r="C37" s="21">
        <f ca="1">ROUND(C13*F37,2)</f>
        <v>35.479999999999997</v>
      </c>
      <c r="D37" s="3471" t="s">
        <v>743</v>
      </c>
      <c r="E37" s="302" t="s">
        <v>712</v>
      </c>
      <c r="F37" s="330">
        <f ca="1">INDIRECT("'数据-取费表'!Al"&amp;$G$1)</f>
        <v>1E-3</v>
      </c>
      <c r="G37" s="1380"/>
      <c r="H37" s="2695"/>
      <c r="I37" s="1394"/>
      <c r="J37" s="1395"/>
      <c r="K37" s="2540"/>
      <c r="L37" s="2695"/>
      <c r="M37" s="2695"/>
    </row>
    <row r="38" spans="1:18" ht="18" customHeight="1" thickBot="1">
      <c r="A38" s="1085" t="s">
        <v>683</v>
      </c>
      <c r="B38" s="1086" t="s">
        <v>728</v>
      </c>
      <c r="C38" s="1087">
        <f ca="1">ROUND(C5*F38,2)</f>
        <v>100.11</v>
      </c>
      <c r="D38" s="1088" t="s">
        <v>748</v>
      </c>
      <c r="E38" s="1086" t="s">
        <v>712</v>
      </c>
      <c r="F38" s="1082">
        <f ca="1">INDIRECT("'数据-取费表'!Am"&amp;$G$1)</f>
        <v>5.0000000000000001E-3</v>
      </c>
      <c r="G38" s="1380"/>
      <c r="H38" s="2695"/>
      <c r="I38" s="1394"/>
      <c r="J38" s="1395"/>
      <c r="K38" s="2699"/>
      <c r="L38" s="2695"/>
      <c r="M38" s="2695"/>
    </row>
    <row r="39" spans="1:18" ht="24.6" customHeight="1" thickTop="1">
      <c r="A39" s="1075" t="s">
        <v>394</v>
      </c>
      <c r="B39" s="1090" t="s">
        <v>752</v>
      </c>
      <c r="C39" s="310">
        <f ca="1">C5-C30</f>
        <v>16312</v>
      </c>
      <c r="D39" s="1091" t="s">
        <v>753</v>
      </c>
      <c r="E39" s="1092"/>
      <c r="F39" s="1093"/>
      <c r="G39" s="1380"/>
      <c r="H39" s="2695"/>
      <c r="I39" s="1394"/>
      <c r="J39" s="1395"/>
      <c r="K39" s="2699"/>
      <c r="L39" s="2695"/>
      <c r="M39" s="2695"/>
    </row>
    <row r="40" spans="1:18" ht="18" customHeight="1">
      <c r="A40" s="299" t="s">
        <v>395</v>
      </c>
      <c r="B40" s="300" t="s">
        <v>774</v>
      </c>
      <c r="C40" s="301">
        <f ca="1">ROUND(C39*(1-((1+F42)/(1+F40))^F41)/(F40-F42),0)</f>
        <v>226450</v>
      </c>
      <c r="D40" s="324" t="s">
        <v>758</v>
      </c>
      <c r="E40" s="302" t="s">
        <v>759</v>
      </c>
      <c r="F40" s="312">
        <f ca="1">INDIRECT("'数据-取费表'!I"&amp;$G$1)</f>
        <v>0.06</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30.71</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f ca="1">ROUND(C40*10000/F43,0)</f>
        <v>48694</v>
      </c>
      <c r="D43" s="337" t="s">
        <v>777</v>
      </c>
      <c r="E43" s="338" t="s">
        <v>778</v>
      </c>
      <c r="F43" s="339">
        <f ca="1">INDIRECT("'数据-取费表'!k"&amp;$G$1)</f>
        <v>46505.14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0" t="s">
        <v>808</v>
      </c>
      <c r="P45" s="1457"/>
      <c r="Q45" s="1457"/>
      <c r="R45" s="1457"/>
    </row>
    <row r="46" spans="1:18" s="1380" customFormat="1" ht="13.5" thickBot="1">
      <c r="A46" s="1400" t="s">
        <v>809</v>
      </c>
      <c r="C46" s="1401">
        <f ca="1">C68-C40</f>
        <v>-230018</v>
      </c>
      <c r="D46" s="1402" t="str">
        <f>C2</f>
        <v>万元</v>
      </c>
      <c r="E46" s="1396"/>
      <c r="F46" s="1396"/>
      <c r="I46" s="1403" t="s">
        <v>810</v>
      </c>
      <c r="J46" s="1404"/>
      <c r="K46" s="1405"/>
      <c r="L46" s="1406">
        <f ca="1">IF(M47="住宅",0,IF(L48&gt;J51,L60,J60))</f>
        <v>1750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3401</v>
      </c>
      <c r="K47" s="1412" t="s">
        <v>816</v>
      </c>
      <c r="L47" s="1413">
        <f ca="1">INDIRECT("'数据-取费表'!d"&amp;$G$1)</f>
        <v>50</v>
      </c>
      <c r="M47" s="1376" t="str">
        <f>IF(ISNUMBER(FIND("住宅",C1)),"住宅","非住宅")</f>
        <v>非住宅</v>
      </c>
      <c r="O47" s="1414" t="s">
        <v>403</v>
      </c>
      <c r="P47" s="1415" t="s">
        <v>817</v>
      </c>
      <c r="Q47" s="1416">
        <f ca="1">C40+J29</f>
        <v>226450</v>
      </c>
      <c r="R47" s="1416" t="s">
        <v>818</v>
      </c>
    </row>
    <row r="48" spans="1:18" s="1380" customFormat="1" ht="28.5" thickBot="1">
      <c r="A48" s="1106" t="s">
        <v>438</v>
      </c>
      <c r="B48" s="300" t="s">
        <v>692</v>
      </c>
      <c r="C48" s="3477">
        <f ca="1">C49+C53+C55</f>
        <v>0</v>
      </c>
      <c r="D48" s="1108"/>
      <c r="E48" s="1109"/>
      <c r="F48" s="958"/>
      <c r="G48" s="722"/>
      <c r="H48" s="723"/>
      <c r="I48" s="1417" t="s">
        <v>819</v>
      </c>
      <c r="J48" s="1418" t="s">
        <v>3402</v>
      </c>
      <c r="K48" s="1419" t="s">
        <v>820</v>
      </c>
      <c r="L48" s="1420">
        <f ca="1">INDIRECT("'数据-取费表'!f"&amp;$G$1)</f>
        <v>30.71</v>
      </c>
      <c r="O48" s="1414" t="s">
        <v>404</v>
      </c>
      <c r="P48" s="1415" t="s">
        <v>821</v>
      </c>
      <c r="Q48" s="1416">
        <f ca="1">J60</f>
        <v>1750</v>
      </c>
      <c r="R48" s="1416" t="s">
        <v>822</v>
      </c>
    </row>
    <row r="49" spans="1:18" s="1380" customFormat="1" ht="13.5" thickBot="1">
      <c r="A49" s="971" t="s">
        <v>439</v>
      </c>
      <c r="B49" s="1367" t="s">
        <v>779</v>
      </c>
      <c r="C49" s="1110">
        <f ca="1">ROUND(F49*F51*F50*(1-F52)/10000,0)</f>
        <v>0</v>
      </c>
      <c r="D49" s="1051" t="s">
        <v>2107</v>
      </c>
      <c r="E49" s="1368" t="s">
        <v>780</v>
      </c>
      <c r="F49" s="1056"/>
      <c r="G49" s="1421"/>
      <c r="H49" s="723"/>
      <c r="I49" s="1417" t="s">
        <v>823</v>
      </c>
      <c r="J49" s="1422">
        <v>2016</v>
      </c>
      <c r="K49" s="1419" t="s">
        <v>824</v>
      </c>
      <c r="L49" s="1423"/>
      <c r="O49" s="1424" t="s">
        <v>405</v>
      </c>
      <c r="P49" s="1415" t="s">
        <v>825</v>
      </c>
      <c r="Q49" s="1416">
        <f ca="1">C29</f>
        <v>40321</v>
      </c>
      <c r="R49" s="1416" t="s">
        <v>818</v>
      </c>
    </row>
    <row r="50" spans="1:18" s="1380" customFormat="1" ht="13.5" thickBot="1">
      <c r="A50" s="972"/>
      <c r="B50" s="975"/>
      <c r="C50" s="1114"/>
      <c r="D50" s="949"/>
      <c r="E50" s="1052" t="s">
        <v>697</v>
      </c>
      <c r="F50" s="1053">
        <f ca="1">F7</f>
        <v>46505.14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53</v>
      </c>
      <c r="K51" s="1430" t="s">
        <v>830</v>
      </c>
      <c r="L51" s="1431">
        <f ca="1">ROUND(-PV(INDIRECT("'数据-取费表'!h"&amp;$G$1),J51,(C39-C13*C76),0),0)</f>
        <v>255732</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30.71</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30.71</v>
      </c>
      <c r="K53" s="3770" t="s">
        <v>837</v>
      </c>
      <c r="L53" s="3771"/>
      <c r="O53" s="1414" t="s">
        <v>409</v>
      </c>
      <c r="P53" s="1415" t="s">
        <v>838</v>
      </c>
      <c r="Q53" s="1416">
        <f ca="1">Q47+Q48</f>
        <v>228200</v>
      </c>
      <c r="R53" s="1416" t="s">
        <v>410</v>
      </c>
    </row>
    <row r="54" spans="1:18" s="1380" customFormat="1" ht="13.5" thickBot="1">
      <c r="A54" s="1149"/>
      <c r="B54" s="1363" t="s">
        <v>679</v>
      </c>
      <c r="C54" s="955"/>
      <c r="D54" s="1362"/>
      <c r="E54" s="347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74"/>
      <c r="F55" s="1436"/>
      <c r="I55" s="1439" t="s">
        <v>840</v>
      </c>
      <c r="J55" s="1440">
        <f ca="1">ROUND(IF(J47="钢混",J57/J50,1-(1-2%)*(J50-J57)/J50),3)</f>
        <v>0.372</v>
      </c>
      <c r="K55" s="1441" t="s">
        <v>841</v>
      </c>
      <c r="L55" s="1442"/>
      <c r="O55" s="1407" t="s">
        <v>811</v>
      </c>
      <c r="P55" s="1408" t="s">
        <v>812</v>
      </c>
      <c r="Q55" s="1409" t="s">
        <v>813</v>
      </c>
      <c r="R55" s="1409" t="s">
        <v>814</v>
      </c>
    </row>
    <row r="56" spans="1:18" s="1380" customFormat="1" ht="25.5" thickTop="1" thickBot="1">
      <c r="A56" s="953">
        <v>2</v>
      </c>
      <c r="B56" s="954" t="s">
        <v>704</v>
      </c>
      <c r="C56" s="232">
        <f ca="1">C13</f>
        <v>35482</v>
      </c>
      <c r="D56" s="1443"/>
      <c r="E56" s="1444"/>
      <c r="F56" s="1436"/>
      <c r="I56" s="1445" t="s">
        <v>842</v>
      </c>
      <c r="J56" s="1446" t="s">
        <v>3403</v>
      </c>
      <c r="K56" s="1417" t="s">
        <v>843</v>
      </c>
      <c r="L56" s="1420" t="str">
        <f ca="1">IF(L48&lt;J51,"——",L48-J53)</f>
        <v>——</v>
      </c>
      <c r="O56" s="1414" t="s">
        <v>403</v>
      </c>
      <c r="P56" s="1415" t="s">
        <v>817</v>
      </c>
      <c r="Q56" s="1416">
        <f ca="1">C40+J29</f>
        <v>226450</v>
      </c>
      <c r="R56" s="1416" t="s">
        <v>818</v>
      </c>
    </row>
    <row r="57" spans="1:18" s="1380" customFormat="1" ht="24.75" thickBot="1">
      <c r="A57" s="1447"/>
      <c r="B57" s="946" t="s">
        <v>767</v>
      </c>
      <c r="C57" s="238">
        <f ca="1">C29</f>
        <v>40321</v>
      </c>
      <c r="D57" s="1448"/>
      <c r="E57" s="1449"/>
      <c r="F57" s="1450"/>
      <c r="I57" s="1451" t="s">
        <v>844</v>
      </c>
      <c r="J57" s="1452">
        <f ca="1">IF(OR(M47="住宅",J51&lt;L48,J56="是"),"——",J51-L48)</f>
        <v>22.29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257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16128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1750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3337</v>
      </c>
      <c r="E61" s="946" t="s">
        <v>712</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f ca="1">IF(项目基本情况!B11="自然人","——",ROUND(F62*F63/10000,2))</f>
        <v>20.46</v>
      </c>
      <c r="D62" s="961" t="s">
        <v>731</v>
      </c>
      <c r="E62" s="946" t="s">
        <v>732</v>
      </c>
      <c r="F62" s="325">
        <f t="shared" si="0"/>
        <v>30</v>
      </c>
      <c r="I62" s="1458" t="s">
        <v>858</v>
      </c>
      <c r="J62" s="1459" t="s">
        <v>859</v>
      </c>
      <c r="K62" s="1459" t="s">
        <v>860</v>
      </c>
      <c r="L62" s="1459" t="s">
        <v>861</v>
      </c>
      <c r="M62" s="1460" t="s">
        <v>862</v>
      </c>
      <c r="O62" s="1414" t="s">
        <v>409</v>
      </c>
      <c r="P62" s="1415" t="s">
        <v>838</v>
      </c>
      <c r="Q62" s="1416">
        <f ca="1">Q56+Q57</f>
        <v>226450</v>
      </c>
      <c r="R62" s="1416" t="s">
        <v>410</v>
      </c>
    </row>
    <row r="63" spans="1:18" s="1380" customFormat="1" ht="13.5" thickBot="1">
      <c r="A63" s="326"/>
      <c r="B63" s="952"/>
      <c r="C63" s="26"/>
      <c r="D63" s="962"/>
      <c r="E63" s="946" t="s">
        <v>736</v>
      </c>
      <c r="F63" s="303">
        <f t="shared" ca="1" si="0"/>
        <v>6819.6500000000005</v>
      </c>
      <c r="I63" s="1458" t="s">
        <v>864</v>
      </c>
      <c r="J63" s="1459">
        <v>70</v>
      </c>
      <c r="K63" s="1459">
        <v>50</v>
      </c>
      <c r="L63" s="1459">
        <v>80</v>
      </c>
      <c r="M63" s="1461">
        <v>0.02</v>
      </c>
      <c r="O63" s="1399" t="s">
        <v>865</v>
      </c>
      <c r="P63" s="1377"/>
      <c r="Q63" s="1377"/>
      <c r="R63" s="1377"/>
    </row>
    <row r="64" spans="1:18" s="1380" customFormat="1" ht="13.5" thickBot="1">
      <c r="A64" s="978" t="s">
        <v>789</v>
      </c>
      <c r="B64" s="946" t="s">
        <v>738</v>
      </c>
      <c r="C64" s="21">
        <f ca="1">ROUND(C57*F64,2)</f>
        <v>201.61</v>
      </c>
      <c r="D64" s="960" t="s">
        <v>771</v>
      </c>
      <c r="E64" s="946" t="s">
        <v>712</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35.479999999999997</v>
      </c>
      <c r="D65" s="960" t="s">
        <v>743</v>
      </c>
      <c r="E65" s="946" t="s">
        <v>712</v>
      </c>
      <c r="F65" s="330">
        <f t="shared" ca="1" si="0"/>
        <v>1E-3</v>
      </c>
      <c r="I65" s="1458" t="s">
        <v>867</v>
      </c>
      <c r="J65" s="1459">
        <v>40</v>
      </c>
      <c r="K65" s="1459">
        <v>30</v>
      </c>
      <c r="L65" s="1459">
        <v>50</v>
      </c>
      <c r="M65" s="1461">
        <v>0.02</v>
      </c>
      <c r="O65" s="1414" t="s">
        <v>403</v>
      </c>
      <c r="P65" s="1415" t="s">
        <v>817</v>
      </c>
      <c r="Q65" s="1416">
        <f ca="1">C40+J29</f>
        <v>226450</v>
      </c>
      <c r="R65" s="1416" t="s">
        <v>818</v>
      </c>
    </row>
    <row r="66" spans="1:18" s="1380" customFormat="1" ht="16.5" thickBot="1">
      <c r="A66" s="978" t="s">
        <v>793</v>
      </c>
      <c r="B66" s="946" t="s">
        <v>728</v>
      </c>
      <c r="C66" s="21">
        <f ca="1">ROUND(C48*F66,2)</f>
        <v>0</v>
      </c>
      <c r="D66" s="960" t="s">
        <v>748</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-257</v>
      </c>
      <c r="D67" s="959" t="s">
        <v>753</v>
      </c>
      <c r="E67" s="964"/>
      <c r="F67" s="965"/>
      <c r="O67" s="1424" t="s">
        <v>405</v>
      </c>
      <c r="P67" s="1415" t="s">
        <v>850</v>
      </c>
      <c r="Q67" s="1462">
        <f ca="1">L51</f>
        <v>255732</v>
      </c>
      <c r="R67" s="1416" t="s">
        <v>870</v>
      </c>
    </row>
    <row r="68" spans="1:18" s="1380" customFormat="1" ht="16.5" thickBot="1">
      <c r="A68" s="943" t="s">
        <v>395</v>
      </c>
      <c r="B68" s="944" t="s">
        <v>774</v>
      </c>
      <c r="C68" s="301">
        <f ca="1">ROUND(C67*(1-((1+F70)/(1+F68))^F69)/(F68-F70),0)</f>
        <v>-3568</v>
      </c>
      <c r="D68" s="961" t="s">
        <v>758</v>
      </c>
      <c r="E68" s="946" t="s">
        <v>759</v>
      </c>
      <c r="F68" s="312">
        <f ca="1">F40</f>
        <v>0.06</v>
      </c>
      <c r="O68" s="1424" t="s">
        <v>406</v>
      </c>
      <c r="P68" s="1463" t="s">
        <v>871</v>
      </c>
      <c r="Q68" s="1416">
        <f ca="1">ROUND(Q69-Q70*Q71,0)</f>
        <v>13828</v>
      </c>
      <c r="R68" s="1416" t="s">
        <v>414</v>
      </c>
    </row>
    <row r="69" spans="1:18" s="1380" customFormat="1" ht="13.5" thickBot="1">
      <c r="A69" s="947"/>
      <c r="B69" s="948"/>
      <c r="C69" s="306"/>
      <c r="D69" s="966" t="s">
        <v>762</v>
      </c>
      <c r="E69" s="946" t="s">
        <v>763</v>
      </c>
      <c r="F69" s="333">
        <f ca="1">F41</f>
        <v>30.71</v>
      </c>
      <c r="O69" s="1424" t="s">
        <v>411</v>
      </c>
      <c r="P69" s="1463" t="s">
        <v>872</v>
      </c>
      <c r="Q69" s="1416">
        <f ca="1">C39</f>
        <v>16312</v>
      </c>
      <c r="R69" s="1416" t="s">
        <v>818</v>
      </c>
    </row>
    <row r="70" spans="1:18" s="1380" customFormat="1" ht="13.5" thickBot="1">
      <c r="A70" s="950"/>
      <c r="B70" s="951"/>
      <c r="C70" s="310"/>
      <c r="D70" s="962"/>
      <c r="E70" s="946" t="s">
        <v>766</v>
      </c>
      <c r="F70" s="1050"/>
      <c r="O70" s="1424" t="s">
        <v>412</v>
      </c>
      <c r="P70" s="1463" t="s">
        <v>873</v>
      </c>
      <c r="Q70" s="1416">
        <f ca="1">C13</f>
        <v>35482</v>
      </c>
      <c r="R70" s="1416" t="s">
        <v>818</v>
      </c>
    </row>
    <row r="71" spans="1:18" s="1380" customFormat="1" ht="13.5" thickBot="1">
      <c r="A71" s="967" t="s">
        <v>396</v>
      </c>
      <c r="B71" s="968" t="s">
        <v>776</v>
      </c>
      <c r="C71" s="336">
        <f ca="1">ROUND(C68*10000/F71,0)</f>
        <v>-767</v>
      </c>
      <c r="D71" s="969" t="s">
        <v>777</v>
      </c>
      <c r="E71" s="970" t="s">
        <v>778</v>
      </c>
      <c r="F71" s="339">
        <f ca="1">F43</f>
        <v>46505.14</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2484</v>
      </c>
      <c r="D75" s="1380"/>
      <c r="E75" s="1380"/>
      <c r="F75" s="1380"/>
      <c r="K75" s="1398"/>
      <c r="L75" s="1380"/>
      <c r="O75" s="1414" t="s">
        <v>409</v>
      </c>
      <c r="P75" s="1415" t="s">
        <v>838</v>
      </c>
      <c r="Q75" s="1416">
        <f ca="1">Q65+Q66</f>
        <v>226450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0.84799999999999998</v>
      </c>
    </row>
    <row r="80" spans="1:18">
      <c r="B80" s="340" t="s">
        <v>800</v>
      </c>
      <c r="C80" s="274">
        <f ca="1">ROUND(C75/C39,3)</f>
        <v>0.152</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3470</v>
      </c>
      <c r="D1" s="1358" t="s">
        <v>43</v>
      </c>
      <c r="E1" s="1359" t="s">
        <v>678</v>
      </c>
      <c r="F1" s="1058">
        <f ca="1">J53</f>
        <v>30.71</v>
      </c>
      <c r="G1" s="1374">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423</v>
      </c>
      <c r="C2" s="1383" t="s">
        <v>805</v>
      </c>
      <c r="D2" s="1383"/>
      <c r="E2" s="1384"/>
      <c r="F2" s="1385"/>
      <c r="G2" s="2701"/>
      <c r="H2" s="2690"/>
      <c r="I2" s="2690"/>
      <c r="J2" s="2690"/>
      <c r="K2" s="2691"/>
      <c r="L2" s="2690"/>
      <c r="M2" s="2690"/>
    </row>
    <row r="3" spans="1:37" ht="18" customHeight="1" thickBot="1">
      <c r="A3" s="1386" t="s">
        <v>806</v>
      </c>
      <c r="B3" s="1387">
        <f ca="1">IF(ISERROR(B2*10000/F43),0,ROUND(B2*10000/F43,0))</f>
        <v>7471</v>
      </c>
      <c r="C3" s="1383" t="s">
        <v>807</v>
      </c>
      <c r="D3" s="1383"/>
      <c r="E3" s="1384"/>
      <c r="F3" s="1385"/>
      <c r="G3" s="2701"/>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39</v>
      </c>
      <c r="D5" s="1360" t="s">
        <v>693</v>
      </c>
      <c r="E5" s="1067"/>
      <c r="F5" s="1068"/>
      <c r="G5" s="1380"/>
      <c r="H5" s="299">
        <v>1</v>
      </c>
      <c r="I5" s="300" t="s">
        <v>692</v>
      </c>
      <c r="J5" s="1066">
        <f ca="1">J6+J10+J12</f>
        <v>0</v>
      </c>
      <c r="K5" s="1360" t="s">
        <v>693</v>
      </c>
      <c r="L5" s="1067"/>
      <c r="M5" s="1068"/>
    </row>
    <row r="6" spans="1:37" ht="18" customHeight="1">
      <c r="A6" s="1065" t="s">
        <v>398</v>
      </c>
      <c r="B6" s="3772" t="s">
        <v>694</v>
      </c>
      <c r="C6" s="1070">
        <f ca="1">ROUND(F6*F8*F7*(1-F9)/10000,0)</f>
        <v>39</v>
      </c>
      <c r="D6" s="155" t="s">
        <v>2108</v>
      </c>
      <c r="E6" s="302" t="s">
        <v>696</v>
      </c>
      <c r="F6" s="303">
        <f ca="1">INDIRECT("'数据-取费表'!u"&amp;$G$1)</f>
        <v>2</v>
      </c>
      <c r="G6" s="1380"/>
      <c r="H6" s="1065" t="s">
        <v>398</v>
      </c>
      <c r="I6" s="3772" t="s">
        <v>694</v>
      </c>
      <c r="J6" s="301">
        <f ca="1">ROUND(M6*M8*M7*(1-M9)/10000,0)</f>
        <v>0</v>
      </c>
      <c r="K6" s="155" t="s">
        <v>2107</v>
      </c>
      <c r="L6" s="302" t="s">
        <v>696</v>
      </c>
      <c r="M6" s="303">
        <f ca="1">INDIRECT("'数据-取费表'!z"&amp;$G$1)</f>
        <v>0</v>
      </c>
    </row>
    <row r="7" spans="1:37" ht="18" customHeight="1">
      <c r="A7" s="1069"/>
      <c r="B7" s="3773"/>
      <c r="C7" s="1071"/>
      <c r="D7" s="307"/>
      <c r="E7" s="3476" t="s">
        <v>697</v>
      </c>
      <c r="F7" s="303">
        <f ca="1">IF(INDIRECT("'数据-取费表'!ah"&amp;$G$1)="",INDIRECT("'数据-取费表'!k"&amp;$G$1),INDIRECT("'数据-取费表'!ah"&amp;$G$1))</f>
        <v>566.19000000000005</v>
      </c>
      <c r="G7" s="1380"/>
      <c r="H7" s="304"/>
      <c r="I7" s="3773"/>
      <c r="J7" s="306"/>
      <c r="K7" s="307"/>
      <c r="L7" s="302" t="s">
        <v>697</v>
      </c>
      <c r="M7" s="303">
        <f ca="1">F7</f>
        <v>566.19000000000005</v>
      </c>
    </row>
    <row r="8" spans="1:37" ht="18" customHeight="1">
      <c r="A8" s="304"/>
      <c r="B8" s="3773"/>
      <c r="C8" s="306"/>
      <c r="D8" s="307"/>
      <c r="E8" s="302" t="s">
        <v>698</v>
      </c>
      <c r="F8" s="303">
        <f ca="1">INDIRECT("'数据-取费表'!ai"&amp;$G$1)</f>
        <v>365</v>
      </c>
      <c r="G8" s="1380"/>
      <c r="H8" s="304"/>
      <c r="I8" s="3773"/>
      <c r="J8" s="306"/>
      <c r="K8" s="307"/>
      <c r="L8" s="302" t="s">
        <v>698</v>
      </c>
      <c r="M8" s="303">
        <f ca="1">INDIRECT("'数据-取费表'!ai"&amp;$G$1)</f>
        <v>365</v>
      </c>
    </row>
    <row r="9" spans="1:37" ht="18" customHeight="1">
      <c r="A9" s="304"/>
      <c r="B9" s="3774"/>
      <c r="C9" s="306"/>
      <c r="D9" s="307"/>
      <c r="E9" s="302" t="s">
        <v>699</v>
      </c>
      <c r="F9" s="312">
        <f ca="1">INDIRECT("'数据-取费表'!w"&amp;$G$1)</f>
        <v>0.05</v>
      </c>
      <c r="G9" s="1380"/>
      <c r="H9" s="304"/>
      <c r="I9" s="3774"/>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3400</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395</v>
      </c>
      <c r="D13" s="3468" t="s">
        <v>705</v>
      </c>
      <c r="E13" s="3468"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348</v>
      </c>
      <c r="D14" s="3472" t="s">
        <v>708</v>
      </c>
      <c r="E14" s="3470"/>
      <c r="F14" s="319"/>
      <c r="G14" s="1380"/>
      <c r="H14" s="978" t="s">
        <v>398</v>
      </c>
      <c r="I14" s="302" t="s">
        <v>709</v>
      </c>
      <c r="J14" s="21">
        <f ca="1">C29</f>
        <v>449</v>
      </c>
      <c r="K14" s="3475"/>
      <c r="L14" s="803"/>
      <c r="M14" s="804"/>
    </row>
    <row r="15" spans="1:37" s="1393" customFormat="1" ht="18" customHeight="1" thickBot="1">
      <c r="A15" s="978" t="s">
        <v>399</v>
      </c>
      <c r="B15" s="302" t="s">
        <v>710</v>
      </c>
      <c r="C15" s="21">
        <f ca="1">ROUND(C14*F15,0)</f>
        <v>10</v>
      </c>
      <c r="D15" s="3469" t="s">
        <v>711</v>
      </c>
      <c r="E15" s="3469"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3</v>
      </c>
      <c r="K16" s="1083" t="s">
        <v>715</v>
      </c>
      <c r="L16" s="3473"/>
      <c r="M16" s="1068"/>
    </row>
    <row r="17" spans="1:37" s="1393" customFormat="1" ht="18" customHeight="1">
      <c r="A17" s="978" t="s">
        <v>681</v>
      </c>
      <c r="B17" s="302" t="s">
        <v>716</v>
      </c>
      <c r="C17" s="21">
        <f ca="1">ROUND(F17*(F43+INDIRECT("'数据-取费表'!S"&amp;$G$1))/10000,0)</f>
        <v>12</v>
      </c>
      <c r="D17" s="302" t="s">
        <v>717</v>
      </c>
      <c r="E17" s="302" t="s">
        <v>718</v>
      </c>
      <c r="F17" s="23">
        <f>'数据-取费表'!B35</f>
        <v>200</v>
      </c>
      <c r="G17" s="1392"/>
      <c r="H17" s="978" t="s">
        <v>398</v>
      </c>
      <c r="I17" s="302" t="s">
        <v>719</v>
      </c>
      <c r="J17" s="2312">
        <f ca="1">ROUND(IF(AND(项目基本情况!B11="自然人",项目基本情况!B10="北京市"),J6*M17/(1+'数据-取费表'!C42),J18+J19+J20),2)</f>
        <v>0.25</v>
      </c>
      <c r="K17" s="3472" t="s">
        <v>720</v>
      </c>
      <c r="L17" s="347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5</v>
      </c>
      <c r="D18" s="302" t="s">
        <v>711</v>
      </c>
      <c r="E18" s="302" t="s">
        <v>712</v>
      </c>
      <c r="F18" s="322">
        <f>'数据-取费表'!B36</f>
        <v>1.4999999999999999E-2</v>
      </c>
      <c r="G18" s="1392"/>
      <c r="H18" s="978" t="s">
        <v>397</v>
      </c>
      <c r="I18" s="302" t="s">
        <v>723</v>
      </c>
      <c r="J18" s="21">
        <f ca="1">ROUND(J6*M18/(1+'数据-取费表'!C42),2)</f>
        <v>0</v>
      </c>
      <c r="K18" s="347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375</v>
      </c>
      <c r="D19" s="131" t="s">
        <v>726</v>
      </c>
      <c r="E19" s="3478"/>
      <c r="F19" s="23"/>
      <c r="G19" s="1380"/>
      <c r="H19" s="978" t="s">
        <v>399</v>
      </c>
      <c r="I19" s="302" t="s">
        <v>727</v>
      </c>
      <c r="J19" s="21">
        <f ca="1">IF(K19="按租金收入计税",ROUND(J6*M19/(1+'数据-取费表'!C42),2),ROUND(C29*M19*0.7,2))</f>
        <v>0</v>
      </c>
      <c r="K19" s="1366" t="s">
        <v>3337</v>
      </c>
      <c r="L19" s="302" t="s">
        <v>712</v>
      </c>
      <c r="M19" s="322">
        <f>IF(K19="按租金收入计税",'数据-取费表'!B51,'数据-取费表'!B50)</f>
        <v>0.12</v>
      </c>
    </row>
    <row r="20" spans="1:37" s="1393" customFormat="1" ht="18" customHeight="1">
      <c r="A20" s="978" t="s">
        <v>402</v>
      </c>
      <c r="B20" s="302" t="s">
        <v>728</v>
      </c>
      <c r="C20" s="21">
        <f ca="1">ROUND(C19*F20,0)</f>
        <v>8</v>
      </c>
      <c r="D20" s="2424" t="s">
        <v>729</v>
      </c>
      <c r="E20" s="302" t="s">
        <v>712</v>
      </c>
      <c r="F20" s="322">
        <f>'数据-取费表'!B37</f>
        <v>0.02</v>
      </c>
      <c r="G20" s="1392"/>
      <c r="H20" s="978" t="s">
        <v>680</v>
      </c>
      <c r="I20" s="155" t="s">
        <v>730</v>
      </c>
      <c r="J20" s="22">
        <f ca="1">ROUND(M20*M21/10000,2)</f>
        <v>0.25</v>
      </c>
      <c r="K20" s="324" t="s">
        <v>731</v>
      </c>
      <c r="L20" s="302" t="s">
        <v>732</v>
      </c>
      <c r="M20" s="325">
        <f>'数据-取费表'!B52</f>
        <v>30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2424" t="s">
        <v>734</v>
      </c>
      <c r="E21" s="302" t="s">
        <v>735</v>
      </c>
      <c r="F21" s="322">
        <f>'数据-取费表'!B38</f>
        <v>0.02</v>
      </c>
      <c r="G21" s="1392"/>
      <c r="H21" s="326"/>
      <c r="I21" s="311"/>
      <c r="J21" s="26"/>
      <c r="K21" s="327"/>
      <c r="L21" s="302" t="s">
        <v>736</v>
      </c>
      <c r="M21" s="303">
        <f ca="1">INDIRECT("'数据-取费表'!r"&amp;$G$1)</f>
        <v>83.03</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8"/>
      <c r="F22" s="23"/>
      <c r="G22" s="1380"/>
      <c r="H22" s="978" t="s">
        <v>402</v>
      </c>
      <c r="I22" s="302" t="s">
        <v>738</v>
      </c>
      <c r="J22" s="21">
        <f ca="1">ROUND(J14*M22,2)</f>
        <v>2.25</v>
      </c>
      <c r="K22" s="3471"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3471" t="s">
        <v>743</v>
      </c>
      <c r="L23" s="302" t="s">
        <v>712</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683</v>
      </c>
      <c r="I24" s="1086" t="s">
        <v>728</v>
      </c>
      <c r="J24" s="1087">
        <f ca="1">ROUND(J5*M24,2)</f>
        <v>0</v>
      </c>
      <c r="K24" s="1088" t="s">
        <v>748</v>
      </c>
      <c r="L24" s="1086" t="s">
        <v>712</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78"/>
      <c r="F25" s="23"/>
      <c r="G25" s="1380"/>
      <c r="H25" s="1075" t="s">
        <v>394</v>
      </c>
      <c r="I25" s="1090" t="s">
        <v>752</v>
      </c>
      <c r="J25" s="310">
        <f ca="1">J5-J16</f>
        <v>-3</v>
      </c>
      <c r="K25" s="1091" t="s">
        <v>753</v>
      </c>
      <c r="L25" s="1092"/>
      <c r="M25" s="1093"/>
    </row>
    <row r="26" spans="1:37">
      <c r="A26" s="978" t="s">
        <v>397</v>
      </c>
      <c r="B26" s="302" t="s">
        <v>754</v>
      </c>
      <c r="C26" s="21">
        <f ca="1">ROUND((C19+C20)*F26,0)</f>
        <v>19</v>
      </c>
      <c r="D26" s="2424"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0.06</v>
      </c>
    </row>
    <row r="27" spans="1:37" ht="18" customHeight="1">
      <c r="A27" s="978" t="s">
        <v>399</v>
      </c>
      <c r="B27" s="302" t="s">
        <v>760</v>
      </c>
      <c r="C27" s="21">
        <f ca="1">ROUND(F21*F26,4)</f>
        <v>1E-3</v>
      </c>
      <c r="D27" s="2424" t="s">
        <v>761</v>
      </c>
      <c r="E27" s="3469"/>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4"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449</v>
      </c>
      <c r="D29" s="1088"/>
      <c r="E29" s="1086"/>
      <c r="F29" s="1089"/>
      <c r="G29" s="1392"/>
      <c r="H29" s="334" t="s">
        <v>396</v>
      </c>
      <c r="I29" s="335" t="s">
        <v>768</v>
      </c>
      <c r="J29" s="336">
        <f ca="1">ROUND(J26/(1+F40)^F41,0)</f>
        <v>0</v>
      </c>
      <c r="K29" s="337" t="s">
        <v>769</v>
      </c>
      <c r="L29" s="338"/>
      <c r="M29" s="339">
        <f ca="1">INDIRECT("'数据-取费表'!k"&amp;$G$1)</f>
        <v>566.19000000000005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10</v>
      </c>
      <c r="D30" s="1083" t="s">
        <v>715</v>
      </c>
      <c r="E30" s="3473"/>
      <c r="F30" s="1068"/>
      <c r="G30" s="1380"/>
      <c r="H30" s="2692"/>
      <c r="I30" s="1394"/>
      <c r="J30" s="1395"/>
      <c r="K30" s="2471"/>
      <c r="L30" s="2693"/>
      <c r="M30" s="2694"/>
    </row>
    <row r="31" spans="1:37" ht="18" customHeight="1">
      <c r="A31" s="978" t="s">
        <v>398</v>
      </c>
      <c r="B31" s="302" t="s">
        <v>719</v>
      </c>
      <c r="C31" s="2312">
        <f ca="1">ROUND(IF(AND(项目基本情况!B11="自然人",项目基本情况!B10="北京市"),C6*F31/(1+'数据-取费表'!C42),C32+C33+C34),2)</f>
        <v>6.79</v>
      </c>
      <c r="D31" s="3472" t="s">
        <v>720</v>
      </c>
      <c r="E31" s="3471" t="s">
        <v>770</v>
      </c>
      <c r="F31" s="2311" t="str">
        <f>IF(项目基本情况!B11="企业","——",IF(M47="住宅",IF(F6*F7*F8/12/(1+'数据-取费表'!F30)&gt;100000,4%,2.5%),IF(F6*F7*F8/12/(1+'数据-取费表'!F30)&gt;100000,12%,7%)))</f>
        <v>——</v>
      </c>
      <c r="G31" s="1380"/>
      <c r="H31" s="2803" t="s">
        <v>2309</v>
      </c>
      <c r="I31" s="1394"/>
      <c r="J31" s="1395"/>
      <c r="K31" s="2471"/>
      <c r="L31" s="2693"/>
      <c r="M31" s="2694"/>
    </row>
    <row r="32" spans="1:37" ht="18" customHeight="1">
      <c r="A32" s="978" t="s">
        <v>397</v>
      </c>
      <c r="B32" s="302" t="s">
        <v>723</v>
      </c>
      <c r="C32" s="21">
        <f ca="1">IF(项目基本情况!B11="自然人","——",ROUND(C6*F32/(1+'数据-取费表'!C42),2))</f>
        <v>2.08</v>
      </c>
      <c r="D32" s="3471" t="s">
        <v>724</v>
      </c>
      <c r="E32" s="302" t="s">
        <v>712</v>
      </c>
      <c r="F32" s="331">
        <f>'数据-取费表'!B41</f>
        <v>5.6000000000000001E-2</v>
      </c>
      <c r="G32" s="1380"/>
      <c r="H32" s="2692"/>
      <c r="I32" s="1394"/>
      <c r="J32" s="1395"/>
      <c r="K32" s="2471"/>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4.46</v>
      </c>
      <c r="D33" s="1366" t="s">
        <v>3337</v>
      </c>
      <c r="E33" s="302" t="s">
        <v>712</v>
      </c>
      <c r="F33" s="322">
        <f>IF(D33="按票据","——",IF(D33="按租金收入计税",'数据-取费表'!B51,'数据-取费表'!B50))</f>
        <v>0.12</v>
      </c>
      <c r="G33" s="1380"/>
      <c r="H33" s="2695"/>
      <c r="I33" s="1394"/>
      <c r="J33" s="1395"/>
      <c r="K33" s="2696"/>
      <c r="L33" s="2695"/>
      <c r="M33" s="2695"/>
    </row>
    <row r="34" spans="1:18" ht="18" customHeight="1">
      <c r="A34" s="1065" t="s">
        <v>680</v>
      </c>
      <c r="B34" s="155" t="s">
        <v>730</v>
      </c>
      <c r="C34" s="22">
        <f ca="1">IF(项目基本情况!B11="自然人","——",ROUND(F34*F35/10000,2))</f>
        <v>0.25</v>
      </c>
      <c r="D34" s="324" t="s">
        <v>731</v>
      </c>
      <c r="E34" s="302" t="s">
        <v>732</v>
      </c>
      <c r="F34" s="325">
        <f>'数据-取费表'!B52</f>
        <v>30</v>
      </c>
      <c r="G34" s="1380"/>
      <c r="H34" s="2692"/>
      <c r="I34" s="1394"/>
      <c r="J34" s="1395"/>
      <c r="K34" s="2697"/>
      <c r="L34" s="2698"/>
      <c r="M34" s="2698"/>
    </row>
    <row r="35" spans="1:18" ht="18" customHeight="1">
      <c r="A35" s="1099"/>
      <c r="B35" s="1097"/>
      <c r="C35" s="26"/>
      <c r="D35" s="327"/>
      <c r="E35" s="302" t="s">
        <v>736</v>
      </c>
      <c r="F35" s="303">
        <f ca="1">INDIRECT("'数据-取费表'!r"&amp;$G$1)</f>
        <v>83.03</v>
      </c>
      <c r="G35" s="1380"/>
      <c r="H35" s="2692"/>
      <c r="I35" s="1394"/>
      <c r="J35" s="1395"/>
      <c r="K35" s="2696"/>
      <c r="L35" s="2695"/>
      <c r="M35" s="2695"/>
    </row>
    <row r="36" spans="1:18" ht="18" customHeight="1">
      <c r="A36" s="1098" t="s">
        <v>402</v>
      </c>
      <c r="B36" s="302" t="s">
        <v>738</v>
      </c>
      <c r="C36" s="21">
        <f ca="1">ROUND(C29*F36,2)</f>
        <v>2.25</v>
      </c>
      <c r="D36" s="3471" t="s">
        <v>771</v>
      </c>
      <c r="E36" s="302" t="s">
        <v>712</v>
      </c>
      <c r="F36" s="328">
        <f ca="1">INDIRECT("'数据-取费表'!Ak"&amp;$G$1)</f>
        <v>5.0000000000000001E-3</v>
      </c>
      <c r="G36" s="1380"/>
      <c r="H36" s="2695"/>
      <c r="I36" s="1394"/>
      <c r="J36" s="1395"/>
      <c r="K36" s="2540"/>
      <c r="L36" s="2695"/>
      <c r="M36" s="2695"/>
    </row>
    <row r="37" spans="1:18" ht="18" customHeight="1">
      <c r="A37" s="978" t="s">
        <v>437</v>
      </c>
      <c r="B37" s="302" t="s">
        <v>742</v>
      </c>
      <c r="C37" s="21">
        <f ca="1">ROUND(C13*F37,2)</f>
        <v>0.4</v>
      </c>
      <c r="D37" s="3471" t="s">
        <v>743</v>
      </c>
      <c r="E37" s="302" t="s">
        <v>712</v>
      </c>
      <c r="F37" s="330">
        <f ca="1">INDIRECT("'数据-取费表'!Al"&amp;$G$1)</f>
        <v>1E-3</v>
      </c>
      <c r="G37" s="1380"/>
      <c r="H37" s="2695"/>
      <c r="I37" s="1394"/>
      <c r="J37" s="1395"/>
      <c r="K37" s="2540"/>
      <c r="L37" s="2695"/>
      <c r="M37" s="2695"/>
    </row>
    <row r="38" spans="1:18" ht="18" customHeight="1" thickBot="1">
      <c r="A38" s="1085" t="s">
        <v>683</v>
      </c>
      <c r="B38" s="1086" t="s">
        <v>728</v>
      </c>
      <c r="C38" s="1087">
        <f ca="1">ROUND(C5*F38,2)</f>
        <v>0.2</v>
      </c>
      <c r="D38" s="1088" t="s">
        <v>748</v>
      </c>
      <c r="E38" s="1086" t="s">
        <v>712</v>
      </c>
      <c r="F38" s="1082">
        <f ca="1">INDIRECT("'数据-取费表'!Am"&amp;$G$1)</f>
        <v>5.0000000000000001E-3</v>
      </c>
      <c r="G38" s="1380"/>
      <c r="H38" s="2695"/>
      <c r="I38" s="1394"/>
      <c r="J38" s="1395"/>
      <c r="K38" s="2699"/>
      <c r="L38" s="2695"/>
      <c r="M38" s="2695"/>
    </row>
    <row r="39" spans="1:18" ht="24.6" customHeight="1" thickTop="1">
      <c r="A39" s="1075" t="s">
        <v>394</v>
      </c>
      <c r="B39" s="1090" t="s">
        <v>752</v>
      </c>
      <c r="C39" s="310">
        <f ca="1">C5-C30</f>
        <v>29</v>
      </c>
      <c r="D39" s="1091" t="s">
        <v>753</v>
      </c>
      <c r="E39" s="1092"/>
      <c r="F39" s="1093"/>
      <c r="G39" s="1380"/>
      <c r="H39" s="2695"/>
      <c r="I39" s="1394"/>
      <c r="J39" s="1395"/>
      <c r="K39" s="2699"/>
      <c r="L39" s="2695"/>
      <c r="M39" s="2695"/>
    </row>
    <row r="40" spans="1:18" ht="18" customHeight="1">
      <c r="A40" s="299" t="s">
        <v>395</v>
      </c>
      <c r="B40" s="300" t="s">
        <v>774</v>
      </c>
      <c r="C40" s="301">
        <f ca="1">ROUND(C39*(1-((1+F42)/(1+F40))^F41)/(F40-F42),0)</f>
        <v>403</v>
      </c>
      <c r="D40" s="324" t="s">
        <v>758</v>
      </c>
      <c r="E40" s="302" t="s">
        <v>759</v>
      </c>
      <c r="F40" s="312">
        <f ca="1">INDIRECT("'数据-取费表'!I"&amp;$G$1)</f>
        <v>0.06</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30.71</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f ca="1">ROUND(C40*10000/F43,0)</f>
        <v>7118</v>
      </c>
      <c r="D43" s="337" t="s">
        <v>777</v>
      </c>
      <c r="E43" s="338" t="s">
        <v>778</v>
      </c>
      <c r="F43" s="339">
        <f ca="1">INDIRECT("'数据-取费表'!k"&amp;$G$1)</f>
        <v>566.19000000000005</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0" t="s">
        <v>808</v>
      </c>
      <c r="P45" s="1457"/>
      <c r="Q45" s="1457"/>
      <c r="R45" s="1457"/>
    </row>
    <row r="46" spans="1:18" s="1380" customFormat="1" ht="13.5" thickBot="1">
      <c r="A46" s="1400" t="s">
        <v>809</v>
      </c>
      <c r="C46" s="1401">
        <f ca="1">C68-C40</f>
        <v>-445</v>
      </c>
      <c r="D46" s="1402" t="str">
        <f>C2</f>
        <v>万元</v>
      </c>
      <c r="E46" s="1396"/>
      <c r="F46" s="1396"/>
      <c r="I46" s="1403" t="s">
        <v>810</v>
      </c>
      <c r="J46" s="1404"/>
      <c r="K46" s="1405"/>
      <c r="L46" s="1406">
        <f ca="1">IF(M47="住宅",0,IF(L48&gt;J51,L60,J60))</f>
        <v>20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3401</v>
      </c>
      <c r="K47" s="1412" t="s">
        <v>816</v>
      </c>
      <c r="L47" s="1413">
        <f ca="1">INDIRECT("'数据-取费表'!d"&amp;$G$1)</f>
        <v>50</v>
      </c>
      <c r="M47" s="1376" t="str">
        <f>IF(ISNUMBER(FIND("住宅",C1)),"住宅","非住宅")</f>
        <v>非住宅</v>
      </c>
      <c r="O47" s="1414" t="s">
        <v>403</v>
      </c>
      <c r="P47" s="1415" t="s">
        <v>817</v>
      </c>
      <c r="Q47" s="1416">
        <f ca="1">C40+J29</f>
        <v>403</v>
      </c>
      <c r="R47" s="1416" t="s">
        <v>818</v>
      </c>
    </row>
    <row r="48" spans="1:18" s="1380" customFormat="1" ht="28.5" thickBot="1">
      <c r="A48" s="1106" t="s">
        <v>438</v>
      </c>
      <c r="B48" s="300" t="s">
        <v>692</v>
      </c>
      <c r="C48" s="3477">
        <f ca="1">C49+C53+C55</f>
        <v>0</v>
      </c>
      <c r="D48" s="1108"/>
      <c r="E48" s="1109"/>
      <c r="F48" s="958"/>
      <c r="G48" s="722"/>
      <c r="H48" s="723"/>
      <c r="I48" s="1417" t="s">
        <v>819</v>
      </c>
      <c r="J48" s="1418" t="s">
        <v>3402</v>
      </c>
      <c r="K48" s="1419" t="s">
        <v>820</v>
      </c>
      <c r="L48" s="1420">
        <f ca="1">INDIRECT("'数据-取费表'!f"&amp;$G$1)</f>
        <v>30.71</v>
      </c>
      <c r="O48" s="1414" t="s">
        <v>404</v>
      </c>
      <c r="P48" s="1415" t="s">
        <v>821</v>
      </c>
      <c r="Q48" s="1416">
        <f ca="1">J60</f>
        <v>20</v>
      </c>
      <c r="R48" s="1416" t="s">
        <v>822</v>
      </c>
    </row>
    <row r="49" spans="1:18" s="1380" customFormat="1" ht="13.5" thickBot="1">
      <c r="A49" s="971" t="s">
        <v>439</v>
      </c>
      <c r="B49" s="1367" t="s">
        <v>779</v>
      </c>
      <c r="C49" s="1110">
        <f ca="1">ROUND(F49*F51*F50*(1-F52)/10000,0)</f>
        <v>0</v>
      </c>
      <c r="D49" s="1051" t="s">
        <v>2107</v>
      </c>
      <c r="E49" s="1368" t="s">
        <v>780</v>
      </c>
      <c r="F49" s="1056"/>
      <c r="G49" s="1421"/>
      <c r="H49" s="723"/>
      <c r="I49" s="1417" t="s">
        <v>823</v>
      </c>
      <c r="J49" s="1422">
        <v>2016</v>
      </c>
      <c r="K49" s="1419" t="s">
        <v>824</v>
      </c>
      <c r="L49" s="1423"/>
      <c r="O49" s="1424" t="s">
        <v>405</v>
      </c>
      <c r="P49" s="1415" t="s">
        <v>825</v>
      </c>
      <c r="Q49" s="1416">
        <f ca="1">C29</f>
        <v>449</v>
      </c>
      <c r="R49" s="1416" t="s">
        <v>818</v>
      </c>
    </row>
    <row r="50" spans="1:18" s="1380" customFormat="1" ht="13.5" thickBot="1">
      <c r="A50" s="972"/>
      <c r="B50" s="975"/>
      <c r="C50" s="1114"/>
      <c r="D50" s="949"/>
      <c r="E50" s="1052" t="s">
        <v>697</v>
      </c>
      <c r="F50" s="1053">
        <f ca="1">F7</f>
        <v>566.19000000000005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53</v>
      </c>
      <c r="K51" s="1430" t="s">
        <v>830</v>
      </c>
      <c r="L51" s="1431">
        <f ca="1">ROUND(-PV(INDIRECT("'数据-取费表'!h"&amp;$G$1),J51,(C39-C13*C76),0),0)</f>
        <v>27</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30.71</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30.71</v>
      </c>
      <c r="K53" s="3770" t="s">
        <v>837</v>
      </c>
      <c r="L53" s="3771"/>
      <c r="O53" s="1414" t="s">
        <v>409</v>
      </c>
      <c r="P53" s="1415" t="s">
        <v>838</v>
      </c>
      <c r="Q53" s="1416">
        <f ca="1">Q47+Q48</f>
        <v>423</v>
      </c>
      <c r="R53" s="1416" t="s">
        <v>410</v>
      </c>
    </row>
    <row r="54" spans="1:18" s="1380" customFormat="1" ht="13.5" thickBot="1">
      <c r="A54" s="1149"/>
      <c r="B54" s="1363" t="s">
        <v>679</v>
      </c>
      <c r="C54" s="955"/>
      <c r="D54" s="1362"/>
      <c r="E54" s="347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74"/>
      <c r="F55" s="1436"/>
      <c r="I55" s="1439" t="s">
        <v>840</v>
      </c>
      <c r="J55" s="1440">
        <f ca="1">ROUND(IF(J47="钢混",J57/J50,1-(1-2%)*(J50-J57)/J50),3)</f>
        <v>0.372</v>
      </c>
      <c r="K55" s="1441" t="s">
        <v>841</v>
      </c>
      <c r="L55" s="1442"/>
      <c r="O55" s="1407" t="s">
        <v>811</v>
      </c>
      <c r="P55" s="1408" t="s">
        <v>812</v>
      </c>
      <c r="Q55" s="1409" t="s">
        <v>813</v>
      </c>
      <c r="R55" s="1409" t="s">
        <v>814</v>
      </c>
    </row>
    <row r="56" spans="1:18" s="1380" customFormat="1" ht="25.5" thickTop="1" thickBot="1">
      <c r="A56" s="953">
        <v>2</v>
      </c>
      <c r="B56" s="954" t="s">
        <v>704</v>
      </c>
      <c r="C56" s="232">
        <f ca="1">C13</f>
        <v>395</v>
      </c>
      <c r="D56" s="1443"/>
      <c r="E56" s="1444"/>
      <c r="F56" s="1436"/>
      <c r="I56" s="1445" t="s">
        <v>842</v>
      </c>
      <c r="J56" s="1446" t="s">
        <v>3403</v>
      </c>
      <c r="K56" s="1417" t="s">
        <v>843</v>
      </c>
      <c r="L56" s="1420" t="str">
        <f ca="1">IF(L48&lt;J51,"——",L48-J53)</f>
        <v>——</v>
      </c>
      <c r="O56" s="1414" t="s">
        <v>403</v>
      </c>
      <c r="P56" s="1415" t="s">
        <v>817</v>
      </c>
      <c r="Q56" s="1416">
        <f ca="1">C40+J29</f>
        <v>403</v>
      </c>
      <c r="R56" s="1416" t="s">
        <v>818</v>
      </c>
    </row>
    <row r="57" spans="1:18" s="1380" customFormat="1" ht="24.75" thickBot="1">
      <c r="A57" s="1447"/>
      <c r="B57" s="946" t="s">
        <v>767</v>
      </c>
      <c r="C57" s="238">
        <f ca="1">C29</f>
        <v>449</v>
      </c>
      <c r="D57" s="1448"/>
      <c r="E57" s="1449"/>
      <c r="F57" s="1450"/>
      <c r="I57" s="1451" t="s">
        <v>844</v>
      </c>
      <c r="J57" s="1452">
        <f ca="1">IF(OR(M47="住宅",J51&lt;L48,J56="是"),"——",J51-L48)</f>
        <v>22.29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3</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180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20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3337</v>
      </c>
      <c r="E61" s="946" t="s">
        <v>712</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f ca="1">IF(项目基本情况!B11="自然人","——",ROUND(F62*F63/10000,2))</f>
        <v>0.25</v>
      </c>
      <c r="D62" s="961" t="s">
        <v>731</v>
      </c>
      <c r="E62" s="946" t="s">
        <v>732</v>
      </c>
      <c r="F62" s="325">
        <f t="shared" si="0"/>
        <v>30</v>
      </c>
      <c r="I62" s="1458" t="s">
        <v>858</v>
      </c>
      <c r="J62" s="1459" t="s">
        <v>859</v>
      </c>
      <c r="K62" s="1459" t="s">
        <v>860</v>
      </c>
      <c r="L62" s="1459" t="s">
        <v>861</v>
      </c>
      <c r="M62" s="1460" t="s">
        <v>862</v>
      </c>
      <c r="O62" s="1414" t="s">
        <v>409</v>
      </c>
      <c r="P62" s="1415" t="s">
        <v>838</v>
      </c>
      <c r="Q62" s="1416">
        <f ca="1">Q56+Q57</f>
        <v>403</v>
      </c>
      <c r="R62" s="1416" t="s">
        <v>410</v>
      </c>
    </row>
    <row r="63" spans="1:18" s="1380" customFormat="1" ht="13.5" thickBot="1">
      <c r="A63" s="326"/>
      <c r="B63" s="952"/>
      <c r="C63" s="26"/>
      <c r="D63" s="962"/>
      <c r="E63" s="946" t="s">
        <v>736</v>
      </c>
      <c r="F63" s="303">
        <f t="shared" ca="1" si="0"/>
        <v>83.03</v>
      </c>
      <c r="I63" s="1458" t="s">
        <v>864</v>
      </c>
      <c r="J63" s="1459">
        <v>70</v>
      </c>
      <c r="K63" s="1459">
        <v>50</v>
      </c>
      <c r="L63" s="1459">
        <v>80</v>
      </c>
      <c r="M63" s="1461">
        <v>0.02</v>
      </c>
      <c r="O63" s="1399" t="s">
        <v>865</v>
      </c>
      <c r="P63" s="1377"/>
      <c r="Q63" s="1377"/>
      <c r="R63" s="1377"/>
    </row>
    <row r="64" spans="1:18" s="1380" customFormat="1" ht="13.5" thickBot="1">
      <c r="A64" s="978" t="s">
        <v>789</v>
      </c>
      <c r="B64" s="946" t="s">
        <v>738</v>
      </c>
      <c r="C64" s="21">
        <f ca="1">ROUND(C57*F64,2)</f>
        <v>2.25</v>
      </c>
      <c r="D64" s="960" t="s">
        <v>771</v>
      </c>
      <c r="E64" s="946" t="s">
        <v>712</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0.4</v>
      </c>
      <c r="D65" s="960" t="s">
        <v>743</v>
      </c>
      <c r="E65" s="946" t="s">
        <v>712</v>
      </c>
      <c r="F65" s="330">
        <f t="shared" ca="1" si="0"/>
        <v>1E-3</v>
      </c>
      <c r="I65" s="1458" t="s">
        <v>867</v>
      </c>
      <c r="J65" s="1459">
        <v>40</v>
      </c>
      <c r="K65" s="1459">
        <v>30</v>
      </c>
      <c r="L65" s="1459">
        <v>50</v>
      </c>
      <c r="M65" s="1461">
        <v>0.02</v>
      </c>
      <c r="O65" s="1414" t="s">
        <v>403</v>
      </c>
      <c r="P65" s="1415" t="s">
        <v>817</v>
      </c>
      <c r="Q65" s="1416">
        <f ca="1">C40+J29</f>
        <v>403</v>
      </c>
      <c r="R65" s="1416" t="s">
        <v>818</v>
      </c>
    </row>
    <row r="66" spans="1:18" s="1380" customFormat="1" ht="16.5" thickBot="1">
      <c r="A66" s="978" t="s">
        <v>793</v>
      </c>
      <c r="B66" s="946" t="s">
        <v>728</v>
      </c>
      <c r="C66" s="21">
        <f ca="1">ROUND(C48*F66,2)</f>
        <v>0</v>
      </c>
      <c r="D66" s="960" t="s">
        <v>748</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-3</v>
      </c>
      <c r="D67" s="959" t="s">
        <v>753</v>
      </c>
      <c r="E67" s="964"/>
      <c r="F67" s="965"/>
      <c r="O67" s="1424" t="s">
        <v>405</v>
      </c>
      <c r="P67" s="1415" t="s">
        <v>850</v>
      </c>
      <c r="Q67" s="1462">
        <f ca="1">L51</f>
        <v>27</v>
      </c>
      <c r="R67" s="1416" t="s">
        <v>870</v>
      </c>
    </row>
    <row r="68" spans="1:18" s="1380" customFormat="1" ht="16.5" thickBot="1">
      <c r="A68" s="943" t="s">
        <v>395</v>
      </c>
      <c r="B68" s="944" t="s">
        <v>774</v>
      </c>
      <c r="C68" s="301">
        <f ca="1">ROUND(C67*(1-((1+F70)/(1+F68))^F69)/(F68-F70),0)</f>
        <v>-42</v>
      </c>
      <c r="D68" s="961" t="s">
        <v>758</v>
      </c>
      <c r="E68" s="946" t="s">
        <v>759</v>
      </c>
      <c r="F68" s="312">
        <f ca="1">F40</f>
        <v>0.06</v>
      </c>
      <c r="O68" s="1424" t="s">
        <v>406</v>
      </c>
      <c r="P68" s="1463" t="s">
        <v>871</v>
      </c>
      <c r="Q68" s="1416">
        <f ca="1">ROUND(Q69-Q70*Q71,0)</f>
        <v>1</v>
      </c>
      <c r="R68" s="1416" t="s">
        <v>414</v>
      </c>
    </row>
    <row r="69" spans="1:18" s="1380" customFormat="1" ht="13.5" thickBot="1">
      <c r="A69" s="947"/>
      <c r="B69" s="948"/>
      <c r="C69" s="306"/>
      <c r="D69" s="966" t="s">
        <v>762</v>
      </c>
      <c r="E69" s="946" t="s">
        <v>763</v>
      </c>
      <c r="F69" s="333">
        <f ca="1">F41</f>
        <v>30.71</v>
      </c>
      <c r="O69" s="1424" t="s">
        <v>411</v>
      </c>
      <c r="P69" s="1463" t="s">
        <v>872</v>
      </c>
      <c r="Q69" s="1416">
        <f ca="1">C39</f>
        <v>29</v>
      </c>
      <c r="R69" s="1416" t="s">
        <v>818</v>
      </c>
    </row>
    <row r="70" spans="1:18" s="1380" customFormat="1" ht="13.5" thickBot="1">
      <c r="A70" s="950"/>
      <c r="B70" s="951"/>
      <c r="C70" s="310"/>
      <c r="D70" s="962"/>
      <c r="E70" s="946" t="s">
        <v>766</v>
      </c>
      <c r="F70" s="1050"/>
      <c r="O70" s="1424" t="s">
        <v>412</v>
      </c>
      <c r="P70" s="1463" t="s">
        <v>873</v>
      </c>
      <c r="Q70" s="1416">
        <f ca="1">C13</f>
        <v>395</v>
      </c>
      <c r="R70" s="1416" t="s">
        <v>818</v>
      </c>
    </row>
    <row r="71" spans="1:18" s="1380" customFormat="1" ht="13.5" thickBot="1">
      <c r="A71" s="967" t="s">
        <v>396</v>
      </c>
      <c r="B71" s="968" t="s">
        <v>776</v>
      </c>
      <c r="C71" s="336">
        <f ca="1">ROUND(C68*10000/F71,0)</f>
        <v>-742</v>
      </c>
      <c r="D71" s="969" t="s">
        <v>777</v>
      </c>
      <c r="E71" s="970" t="s">
        <v>778</v>
      </c>
      <c r="F71" s="339">
        <f ca="1">F43</f>
        <v>566.19000000000005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28</v>
      </c>
      <c r="D75" s="1380"/>
      <c r="E75" s="1380"/>
      <c r="F75" s="1380"/>
      <c r="K75" s="1398"/>
      <c r="L75" s="1380"/>
      <c r="O75" s="1414" t="s">
        <v>409</v>
      </c>
      <c r="P75" s="1415" t="s">
        <v>838</v>
      </c>
      <c r="Q75" s="1416">
        <f ca="1">Q65+Q66</f>
        <v>403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3.400000000000003E-2</v>
      </c>
    </row>
    <row r="80" spans="1:18">
      <c r="B80" s="340" t="s">
        <v>800</v>
      </c>
      <c r="C80" s="274">
        <f ca="1">ROUND(C75/C39,3)</f>
        <v>0.96599999999999997</v>
      </c>
    </row>
    <row r="81" spans="2:3">
      <c r="B81" s="270" t="s">
        <v>801</v>
      </c>
      <c r="C81" s="238"/>
    </row>
    <row r="82" spans="2:3">
      <c r="B82" s="273" t="s">
        <v>802</v>
      </c>
      <c r="C82" s="275">
        <f ca="1">1-C83</f>
        <v>2.0000000000000018E-2</v>
      </c>
    </row>
    <row r="83" spans="2:3">
      <c r="B83" s="273" t="s">
        <v>803</v>
      </c>
      <c r="C83" s="274">
        <f ca="1">ROUND(C13/C40,3)</f>
        <v>0.98</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3472</v>
      </c>
      <c r="D1" s="1358" t="s">
        <v>43</v>
      </c>
      <c r="E1" s="1359" t="s">
        <v>678</v>
      </c>
      <c r="F1" s="1058">
        <f ca="1">J53</f>
        <v>30.71</v>
      </c>
      <c r="G1" s="1374">
        <f>MATCH(C1,'数据-取费表'!A6:A16,0)+5</f>
        <v>9</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6551</v>
      </c>
      <c r="C2" s="1383" t="s">
        <v>805</v>
      </c>
      <c r="D2" s="1383"/>
      <c r="E2" s="1384"/>
      <c r="F2" s="1385"/>
      <c r="G2" s="2701"/>
      <c r="H2" s="2690"/>
      <c r="I2" s="2690"/>
      <c r="J2" s="2690"/>
      <c r="K2" s="2691"/>
      <c r="L2" s="2690"/>
      <c r="M2" s="2690"/>
    </row>
    <row r="3" spans="1:37" ht="18" customHeight="1" thickBot="1">
      <c r="A3" s="1386" t="s">
        <v>806</v>
      </c>
      <c r="B3" s="1387">
        <f ca="1">IF(ISERROR(B2*10000/F43),0,ROUND(B2*10000/F43,0))</f>
        <v>5247</v>
      </c>
      <c r="C3" s="1383" t="s">
        <v>807</v>
      </c>
      <c r="D3" s="1383"/>
      <c r="E3" s="1384"/>
      <c r="F3" s="1385"/>
      <c r="G3" s="2701"/>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610</v>
      </c>
      <c r="D5" s="1360" t="s">
        <v>693</v>
      </c>
      <c r="E5" s="1067"/>
      <c r="F5" s="1068"/>
      <c r="G5" s="1380"/>
      <c r="H5" s="299">
        <v>1</v>
      </c>
      <c r="I5" s="300" t="s">
        <v>692</v>
      </c>
      <c r="J5" s="1066">
        <f ca="1">J6+J10+J12</f>
        <v>0</v>
      </c>
      <c r="K5" s="1360" t="s">
        <v>693</v>
      </c>
      <c r="L5" s="1067"/>
      <c r="M5" s="1068"/>
    </row>
    <row r="6" spans="1:37" ht="18" customHeight="1">
      <c r="A6" s="1065" t="s">
        <v>398</v>
      </c>
      <c r="B6" s="3772" t="s">
        <v>694</v>
      </c>
      <c r="C6" s="1070">
        <f ca="1">ROUND(F6*F8*F7*(1-F9)/10000,0)</f>
        <v>609</v>
      </c>
      <c r="D6" s="155" t="s">
        <v>2108</v>
      </c>
      <c r="E6" s="302" t="s">
        <v>696</v>
      </c>
      <c r="F6" s="303">
        <f ca="1">INDIRECT("'数据-取费表'!u"&amp;$G$1)</f>
        <v>1500</v>
      </c>
      <c r="G6" s="1380"/>
      <c r="H6" s="1065" t="s">
        <v>398</v>
      </c>
      <c r="I6" s="3772" t="s">
        <v>694</v>
      </c>
      <c r="J6" s="301">
        <f ca="1">ROUND(M6*M8*M7*(1-M9)/10000,0)</f>
        <v>0</v>
      </c>
      <c r="K6" s="155" t="s">
        <v>2107</v>
      </c>
      <c r="L6" s="302" t="s">
        <v>696</v>
      </c>
      <c r="M6" s="303">
        <f ca="1">INDIRECT("'数据-取费表'!z"&amp;$G$1)</f>
        <v>0</v>
      </c>
    </row>
    <row r="7" spans="1:37" ht="18" customHeight="1">
      <c r="A7" s="1069"/>
      <c r="B7" s="3773"/>
      <c r="C7" s="1071"/>
      <c r="D7" s="307"/>
      <c r="E7" s="3476" t="s">
        <v>697</v>
      </c>
      <c r="F7" s="303">
        <f ca="1">IF(INDIRECT("'数据-取费表'!ah"&amp;$G$1)="",INDIRECT("'数据-取费表'!k"&amp;$G$1),INDIRECT("'数据-取费表'!ah"&amp;$G$1))</f>
        <v>356</v>
      </c>
      <c r="G7" s="1380"/>
      <c r="H7" s="304"/>
      <c r="I7" s="3773"/>
      <c r="J7" s="306"/>
      <c r="K7" s="307"/>
      <c r="L7" s="302" t="s">
        <v>697</v>
      </c>
      <c r="M7" s="303">
        <f ca="1">F7</f>
        <v>356</v>
      </c>
    </row>
    <row r="8" spans="1:37" ht="18" customHeight="1">
      <c r="A8" s="304"/>
      <c r="B8" s="3773"/>
      <c r="C8" s="306"/>
      <c r="D8" s="307"/>
      <c r="E8" s="302" t="s">
        <v>698</v>
      </c>
      <c r="F8" s="303">
        <f ca="1">INDIRECT("'数据-取费表'!ai"&amp;$G$1)</f>
        <v>12</v>
      </c>
      <c r="G8" s="1380"/>
      <c r="H8" s="304"/>
      <c r="I8" s="3773"/>
      <c r="J8" s="306"/>
      <c r="K8" s="307"/>
      <c r="L8" s="302" t="s">
        <v>698</v>
      </c>
      <c r="M8" s="303">
        <f ca="1">INDIRECT("'数据-取费表'!ai"&amp;$G$1)</f>
        <v>12</v>
      </c>
    </row>
    <row r="9" spans="1:37" ht="18" customHeight="1">
      <c r="A9" s="304"/>
      <c r="B9" s="3774"/>
      <c r="C9" s="306"/>
      <c r="D9" s="307"/>
      <c r="E9" s="302" t="s">
        <v>699</v>
      </c>
      <c r="F9" s="312">
        <f ca="1">INDIRECT("'数据-取费表'!w"&amp;$G$1)</f>
        <v>0.05</v>
      </c>
      <c r="G9" s="1380"/>
      <c r="H9" s="304"/>
      <c r="I9" s="3774"/>
      <c r="J9" s="306"/>
      <c r="K9" s="307"/>
      <c r="L9" s="313" t="s">
        <v>699</v>
      </c>
      <c r="M9" s="314">
        <f ca="1">INDIRECT("'数据-取费表'!ab"&amp;$G$1)</f>
        <v>0</v>
      </c>
    </row>
    <row r="10" spans="1:37" ht="18" customHeight="1">
      <c r="A10" s="1065" t="s">
        <v>402</v>
      </c>
      <c r="B10" s="1361" t="s">
        <v>700</v>
      </c>
      <c r="C10" s="316">
        <f ca="1">ROUND(IF(F10="押一",C6/12*F11,IF(F10="押二",C6/12*2*F11,IF(F10="押三",C6/12*3*F11,C11*F11))),0)</f>
        <v>1</v>
      </c>
      <c r="D10" s="1362" t="s">
        <v>2115</v>
      </c>
      <c r="E10" s="313" t="s">
        <v>701</v>
      </c>
      <c r="F10" s="1112" t="s">
        <v>3400</v>
      </c>
      <c r="G10" s="1380"/>
      <c r="H10" s="1065" t="s">
        <v>402</v>
      </c>
      <c r="I10" s="1361" t="s">
        <v>700</v>
      </c>
      <c r="J10" s="301">
        <f ca="1">ROUND(IF(M10="押一",J6/12*M11,IF(M10="押二",J6/12*2*M11,IF(M10="押三",J6/12*3*M11,J11*M11))),0)</f>
        <v>0</v>
      </c>
      <c r="K10" s="1362" t="s">
        <v>2115</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8703</v>
      </c>
      <c r="D13" s="3468" t="s">
        <v>705</v>
      </c>
      <c r="E13" s="3468"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7669</v>
      </c>
      <c r="D14" s="3472" t="s">
        <v>708</v>
      </c>
      <c r="E14" s="3470"/>
      <c r="F14" s="319"/>
      <c r="G14" s="1380"/>
      <c r="H14" s="978" t="s">
        <v>398</v>
      </c>
      <c r="I14" s="302" t="s">
        <v>709</v>
      </c>
      <c r="J14" s="21">
        <f ca="1">C29</f>
        <v>9890</v>
      </c>
      <c r="K14" s="3475"/>
      <c r="L14" s="803"/>
      <c r="M14" s="804"/>
    </row>
    <row r="15" spans="1:37" s="1393" customFormat="1" ht="18" customHeight="1" thickBot="1">
      <c r="A15" s="978" t="s">
        <v>399</v>
      </c>
      <c r="B15" s="302" t="s">
        <v>710</v>
      </c>
      <c r="C15" s="21">
        <f ca="1">ROUND(C14*F15,0)</f>
        <v>230</v>
      </c>
      <c r="D15" s="3469" t="s">
        <v>711</v>
      </c>
      <c r="E15" s="3469"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55</v>
      </c>
      <c r="K16" s="1083" t="s">
        <v>715</v>
      </c>
      <c r="L16" s="3473"/>
      <c r="M16" s="1068"/>
    </row>
    <row r="17" spans="1:37" s="1393" customFormat="1" ht="18" customHeight="1">
      <c r="A17" s="978" t="s">
        <v>681</v>
      </c>
      <c r="B17" s="302" t="s">
        <v>716</v>
      </c>
      <c r="C17" s="21">
        <f ca="1">ROUND(F17*(F43+INDIRECT("'数据-取费表'!S"&amp;$G$1))/10000,0)</f>
        <v>256</v>
      </c>
      <c r="D17" s="302" t="s">
        <v>717</v>
      </c>
      <c r="E17" s="302" t="s">
        <v>718</v>
      </c>
      <c r="F17" s="23">
        <f>'数据-取费表'!B35</f>
        <v>200</v>
      </c>
      <c r="G17" s="1392"/>
      <c r="H17" s="978" t="s">
        <v>398</v>
      </c>
      <c r="I17" s="302" t="s">
        <v>719</v>
      </c>
      <c r="J17" s="2312">
        <f ca="1">ROUND(IF(AND(项目基本情况!B11="自然人",项目基本情况!B10="北京市"),J6*M17/(1+'数据-取费表'!C42),J18+J19+J20),2)</f>
        <v>5.49</v>
      </c>
      <c r="K17" s="3472" t="s">
        <v>720</v>
      </c>
      <c r="L17" s="347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115</v>
      </c>
      <c r="D18" s="302" t="s">
        <v>711</v>
      </c>
      <c r="E18" s="302" t="s">
        <v>712</v>
      </c>
      <c r="F18" s="322">
        <f>'数据-取费表'!B36</f>
        <v>1.4999999999999999E-2</v>
      </c>
      <c r="G18" s="1392"/>
      <c r="H18" s="978" t="s">
        <v>397</v>
      </c>
      <c r="I18" s="302" t="s">
        <v>723</v>
      </c>
      <c r="J18" s="21">
        <f ca="1">ROUND(J6*M18/(1+'数据-取费表'!C42),2)</f>
        <v>0</v>
      </c>
      <c r="K18" s="347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8270</v>
      </c>
      <c r="D19" s="131" t="s">
        <v>726</v>
      </c>
      <c r="E19" s="3478"/>
      <c r="F19" s="23"/>
      <c r="G19" s="1380"/>
      <c r="H19" s="978" t="s">
        <v>399</v>
      </c>
      <c r="I19" s="302" t="s">
        <v>727</v>
      </c>
      <c r="J19" s="21">
        <f ca="1">IF(K19="按租金收入计税",ROUND(J6*M19/(1+'数据-取费表'!C42),2),ROUND(C29*M19*0.7,2))</f>
        <v>0</v>
      </c>
      <c r="K19" s="1366" t="s">
        <v>3337</v>
      </c>
      <c r="L19" s="302" t="s">
        <v>712</v>
      </c>
      <c r="M19" s="322">
        <f>IF(K19="按租金收入计税",'数据-取费表'!B51,'数据-取费表'!B50)</f>
        <v>0.12</v>
      </c>
    </row>
    <row r="20" spans="1:37" s="1393" customFormat="1" ht="18" customHeight="1">
      <c r="A20" s="978" t="s">
        <v>402</v>
      </c>
      <c r="B20" s="302" t="s">
        <v>728</v>
      </c>
      <c r="C20" s="21">
        <f ca="1">ROUND(C19*F20,0)</f>
        <v>165</v>
      </c>
      <c r="D20" s="2424" t="s">
        <v>729</v>
      </c>
      <c r="E20" s="302" t="s">
        <v>712</v>
      </c>
      <c r="F20" s="322">
        <f>'数据-取费表'!B37</f>
        <v>0.02</v>
      </c>
      <c r="G20" s="1392"/>
      <c r="H20" s="978" t="s">
        <v>680</v>
      </c>
      <c r="I20" s="155" t="s">
        <v>730</v>
      </c>
      <c r="J20" s="22">
        <f ca="1">ROUND(M20*M21/10000,2)</f>
        <v>5.49</v>
      </c>
      <c r="K20" s="324" t="s">
        <v>731</v>
      </c>
      <c r="L20" s="302" t="s">
        <v>732</v>
      </c>
      <c r="M20" s="325">
        <f>'数据-取费表'!B52</f>
        <v>30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2424" t="s">
        <v>734</v>
      </c>
      <c r="E21" s="302" t="s">
        <v>735</v>
      </c>
      <c r="F21" s="322">
        <f>'数据-取费表'!B38</f>
        <v>0.02</v>
      </c>
      <c r="G21" s="1392"/>
      <c r="H21" s="326"/>
      <c r="I21" s="311"/>
      <c r="J21" s="26"/>
      <c r="K21" s="327"/>
      <c r="L21" s="302" t="s">
        <v>736</v>
      </c>
      <c r="M21" s="303">
        <f ca="1">INDIRECT("'数据-取费表'!r"&amp;$G$1)</f>
        <v>1830.94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8"/>
      <c r="F22" s="23"/>
      <c r="G22" s="1380"/>
      <c r="H22" s="978" t="s">
        <v>402</v>
      </c>
      <c r="I22" s="302" t="s">
        <v>738</v>
      </c>
      <c r="J22" s="21">
        <f ca="1">ROUND(J14*M22,2)</f>
        <v>49.45</v>
      </c>
      <c r="K22" s="3471"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291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3471" t="s">
        <v>743</v>
      </c>
      <c r="L23" s="302" t="s">
        <v>712</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683</v>
      </c>
      <c r="I24" s="1086" t="s">
        <v>728</v>
      </c>
      <c r="J24" s="1087">
        <f ca="1">ROUND(J5*M24,2)</f>
        <v>0</v>
      </c>
      <c r="K24" s="1088" t="s">
        <v>748</v>
      </c>
      <c r="L24" s="1086" t="s">
        <v>712</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78"/>
      <c r="F25" s="23"/>
      <c r="G25" s="1380"/>
      <c r="H25" s="1075" t="s">
        <v>394</v>
      </c>
      <c r="I25" s="1090" t="s">
        <v>752</v>
      </c>
      <c r="J25" s="310">
        <f ca="1">J5-J16</f>
        <v>-55</v>
      </c>
      <c r="K25" s="1091" t="s">
        <v>753</v>
      </c>
      <c r="L25" s="1092"/>
      <c r="M25" s="1093"/>
    </row>
    <row r="26" spans="1:37">
      <c r="A26" s="978" t="s">
        <v>397</v>
      </c>
      <c r="B26" s="302" t="s">
        <v>754</v>
      </c>
      <c r="C26" s="21">
        <f ca="1">ROUND((C19+C20)*F26,0)</f>
        <v>422</v>
      </c>
      <c r="D26" s="2424"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0.06</v>
      </c>
    </row>
    <row r="27" spans="1:37" ht="18" customHeight="1">
      <c r="A27" s="978" t="s">
        <v>399</v>
      </c>
      <c r="B27" s="302" t="s">
        <v>760</v>
      </c>
      <c r="C27" s="21">
        <f ca="1">ROUND(F21*F26,4)</f>
        <v>1E-3</v>
      </c>
      <c r="D27" s="2424" t="s">
        <v>761</v>
      </c>
      <c r="E27" s="3469"/>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4"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9890</v>
      </c>
      <c r="D29" s="1088"/>
      <c r="E29" s="1086"/>
      <c r="F29" s="1089"/>
      <c r="G29" s="1392"/>
      <c r="H29" s="334" t="s">
        <v>396</v>
      </c>
      <c r="I29" s="335" t="s">
        <v>768</v>
      </c>
      <c r="J29" s="336">
        <f ca="1">ROUND(J26/(1+F40)^F41,0)</f>
        <v>0</v>
      </c>
      <c r="K29" s="337" t="s">
        <v>769</v>
      </c>
      <c r="L29" s="338"/>
      <c r="M29" s="339">
        <f ca="1">INDIRECT("'数据-取费表'!k"&amp;$G$1)</f>
        <v>12485.76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169</v>
      </c>
      <c r="D30" s="1083" t="s">
        <v>715</v>
      </c>
      <c r="E30" s="3473"/>
      <c r="F30" s="1068"/>
      <c r="G30" s="1380"/>
      <c r="H30" s="2692"/>
      <c r="I30" s="1394"/>
      <c r="J30" s="1395"/>
      <c r="K30" s="2471"/>
      <c r="L30" s="2693"/>
      <c r="M30" s="2694"/>
    </row>
    <row r="31" spans="1:37" ht="18" customHeight="1">
      <c r="A31" s="978" t="s">
        <v>398</v>
      </c>
      <c r="B31" s="302" t="s">
        <v>719</v>
      </c>
      <c r="C31" s="2312">
        <f ca="1">ROUND(IF(AND(项目基本情况!B11="自然人",项目基本情况!B10="北京市"),C6*F31/(1+'数据-取费表'!C42),C32+C33+C34),2)</f>
        <v>107.57</v>
      </c>
      <c r="D31" s="3472" t="s">
        <v>720</v>
      </c>
      <c r="E31" s="3471" t="s">
        <v>770</v>
      </c>
      <c r="F31" s="2311" t="str">
        <f>IF(项目基本情况!B11="企业","——",IF(M47="住宅",IF(F6*F7*F8/12/(1+'数据-取费表'!F30)&gt;100000,4%,2.5%),IF(F6*F7*F8/12/(1+'数据-取费表'!F30)&gt;100000,12%,7%)))</f>
        <v>——</v>
      </c>
      <c r="G31" s="1380"/>
      <c r="H31" s="2803" t="s">
        <v>2309</v>
      </c>
      <c r="I31" s="1394"/>
      <c r="J31" s="1395"/>
      <c r="K31" s="2471"/>
      <c r="L31" s="2693"/>
      <c r="M31" s="2694"/>
    </row>
    <row r="32" spans="1:37" ht="18" customHeight="1">
      <c r="A32" s="978" t="s">
        <v>397</v>
      </c>
      <c r="B32" s="302" t="s">
        <v>723</v>
      </c>
      <c r="C32" s="21">
        <f ca="1">IF(项目基本情况!B11="自然人","——",ROUND(C6*F32/(1+'数据-取费表'!C42),2))</f>
        <v>32.479999999999997</v>
      </c>
      <c r="D32" s="3471" t="s">
        <v>724</v>
      </c>
      <c r="E32" s="302" t="s">
        <v>712</v>
      </c>
      <c r="F32" s="331">
        <f>'数据-取费表'!B41</f>
        <v>5.6000000000000001E-2</v>
      </c>
      <c r="G32" s="1380"/>
      <c r="H32" s="2692"/>
      <c r="I32" s="1394"/>
      <c r="J32" s="1395"/>
      <c r="K32" s="2471"/>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69.599999999999994</v>
      </c>
      <c r="D33" s="1366" t="s">
        <v>3337</v>
      </c>
      <c r="E33" s="302" t="s">
        <v>712</v>
      </c>
      <c r="F33" s="322">
        <f>IF(D33="按票据","——",IF(D33="按租金收入计税",'数据-取费表'!B51,'数据-取费表'!B50))</f>
        <v>0.12</v>
      </c>
      <c r="G33" s="1380"/>
      <c r="H33" s="2695"/>
      <c r="I33" s="1394"/>
      <c r="J33" s="1395"/>
      <c r="K33" s="2696"/>
      <c r="L33" s="2695"/>
      <c r="M33" s="2695"/>
    </row>
    <row r="34" spans="1:18" ht="18" customHeight="1">
      <c r="A34" s="1065" t="s">
        <v>680</v>
      </c>
      <c r="B34" s="155" t="s">
        <v>730</v>
      </c>
      <c r="C34" s="22">
        <f ca="1">IF(项目基本情况!B11="自然人","——",ROUND(F34*F35/10000,2))</f>
        <v>5.49</v>
      </c>
      <c r="D34" s="324" t="s">
        <v>731</v>
      </c>
      <c r="E34" s="302" t="s">
        <v>732</v>
      </c>
      <c r="F34" s="325">
        <f>'数据-取费表'!B52</f>
        <v>30</v>
      </c>
      <c r="G34" s="1380"/>
      <c r="H34" s="2692"/>
      <c r="I34" s="1394"/>
      <c r="J34" s="1395"/>
      <c r="K34" s="2697"/>
      <c r="L34" s="2698"/>
      <c r="M34" s="2698"/>
    </row>
    <row r="35" spans="1:18" ht="18" customHeight="1">
      <c r="A35" s="1099"/>
      <c r="B35" s="1097"/>
      <c r="C35" s="26"/>
      <c r="D35" s="327"/>
      <c r="E35" s="302" t="s">
        <v>736</v>
      </c>
      <c r="F35" s="303">
        <f ca="1">INDIRECT("'数据-取费表'!r"&amp;$G$1)</f>
        <v>1830.94</v>
      </c>
      <c r="G35" s="1380"/>
      <c r="H35" s="2692"/>
      <c r="I35" s="1394"/>
      <c r="J35" s="1395"/>
      <c r="K35" s="2696"/>
      <c r="L35" s="2695"/>
      <c r="M35" s="2695"/>
    </row>
    <row r="36" spans="1:18" ht="18" customHeight="1">
      <c r="A36" s="1098" t="s">
        <v>402</v>
      </c>
      <c r="B36" s="302" t="s">
        <v>738</v>
      </c>
      <c r="C36" s="21">
        <f ca="1">ROUND(C29*F36,2)</f>
        <v>49.45</v>
      </c>
      <c r="D36" s="3471" t="s">
        <v>771</v>
      </c>
      <c r="E36" s="302" t="s">
        <v>712</v>
      </c>
      <c r="F36" s="328">
        <f ca="1">INDIRECT("'数据-取费表'!Ak"&amp;$G$1)</f>
        <v>5.0000000000000001E-3</v>
      </c>
      <c r="G36" s="1380"/>
      <c r="H36" s="2695"/>
      <c r="I36" s="1394"/>
      <c r="J36" s="1395"/>
      <c r="K36" s="2540"/>
      <c r="L36" s="2695"/>
      <c r="M36" s="2695"/>
    </row>
    <row r="37" spans="1:18" ht="18" customHeight="1">
      <c r="A37" s="978" t="s">
        <v>437</v>
      </c>
      <c r="B37" s="302" t="s">
        <v>742</v>
      </c>
      <c r="C37" s="21">
        <f ca="1">ROUND(C13*F37,2)</f>
        <v>8.6999999999999993</v>
      </c>
      <c r="D37" s="3471" t="s">
        <v>743</v>
      </c>
      <c r="E37" s="302" t="s">
        <v>712</v>
      </c>
      <c r="F37" s="330">
        <f ca="1">INDIRECT("'数据-取费表'!Al"&amp;$G$1)</f>
        <v>1E-3</v>
      </c>
      <c r="G37" s="1380"/>
      <c r="H37" s="2695"/>
      <c r="I37" s="1394"/>
      <c r="J37" s="1395"/>
      <c r="K37" s="2540"/>
      <c r="L37" s="2695"/>
      <c r="M37" s="2695"/>
    </row>
    <row r="38" spans="1:18" ht="18" customHeight="1" thickBot="1">
      <c r="A38" s="1085" t="s">
        <v>683</v>
      </c>
      <c r="B38" s="1086" t="s">
        <v>728</v>
      </c>
      <c r="C38" s="1087">
        <f ca="1">ROUND(C5*F38,2)</f>
        <v>3.05</v>
      </c>
      <c r="D38" s="1088" t="s">
        <v>748</v>
      </c>
      <c r="E38" s="1086" t="s">
        <v>712</v>
      </c>
      <c r="F38" s="1082">
        <f ca="1">INDIRECT("'数据-取费表'!Am"&amp;$G$1)</f>
        <v>5.0000000000000001E-3</v>
      </c>
      <c r="G38" s="1380"/>
      <c r="H38" s="2695"/>
      <c r="I38" s="1394"/>
      <c r="J38" s="1395"/>
      <c r="K38" s="2699"/>
      <c r="L38" s="2695"/>
      <c r="M38" s="2695"/>
    </row>
    <row r="39" spans="1:18" ht="24.6" customHeight="1" thickTop="1">
      <c r="A39" s="1075" t="s">
        <v>394</v>
      </c>
      <c r="B39" s="1090" t="s">
        <v>752</v>
      </c>
      <c r="C39" s="310">
        <f ca="1">C5-C30</f>
        <v>441</v>
      </c>
      <c r="D39" s="1091" t="s">
        <v>753</v>
      </c>
      <c r="E39" s="1092"/>
      <c r="F39" s="1093"/>
      <c r="G39" s="1380"/>
      <c r="H39" s="2695"/>
      <c r="I39" s="1394"/>
      <c r="J39" s="1395"/>
      <c r="K39" s="2699"/>
      <c r="L39" s="2695"/>
      <c r="M39" s="2695"/>
    </row>
    <row r="40" spans="1:18" ht="18" customHeight="1">
      <c r="A40" s="299" t="s">
        <v>395</v>
      </c>
      <c r="B40" s="300" t="s">
        <v>774</v>
      </c>
      <c r="C40" s="301">
        <f ca="1">ROUND(C39*(1-((1+F42)/(1+F40))^F41)/(F40-F42),0)</f>
        <v>6122</v>
      </c>
      <c r="D40" s="324" t="s">
        <v>758</v>
      </c>
      <c r="E40" s="302" t="s">
        <v>759</v>
      </c>
      <c r="F40" s="312">
        <f ca="1">INDIRECT("'数据-取费表'!I"&amp;$G$1)</f>
        <v>0.06</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30.71</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f ca="1">ROUND(C40*10000/F43,0)</f>
        <v>4903</v>
      </c>
      <c r="D43" s="337" t="s">
        <v>777</v>
      </c>
      <c r="E43" s="338" t="s">
        <v>778</v>
      </c>
      <c r="F43" s="339">
        <f ca="1">INDIRECT("'数据-取费表'!k"&amp;$G$1)</f>
        <v>12485.76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0" t="s">
        <v>808</v>
      </c>
      <c r="P45" s="1457"/>
      <c r="Q45" s="1457"/>
      <c r="R45" s="1457"/>
    </row>
    <row r="46" spans="1:18" s="1380" customFormat="1" ht="13.5" thickBot="1">
      <c r="A46" s="1400" t="s">
        <v>809</v>
      </c>
      <c r="C46" s="1401">
        <f ca="1">C68-C40</f>
        <v>-6997</v>
      </c>
      <c r="D46" s="1402" t="str">
        <f>C2</f>
        <v>万元</v>
      </c>
      <c r="E46" s="1396"/>
      <c r="F46" s="1396"/>
      <c r="I46" s="1403" t="s">
        <v>810</v>
      </c>
      <c r="J46" s="1404"/>
      <c r="K46" s="1405"/>
      <c r="L46" s="1406">
        <f ca="1">IF(M47="住宅",0,IF(L48&gt;J51,L60,J60))</f>
        <v>429</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3401</v>
      </c>
      <c r="K47" s="1412" t="s">
        <v>816</v>
      </c>
      <c r="L47" s="1413">
        <f ca="1">INDIRECT("'数据-取费表'!d"&amp;$G$1)</f>
        <v>50</v>
      </c>
      <c r="M47" s="1376" t="str">
        <f>IF(ISNUMBER(FIND("住宅",C1)),"住宅","非住宅")</f>
        <v>非住宅</v>
      </c>
      <c r="O47" s="1414" t="s">
        <v>403</v>
      </c>
      <c r="P47" s="1415" t="s">
        <v>817</v>
      </c>
      <c r="Q47" s="1416">
        <f ca="1">C40+J29</f>
        <v>6122</v>
      </c>
      <c r="R47" s="1416" t="s">
        <v>818</v>
      </c>
    </row>
    <row r="48" spans="1:18" s="1380" customFormat="1" ht="28.5" thickBot="1">
      <c r="A48" s="1106" t="s">
        <v>438</v>
      </c>
      <c r="B48" s="300" t="s">
        <v>692</v>
      </c>
      <c r="C48" s="3477">
        <f ca="1">C49+C53+C55</f>
        <v>0</v>
      </c>
      <c r="D48" s="1108"/>
      <c r="E48" s="1109"/>
      <c r="F48" s="958"/>
      <c r="G48" s="722"/>
      <c r="H48" s="723"/>
      <c r="I48" s="1417" t="s">
        <v>819</v>
      </c>
      <c r="J48" s="1418" t="s">
        <v>3402</v>
      </c>
      <c r="K48" s="1419" t="s">
        <v>820</v>
      </c>
      <c r="L48" s="1420">
        <f ca="1">INDIRECT("'数据-取费表'!f"&amp;$G$1)</f>
        <v>30.71</v>
      </c>
      <c r="O48" s="1414" t="s">
        <v>404</v>
      </c>
      <c r="P48" s="1415" t="s">
        <v>821</v>
      </c>
      <c r="Q48" s="1416">
        <f ca="1">J60</f>
        <v>429</v>
      </c>
      <c r="R48" s="1416" t="s">
        <v>822</v>
      </c>
    </row>
    <row r="49" spans="1:18" s="1380" customFormat="1" ht="13.5" thickBot="1">
      <c r="A49" s="971" t="s">
        <v>439</v>
      </c>
      <c r="B49" s="1367" t="s">
        <v>779</v>
      </c>
      <c r="C49" s="1110">
        <f ca="1">ROUND(F49*F51*F50*(1-F52)/10000,0)</f>
        <v>0</v>
      </c>
      <c r="D49" s="1051" t="s">
        <v>2107</v>
      </c>
      <c r="E49" s="1368" t="s">
        <v>780</v>
      </c>
      <c r="F49" s="1056"/>
      <c r="G49" s="1421"/>
      <c r="H49" s="723"/>
      <c r="I49" s="1417" t="s">
        <v>823</v>
      </c>
      <c r="J49" s="1422">
        <v>2016</v>
      </c>
      <c r="K49" s="1419" t="s">
        <v>824</v>
      </c>
      <c r="L49" s="1423"/>
      <c r="O49" s="1424" t="s">
        <v>405</v>
      </c>
      <c r="P49" s="1415" t="s">
        <v>825</v>
      </c>
      <c r="Q49" s="1416">
        <f ca="1">C29</f>
        <v>9890</v>
      </c>
      <c r="R49" s="1416" t="s">
        <v>818</v>
      </c>
    </row>
    <row r="50" spans="1:18" s="1380" customFormat="1" ht="13.5" thickBot="1">
      <c r="A50" s="972"/>
      <c r="B50" s="975"/>
      <c r="C50" s="1114"/>
      <c r="D50" s="949"/>
      <c r="E50" s="1052" t="s">
        <v>697</v>
      </c>
      <c r="F50" s="1053">
        <f ca="1">F7</f>
        <v>356</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12</v>
      </c>
      <c r="I51" s="1428" t="s">
        <v>829</v>
      </c>
      <c r="J51" s="1429">
        <f>IF(J49="",J50,J49+J50-YEAR('数据-取费表'!B2))</f>
        <v>53</v>
      </c>
      <c r="K51" s="1430" t="s">
        <v>830</v>
      </c>
      <c r="L51" s="1431">
        <f ca="1">ROUND(-PV(INDIRECT("'数据-取费表'!h"&amp;$G$1),J51,(C39-C13*C76),0),0)</f>
        <v>-3375</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30.71</v>
      </c>
      <c r="R52" s="1416" t="s">
        <v>835</v>
      </c>
    </row>
    <row r="53" spans="1:18" s="1380" customFormat="1" ht="24.75" thickBot="1">
      <c r="A53" s="1148" t="s">
        <v>440</v>
      </c>
      <c r="B53" s="1369" t="s">
        <v>700</v>
      </c>
      <c r="C53" s="316">
        <f ca="1">ROUND(IF(F53="押一",C49/12*F11,IF(F53="押二",C49/12*2*F11,IF(F53="押三",C49/12*3*F11,C54*F11))),0)</f>
        <v>0</v>
      </c>
      <c r="D53" s="1362" t="s">
        <v>2115</v>
      </c>
      <c r="E53" s="313" t="s">
        <v>701</v>
      </c>
      <c r="F53" s="1112"/>
      <c r="I53" s="1435" t="s">
        <v>836</v>
      </c>
      <c r="J53" s="2164">
        <f ca="1">IF(M47="住宅",IF(D1="——",MAX(J51,L48),MAX(J51,L48-'数据-取费表'!B24)),IF(D1="——",MIN(J51,L48),MIN(J51,L48-'数据-取费表'!B24)))</f>
        <v>30.71</v>
      </c>
      <c r="K53" s="3770" t="s">
        <v>837</v>
      </c>
      <c r="L53" s="3771"/>
      <c r="O53" s="1414" t="s">
        <v>409</v>
      </c>
      <c r="P53" s="1415" t="s">
        <v>838</v>
      </c>
      <c r="Q53" s="1416">
        <f ca="1">Q47+Q48</f>
        <v>6551</v>
      </c>
      <c r="R53" s="1416" t="s">
        <v>410</v>
      </c>
    </row>
    <row r="54" spans="1:18" s="1380" customFormat="1" ht="13.5" thickBot="1">
      <c r="A54" s="1149"/>
      <c r="B54" s="1363" t="s">
        <v>679</v>
      </c>
      <c r="C54" s="955"/>
      <c r="D54" s="1362"/>
      <c r="E54" s="347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74"/>
      <c r="F55" s="1436"/>
      <c r="I55" s="1439" t="s">
        <v>840</v>
      </c>
      <c r="J55" s="1440">
        <f ca="1">ROUND(IF(J47="钢混",J57/J50,1-(1-2%)*(J50-J57)/J50),3)</f>
        <v>0.372</v>
      </c>
      <c r="K55" s="1441" t="s">
        <v>841</v>
      </c>
      <c r="L55" s="1442"/>
      <c r="O55" s="1407" t="s">
        <v>811</v>
      </c>
      <c r="P55" s="1408" t="s">
        <v>812</v>
      </c>
      <c r="Q55" s="1409" t="s">
        <v>813</v>
      </c>
      <c r="R55" s="1409" t="s">
        <v>814</v>
      </c>
    </row>
    <row r="56" spans="1:18" s="1380" customFormat="1" ht="25.5" thickTop="1" thickBot="1">
      <c r="A56" s="953">
        <v>2</v>
      </c>
      <c r="B56" s="954" t="s">
        <v>704</v>
      </c>
      <c r="C56" s="232">
        <f ca="1">C13</f>
        <v>8703</v>
      </c>
      <c r="D56" s="1443"/>
      <c r="E56" s="1444"/>
      <c r="F56" s="1436"/>
      <c r="I56" s="1445" t="s">
        <v>842</v>
      </c>
      <c r="J56" s="1446" t="s">
        <v>3403</v>
      </c>
      <c r="K56" s="1417" t="s">
        <v>843</v>
      </c>
      <c r="L56" s="1420" t="str">
        <f ca="1">IF(L48&lt;J51,"——",L48-J53)</f>
        <v>——</v>
      </c>
      <c r="O56" s="1414" t="s">
        <v>403</v>
      </c>
      <c r="P56" s="1415" t="s">
        <v>817</v>
      </c>
      <c r="Q56" s="1416">
        <f ca="1">C40+J29</f>
        <v>6122</v>
      </c>
      <c r="R56" s="1416" t="s">
        <v>818</v>
      </c>
    </row>
    <row r="57" spans="1:18" s="1380" customFormat="1" ht="24.75" thickBot="1">
      <c r="A57" s="1447"/>
      <c r="B57" s="946" t="s">
        <v>767</v>
      </c>
      <c r="C57" s="238">
        <f ca="1">C29</f>
        <v>9890</v>
      </c>
      <c r="D57" s="1448"/>
      <c r="E57" s="1449"/>
      <c r="F57" s="1450"/>
      <c r="I57" s="1451" t="s">
        <v>844</v>
      </c>
      <c r="J57" s="1452">
        <f ca="1">IF(OR(M47="住宅",J51&lt;L48,J56="是"),"——",J51-L48)</f>
        <v>22.29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63</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5</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3956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429</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727</v>
      </c>
      <c r="C61" s="21">
        <f ca="1">IF(项目基本情况!B11="自然人","——",IF(D61="按租金收入计税",ROUND(C49*F61/(1+'数据-取费表'!C42),2),IF(D61="按房产原值计税",ROUND(C57*F61*0.7,2),INDIRECT("'数据-取费表'!Aj"&amp;$G$1))))</f>
        <v>0</v>
      </c>
      <c r="D61" s="1366" t="s">
        <v>3337</v>
      </c>
      <c r="E61" s="946" t="s">
        <v>712</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730</v>
      </c>
      <c r="C62" s="22">
        <f ca="1">IF(项目基本情况!B11="自然人","——",ROUND(F62*F63/10000,2))</f>
        <v>5.49</v>
      </c>
      <c r="D62" s="961" t="s">
        <v>731</v>
      </c>
      <c r="E62" s="946" t="s">
        <v>732</v>
      </c>
      <c r="F62" s="325">
        <f t="shared" si="0"/>
        <v>30</v>
      </c>
      <c r="I62" s="1458" t="s">
        <v>858</v>
      </c>
      <c r="J62" s="1459" t="s">
        <v>859</v>
      </c>
      <c r="K62" s="1459" t="s">
        <v>860</v>
      </c>
      <c r="L62" s="1459" t="s">
        <v>861</v>
      </c>
      <c r="M62" s="1460" t="s">
        <v>862</v>
      </c>
      <c r="O62" s="1414" t="s">
        <v>409</v>
      </c>
      <c r="P62" s="1415" t="s">
        <v>838</v>
      </c>
      <c r="Q62" s="1416">
        <f ca="1">Q56+Q57</f>
        <v>6122</v>
      </c>
      <c r="R62" s="1416" t="s">
        <v>410</v>
      </c>
    </row>
    <row r="63" spans="1:18" s="1380" customFormat="1" ht="13.5" thickBot="1">
      <c r="A63" s="326"/>
      <c r="B63" s="952"/>
      <c r="C63" s="26"/>
      <c r="D63" s="962"/>
      <c r="E63" s="946" t="s">
        <v>736</v>
      </c>
      <c r="F63" s="303">
        <f t="shared" ca="1" si="0"/>
        <v>1830.94</v>
      </c>
      <c r="I63" s="1458" t="s">
        <v>864</v>
      </c>
      <c r="J63" s="1459">
        <v>70</v>
      </c>
      <c r="K63" s="1459">
        <v>50</v>
      </c>
      <c r="L63" s="1459">
        <v>80</v>
      </c>
      <c r="M63" s="1461">
        <v>0.02</v>
      </c>
      <c r="O63" s="1399" t="s">
        <v>865</v>
      </c>
      <c r="P63" s="1377"/>
      <c r="Q63" s="1377"/>
      <c r="R63" s="1377"/>
    </row>
    <row r="64" spans="1:18" s="1380" customFormat="1" ht="13.5" thickBot="1">
      <c r="A64" s="978" t="s">
        <v>789</v>
      </c>
      <c r="B64" s="946" t="s">
        <v>738</v>
      </c>
      <c r="C64" s="21">
        <f ca="1">ROUND(C57*F64,2)</f>
        <v>49.45</v>
      </c>
      <c r="D64" s="960" t="s">
        <v>771</v>
      </c>
      <c r="E64" s="946" t="s">
        <v>712</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8.6999999999999993</v>
      </c>
      <c r="D65" s="960" t="s">
        <v>743</v>
      </c>
      <c r="E65" s="946" t="s">
        <v>712</v>
      </c>
      <c r="F65" s="330">
        <f t="shared" ca="1" si="0"/>
        <v>1E-3</v>
      </c>
      <c r="I65" s="1458" t="s">
        <v>867</v>
      </c>
      <c r="J65" s="1459">
        <v>40</v>
      </c>
      <c r="K65" s="1459">
        <v>30</v>
      </c>
      <c r="L65" s="1459">
        <v>50</v>
      </c>
      <c r="M65" s="1461">
        <v>0.02</v>
      </c>
      <c r="O65" s="1414" t="s">
        <v>403</v>
      </c>
      <c r="P65" s="1415" t="s">
        <v>817</v>
      </c>
      <c r="Q65" s="1416">
        <f ca="1">C40+J29</f>
        <v>6122</v>
      </c>
      <c r="R65" s="1416" t="s">
        <v>818</v>
      </c>
    </row>
    <row r="66" spans="1:18" s="1380" customFormat="1" ht="16.5" thickBot="1">
      <c r="A66" s="978" t="s">
        <v>793</v>
      </c>
      <c r="B66" s="946" t="s">
        <v>728</v>
      </c>
      <c r="C66" s="21">
        <f ca="1">ROUND(C48*F66,2)</f>
        <v>0</v>
      </c>
      <c r="D66" s="960" t="s">
        <v>748</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-63</v>
      </c>
      <c r="D67" s="959" t="s">
        <v>753</v>
      </c>
      <c r="E67" s="964"/>
      <c r="F67" s="965"/>
      <c r="O67" s="1424" t="s">
        <v>405</v>
      </c>
      <c r="P67" s="1415" t="s">
        <v>850</v>
      </c>
      <c r="Q67" s="1462">
        <f ca="1">L51</f>
        <v>-3375</v>
      </c>
      <c r="R67" s="1416" t="s">
        <v>870</v>
      </c>
    </row>
    <row r="68" spans="1:18" s="1380" customFormat="1" ht="16.5" thickBot="1">
      <c r="A68" s="943" t="s">
        <v>395</v>
      </c>
      <c r="B68" s="944" t="s">
        <v>774</v>
      </c>
      <c r="C68" s="301">
        <f ca="1">ROUND(C67*(1-((1+F70)/(1+F68))^F69)/(F68-F70),0)</f>
        <v>-875</v>
      </c>
      <c r="D68" s="961" t="s">
        <v>758</v>
      </c>
      <c r="E68" s="946" t="s">
        <v>759</v>
      </c>
      <c r="F68" s="312">
        <f ca="1">F40</f>
        <v>0.06</v>
      </c>
      <c r="O68" s="1424" t="s">
        <v>406</v>
      </c>
      <c r="P68" s="1463" t="s">
        <v>871</v>
      </c>
      <c r="Q68" s="1416">
        <f ca="1">ROUND(Q69-Q70*Q71,0)</f>
        <v>-168</v>
      </c>
      <c r="R68" s="1416" t="s">
        <v>414</v>
      </c>
    </row>
    <row r="69" spans="1:18" s="1380" customFormat="1" ht="13.5" thickBot="1">
      <c r="A69" s="947"/>
      <c r="B69" s="948"/>
      <c r="C69" s="306"/>
      <c r="D69" s="966" t="s">
        <v>762</v>
      </c>
      <c r="E69" s="946" t="s">
        <v>763</v>
      </c>
      <c r="F69" s="333">
        <f ca="1">F41</f>
        <v>30.71</v>
      </c>
      <c r="O69" s="1424" t="s">
        <v>411</v>
      </c>
      <c r="P69" s="1463" t="s">
        <v>872</v>
      </c>
      <c r="Q69" s="1416">
        <f ca="1">C39</f>
        <v>441</v>
      </c>
      <c r="R69" s="1416" t="s">
        <v>818</v>
      </c>
    </row>
    <row r="70" spans="1:18" s="1380" customFormat="1" ht="13.5" thickBot="1">
      <c r="A70" s="950"/>
      <c r="B70" s="951"/>
      <c r="C70" s="310"/>
      <c r="D70" s="962"/>
      <c r="E70" s="946" t="s">
        <v>766</v>
      </c>
      <c r="F70" s="1050"/>
      <c r="O70" s="1424" t="s">
        <v>412</v>
      </c>
      <c r="P70" s="1463" t="s">
        <v>873</v>
      </c>
      <c r="Q70" s="1416">
        <f ca="1">C13</f>
        <v>8703</v>
      </c>
      <c r="R70" s="1416" t="s">
        <v>818</v>
      </c>
    </row>
    <row r="71" spans="1:18" s="1380" customFormat="1" ht="13.5" thickBot="1">
      <c r="A71" s="967" t="s">
        <v>396</v>
      </c>
      <c r="B71" s="968" t="s">
        <v>776</v>
      </c>
      <c r="C71" s="336">
        <f ca="1">ROUND(C68*10000/F71,0)</f>
        <v>-701</v>
      </c>
      <c r="D71" s="969" t="s">
        <v>777</v>
      </c>
      <c r="E71" s="970" t="s">
        <v>778</v>
      </c>
      <c r="F71" s="339">
        <f ca="1">F43</f>
        <v>12485.76</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609</v>
      </c>
      <c r="D75" s="1380"/>
      <c r="E75" s="1380"/>
      <c r="F75" s="1380"/>
      <c r="K75" s="1398"/>
      <c r="L75" s="1380"/>
      <c r="O75" s="1414" t="s">
        <v>409</v>
      </c>
      <c r="P75" s="1415" t="s">
        <v>838</v>
      </c>
      <c r="Q75" s="1416">
        <f ca="1">Q65+Q66</f>
        <v>6122</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-0.38100000000000001</v>
      </c>
    </row>
    <row r="80" spans="1:18">
      <c r="B80" s="340" t="s">
        <v>800</v>
      </c>
      <c r="C80" s="274">
        <f ca="1">ROUND(C75/C39,3)</f>
        <v>1.381</v>
      </c>
    </row>
    <row r="81" spans="2:3">
      <c r="B81" s="270" t="s">
        <v>801</v>
      </c>
      <c r="C81" s="238"/>
    </row>
    <row r="82" spans="2:3">
      <c r="B82" s="273" t="s">
        <v>802</v>
      </c>
      <c r="C82" s="275">
        <f ca="1">1-C83</f>
        <v>-0.42199999999999993</v>
      </c>
    </row>
    <row r="83" spans="2:3">
      <c r="B83" s="273" t="s">
        <v>803</v>
      </c>
      <c r="C83" s="274">
        <f ca="1">ROUND(C13/C40,3)</f>
        <v>1.4219999999999999</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74" t="s">
        <v>1661</v>
      </c>
      <c r="C1" s="1234" t="s">
        <v>1662</v>
      </c>
      <c r="D1" s="1221"/>
      <c r="E1" s="3421"/>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2"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8"/>
      <c r="M2" s="2709"/>
      <c r="N2" s="2709"/>
      <c r="O2" s="2709"/>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67567.27</v>
      </c>
      <c r="E3" s="903"/>
      <c r="F3" s="1884"/>
      <c r="G3" s="903"/>
      <c r="H3" s="903"/>
      <c r="I3" s="903"/>
      <c r="J3" s="903"/>
      <c r="K3" s="1880"/>
      <c r="L3" s="2708"/>
      <c r="M3" s="2709"/>
      <c r="N3" s="2709"/>
      <c r="O3" s="2709"/>
      <c r="P3" s="1881"/>
      <c r="Q3" s="1882"/>
      <c r="R3" s="1882"/>
      <c r="S3" s="1882"/>
      <c r="T3" s="1882"/>
      <c r="U3" s="1882"/>
      <c r="V3" s="1882"/>
      <c r="W3" s="1882"/>
      <c r="X3" s="1882"/>
      <c r="Y3" s="1882"/>
      <c r="Z3" s="1882"/>
      <c r="AA3" s="1882"/>
      <c r="AB3" s="1882"/>
      <c r="AC3" s="1057"/>
    </row>
    <row r="4" spans="1:29" ht="15">
      <c r="A4" s="355" t="s">
        <v>1666</v>
      </c>
      <c r="B4" s="356"/>
      <c r="C4" s="3685" t="s">
        <v>1667</v>
      </c>
      <c r="D4" s="3686"/>
      <c r="E4" s="3687" t="s">
        <v>1668</v>
      </c>
      <c r="F4" s="3688"/>
      <c r="G4" s="3685" t="s">
        <v>1669</v>
      </c>
      <c r="H4" s="3686"/>
      <c r="I4" s="3685" t="s">
        <v>1670</v>
      </c>
      <c r="J4" s="3686"/>
      <c r="K4" s="1885" t="s">
        <v>1671</v>
      </c>
      <c r="L4" s="2710"/>
      <c r="M4" s="2711"/>
      <c r="N4" s="2711"/>
      <c r="O4" s="2711"/>
      <c r="P4" s="3742" t="s">
        <v>1672</v>
      </c>
      <c r="Q4" s="3743"/>
      <c r="R4" s="3738" t="s">
        <v>1668</v>
      </c>
      <c r="S4" s="3739"/>
      <c r="T4" s="3738" t="s">
        <v>1669</v>
      </c>
      <c r="U4" s="3739"/>
      <c r="V4" s="3698" t="s">
        <v>1670</v>
      </c>
      <c r="W4" s="3698"/>
      <c r="X4" s="1351"/>
      <c r="Y4" s="3738" t="s">
        <v>1672</v>
      </c>
      <c r="Z4" s="3739"/>
      <c r="AA4" s="3737" t="s">
        <v>1668</v>
      </c>
      <c r="AB4" s="3737" t="s">
        <v>1669</v>
      </c>
      <c r="AC4" s="3737" t="s">
        <v>1670</v>
      </c>
    </row>
    <row r="5" spans="1:29" ht="15">
      <c r="A5" s="358"/>
      <c r="B5" s="359"/>
      <c r="C5" s="3675" t="s">
        <v>1673</v>
      </c>
      <c r="D5" s="3676"/>
      <c r="E5" s="3673" t="s">
        <v>1674</v>
      </c>
      <c r="F5" s="3674"/>
      <c r="G5" s="3675" t="s">
        <v>1675</v>
      </c>
      <c r="H5" s="3676"/>
      <c r="I5" s="3675" t="s">
        <v>1676</v>
      </c>
      <c r="J5" s="3676"/>
      <c r="K5" s="1886"/>
      <c r="L5" s="2710"/>
      <c r="M5" s="2711"/>
      <c r="N5" s="2711"/>
      <c r="O5" s="2711"/>
      <c r="P5" s="3744"/>
      <c r="Q5" s="3692"/>
      <c r="R5" s="3671"/>
      <c r="S5" s="3672"/>
      <c r="T5" s="3671"/>
      <c r="U5" s="3672"/>
      <c r="V5" s="3698"/>
      <c r="W5" s="3698"/>
      <c r="X5" s="1351"/>
      <c r="Y5" s="3671"/>
      <c r="Z5" s="3672"/>
      <c r="AA5" s="3665"/>
      <c r="AB5" s="3665"/>
      <c r="AC5" s="3665"/>
    </row>
    <row r="6" spans="1:29" ht="15.75" thickBot="1">
      <c r="A6" s="360"/>
      <c r="B6" s="361"/>
      <c r="C6" s="3677" t="s">
        <v>1677</v>
      </c>
      <c r="D6" s="3678"/>
      <c r="E6" s="3679" t="s">
        <v>1677</v>
      </c>
      <c r="F6" s="3680"/>
      <c r="G6" s="3677" t="s">
        <v>1677</v>
      </c>
      <c r="H6" s="3678"/>
      <c r="I6" s="3677" t="s">
        <v>1677</v>
      </c>
      <c r="J6" s="3678"/>
      <c r="K6" s="1886" t="s">
        <v>1678</v>
      </c>
      <c r="L6" s="2710"/>
      <c r="M6" s="2711"/>
      <c r="N6" s="2711"/>
      <c r="O6" s="2711"/>
      <c r="P6" s="3745"/>
      <c r="Q6" s="3694"/>
      <c r="R6" s="3671"/>
      <c r="S6" s="3672"/>
      <c r="T6" s="3695"/>
      <c r="U6" s="3696"/>
      <c r="V6" s="3698"/>
      <c r="W6" s="3698"/>
      <c r="X6" s="1351"/>
      <c r="Y6" s="3695"/>
      <c r="Z6" s="3696"/>
      <c r="AA6" s="3666"/>
      <c r="AB6" s="3666"/>
      <c r="AC6" s="3666"/>
    </row>
    <row r="7" spans="1:29" s="108" customFormat="1" ht="15.75" thickBot="1">
      <c r="A7" s="362" t="s">
        <v>1679</v>
      </c>
      <c r="B7" s="363"/>
      <c r="C7" s="364">
        <f>'数据-取费表'!B2</f>
        <v>45279</v>
      </c>
      <c r="D7" s="365">
        <v>100</v>
      </c>
      <c r="E7" s="366"/>
      <c r="F7" s="367">
        <f>SUMIF(58:58,YEAR(E7)&amp;"-"&amp;MONTH(E7),59:59)</f>
        <v>0</v>
      </c>
      <c r="G7" s="366"/>
      <c r="H7" s="365">
        <f>SUMIF(58:58,YEAR(G7)&amp;"-"&amp;MONTH(G7),59:59)</f>
        <v>0</v>
      </c>
      <c r="I7" s="366"/>
      <c r="J7" s="365">
        <f>SUMIF(58:58,YEAR(I7)&amp;"-"&amp;MONTH(I7),59:59)</f>
        <v>0</v>
      </c>
      <c r="K7" s="1887"/>
      <c r="L7" s="2712"/>
      <c r="M7" s="2713"/>
      <c r="N7" s="2713"/>
      <c r="O7" s="2713"/>
      <c r="P7" s="3667" t="s">
        <v>1680</v>
      </c>
      <c r="Q7" s="3700"/>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2"/>
      <c r="M8" s="2713"/>
      <c r="N8" s="2713"/>
      <c r="O8" s="2713"/>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2"/>
      <c r="M9" s="2713"/>
      <c r="N9" s="2713"/>
      <c r="O9" s="2713"/>
      <c r="P9" s="3681" t="s">
        <v>1686</v>
      </c>
      <c r="Q9" s="1339"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4"/>
      <c r="M10" s="2715"/>
      <c r="N10" s="2715"/>
      <c r="O10" s="2715"/>
      <c r="P10" s="3681"/>
      <c r="Q10" s="1339"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1"/>
      <c r="Q11" s="1339"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681"/>
      <c r="Q12" s="1339">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681"/>
      <c r="Q13" s="1339">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681"/>
      <c r="Q14" s="1339">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1" t="s">
        <v>1691</v>
      </c>
      <c r="Q15" s="1348" t="str">
        <f t="shared" si="6"/>
        <v>居住社区成熟度</v>
      </c>
      <c r="R15" s="705" t="s">
        <v>18</v>
      </c>
      <c r="S15" s="706">
        <f t="shared" si="0"/>
        <v>100</v>
      </c>
      <c r="T15" s="705" t="s">
        <v>18</v>
      </c>
      <c r="U15" s="706">
        <f t="shared" si="1"/>
        <v>100</v>
      </c>
      <c r="V15" s="705" t="s">
        <v>18</v>
      </c>
      <c r="W15" s="706">
        <f t="shared" si="2"/>
        <v>100</v>
      </c>
      <c r="X15" s="1351"/>
      <c r="Y15" s="3703"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7"/>
      <c r="M16" s="2711"/>
      <c r="N16" s="2711"/>
      <c r="O16" s="2711"/>
      <c r="P16" s="3702"/>
      <c r="Q16" s="1348"/>
      <c r="R16" s="705"/>
      <c r="S16" s="706"/>
      <c r="T16" s="705"/>
      <c r="U16" s="706"/>
      <c r="V16" s="705"/>
      <c r="W16" s="706"/>
      <c r="X16" s="1351"/>
      <c r="Y16" s="3704"/>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2"/>
      <c r="Q17" s="1348" t="str">
        <f>B17</f>
        <v>交通便捷度</v>
      </c>
      <c r="R17" s="705" t="s">
        <v>18</v>
      </c>
      <c r="S17" s="706">
        <f>F17</f>
        <v>100</v>
      </c>
      <c r="T17" s="705" t="s">
        <v>18</v>
      </c>
      <c r="U17" s="706">
        <f>H17</f>
        <v>100</v>
      </c>
      <c r="V17" s="705" t="s">
        <v>18</v>
      </c>
      <c r="W17" s="706">
        <f>J17</f>
        <v>100</v>
      </c>
      <c r="X17" s="1351"/>
      <c r="Y17" s="3704"/>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7"/>
      <c r="M18" s="2711"/>
      <c r="N18" s="2711"/>
      <c r="O18" s="2711"/>
      <c r="P18" s="3702"/>
      <c r="Q18" s="1348"/>
      <c r="R18" s="705"/>
      <c r="S18" s="706"/>
      <c r="T18" s="705"/>
      <c r="U18" s="706"/>
      <c r="V18" s="705"/>
      <c r="W18" s="706"/>
      <c r="X18" s="1351"/>
      <c r="Y18" s="3704"/>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2"/>
      <c r="Q19" s="1348" t="str">
        <f>B19</f>
        <v>公共配套设施</v>
      </c>
      <c r="R19" s="705" t="s">
        <v>18</v>
      </c>
      <c r="S19" s="706">
        <f>F19</f>
        <v>100</v>
      </c>
      <c r="T19" s="705" t="s">
        <v>18</v>
      </c>
      <c r="U19" s="706">
        <f>H19</f>
        <v>100</v>
      </c>
      <c r="V19" s="705" t="s">
        <v>18</v>
      </c>
      <c r="W19" s="706">
        <f>J19</f>
        <v>100</v>
      </c>
      <c r="X19" s="1351"/>
      <c r="Y19" s="3704"/>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7"/>
      <c r="M20" s="2711"/>
      <c r="N20" s="2711"/>
      <c r="O20" s="2711"/>
      <c r="P20" s="3702"/>
      <c r="Q20" s="1348"/>
      <c r="R20" s="705"/>
      <c r="S20" s="706"/>
      <c r="T20" s="705"/>
      <c r="U20" s="706"/>
      <c r="V20" s="705"/>
      <c r="W20" s="706"/>
      <c r="X20" s="1351"/>
      <c r="Y20" s="3704"/>
      <c r="Z20" s="1352"/>
      <c r="AA20" s="1349">
        <v>1</v>
      </c>
      <c r="AB20" s="1349">
        <v>1</v>
      </c>
      <c r="AC20" s="1349">
        <v>1</v>
      </c>
    </row>
    <row r="21" spans="1:29" ht="28.5">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2"/>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7"/>
      <c r="M22" s="2711"/>
      <c r="N22" s="2711"/>
      <c r="O22" s="2711"/>
      <c r="P22" s="3702"/>
      <c r="Q22" s="1348"/>
      <c r="R22" s="705"/>
      <c r="S22" s="706"/>
      <c r="T22" s="705"/>
      <c r="U22" s="706"/>
      <c r="V22" s="705"/>
      <c r="W22" s="706"/>
      <c r="X22" s="1351"/>
      <c r="Y22" s="3704"/>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2"/>
      <c r="Q23" s="1348" t="str">
        <f>B23</f>
        <v>自然及人文环境</v>
      </c>
      <c r="R23" s="705" t="s">
        <v>18</v>
      </c>
      <c r="S23" s="706">
        <f>F23</f>
        <v>100</v>
      </c>
      <c r="T23" s="705" t="s">
        <v>18</v>
      </c>
      <c r="U23" s="706">
        <f>H23</f>
        <v>100</v>
      </c>
      <c r="V23" s="705" t="s">
        <v>18</v>
      </c>
      <c r="W23" s="706">
        <f>J23</f>
        <v>100</v>
      </c>
      <c r="X23" s="1351"/>
      <c r="Y23" s="3704"/>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7"/>
      <c r="M24" s="2711"/>
      <c r="N24" s="2711"/>
      <c r="O24" s="2711"/>
      <c r="P24" s="3702"/>
      <c r="Q24" s="1348"/>
      <c r="R24" s="705"/>
      <c r="S24" s="706"/>
      <c r="T24" s="705"/>
      <c r="U24" s="706"/>
      <c r="V24" s="705"/>
      <c r="W24" s="706"/>
      <c r="X24" s="1351"/>
      <c r="Y24" s="3704"/>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02"/>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04"/>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02"/>
      <c r="Q26" s="1348" t="str">
        <f t="shared" si="11"/>
        <v>朝向</v>
      </c>
      <c r="R26" s="705" t="s">
        <v>18</v>
      </c>
      <c r="S26" s="706">
        <f t="shared" si="12"/>
        <v>100</v>
      </c>
      <c r="T26" s="705" t="s">
        <v>18</v>
      </c>
      <c r="U26" s="706">
        <f t="shared" si="13"/>
        <v>100</v>
      </c>
      <c r="V26" s="705" t="s">
        <v>18</v>
      </c>
      <c r="W26" s="706">
        <f t="shared" si="14"/>
        <v>100</v>
      </c>
      <c r="X26" s="1351"/>
      <c r="Y26" s="3704"/>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2"/>
      <c r="M27" s="2713"/>
      <c r="N27" s="2713"/>
      <c r="O27" s="2713"/>
      <c r="P27" s="3702"/>
      <c r="Q27" s="1339">
        <f t="shared" si="11"/>
        <v>111</v>
      </c>
      <c r="R27" s="701" t="s">
        <v>18</v>
      </c>
      <c r="S27" s="702">
        <f t="shared" si="12"/>
        <v>100</v>
      </c>
      <c r="T27" s="701" t="s">
        <v>18</v>
      </c>
      <c r="U27" s="702">
        <f t="shared" si="13"/>
        <v>100</v>
      </c>
      <c r="V27" s="701" t="s">
        <v>18</v>
      </c>
      <c r="W27" s="702">
        <f t="shared" si="14"/>
        <v>100</v>
      </c>
      <c r="X27" s="703"/>
      <c r="Y27" s="3704"/>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02"/>
      <c r="Q28" s="1348">
        <f t="shared" si="11"/>
        <v>111</v>
      </c>
      <c r="R28" s="705" t="s">
        <v>18</v>
      </c>
      <c r="S28" s="706">
        <f t="shared" si="12"/>
        <v>100</v>
      </c>
      <c r="T28" s="705" t="s">
        <v>18</v>
      </c>
      <c r="U28" s="706">
        <f t="shared" si="13"/>
        <v>100</v>
      </c>
      <c r="V28" s="705" t="s">
        <v>18</v>
      </c>
      <c r="W28" s="706">
        <f t="shared" si="14"/>
        <v>100</v>
      </c>
      <c r="X28" s="1351"/>
      <c r="Y28" s="3704"/>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02"/>
      <c r="Q29" s="1348">
        <f t="shared" si="11"/>
        <v>111</v>
      </c>
      <c r="R29" s="705" t="s">
        <v>18</v>
      </c>
      <c r="S29" s="706">
        <f t="shared" si="12"/>
        <v>100</v>
      </c>
      <c r="T29" s="705" t="s">
        <v>18</v>
      </c>
      <c r="U29" s="706">
        <f t="shared" si="13"/>
        <v>100</v>
      </c>
      <c r="V29" s="705" t="s">
        <v>18</v>
      </c>
      <c r="W29" s="706">
        <f t="shared" si="14"/>
        <v>100</v>
      </c>
      <c r="X29" s="1351"/>
      <c r="Y29" s="3704"/>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02"/>
      <c r="Q30" s="1348">
        <f t="shared" si="11"/>
        <v>111</v>
      </c>
      <c r="R30" s="705" t="s">
        <v>18</v>
      </c>
      <c r="S30" s="706">
        <f t="shared" si="12"/>
        <v>100</v>
      </c>
      <c r="T30" s="705" t="s">
        <v>18</v>
      </c>
      <c r="U30" s="706">
        <f t="shared" si="13"/>
        <v>100</v>
      </c>
      <c r="V30" s="705" t="s">
        <v>18</v>
      </c>
      <c r="W30" s="706">
        <f t="shared" si="14"/>
        <v>100</v>
      </c>
      <c r="X30" s="1351"/>
      <c r="Y30" s="3704"/>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02"/>
      <c r="Q31" s="1348">
        <f t="shared" si="11"/>
        <v>111</v>
      </c>
      <c r="R31" s="705" t="s">
        <v>18</v>
      </c>
      <c r="S31" s="706">
        <f t="shared" si="12"/>
        <v>100</v>
      </c>
      <c r="T31" s="705" t="s">
        <v>18</v>
      </c>
      <c r="U31" s="706">
        <f t="shared" si="13"/>
        <v>100</v>
      </c>
      <c r="V31" s="705" t="s">
        <v>18</v>
      </c>
      <c r="W31" s="706">
        <f t="shared" si="14"/>
        <v>100</v>
      </c>
      <c r="X31" s="1351"/>
      <c r="Y31" s="3704"/>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7"/>
      <c r="M32" s="2711"/>
      <c r="N32" s="2711"/>
      <c r="O32" s="2711"/>
      <c r="P32" s="3705" t="s">
        <v>1696</v>
      </c>
      <c r="Q32" s="1348" t="str">
        <f t="shared" si="11"/>
        <v>建筑类型</v>
      </c>
      <c r="R32" s="705" t="s">
        <v>18</v>
      </c>
      <c r="S32" s="706">
        <f t="shared" si="12"/>
        <v>100</v>
      </c>
      <c r="T32" s="705" t="s">
        <v>18</v>
      </c>
      <c r="U32" s="706">
        <f t="shared" si="13"/>
        <v>100</v>
      </c>
      <c r="V32" s="705" t="s">
        <v>18</v>
      </c>
      <c r="W32" s="706">
        <f t="shared" si="14"/>
        <v>100</v>
      </c>
      <c r="X32" s="1351"/>
      <c r="Y32" s="3708"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6"/>
      <c r="M33" s="2718"/>
      <c r="N33" s="2718"/>
      <c r="O33" s="2718"/>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7"/>
      <c r="M34" s="2711"/>
      <c r="N34" s="2711"/>
      <c r="O34" s="2711"/>
      <c r="P34" s="3706"/>
      <c r="Q34" s="1348" t="str">
        <f t="shared" si="11"/>
        <v>建筑结构</v>
      </c>
      <c r="R34" s="705" t="s">
        <v>18</v>
      </c>
      <c r="S34" s="706">
        <f t="shared" si="12"/>
        <v>100</v>
      </c>
      <c r="T34" s="705" t="s">
        <v>18</v>
      </c>
      <c r="U34" s="706">
        <f t="shared" si="13"/>
        <v>100</v>
      </c>
      <c r="V34" s="705" t="s">
        <v>18</v>
      </c>
      <c r="W34" s="706">
        <f t="shared" si="14"/>
        <v>100</v>
      </c>
      <c r="X34" s="1351"/>
      <c r="Y34" s="3708"/>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06"/>
      <c r="Q35" s="1348" t="str">
        <f t="shared" si="11"/>
        <v>建筑品质</v>
      </c>
      <c r="R35" s="705" t="s">
        <v>18</v>
      </c>
      <c r="S35" s="706">
        <f t="shared" si="12"/>
        <v>100</v>
      </c>
      <c r="T35" s="705" t="s">
        <v>18</v>
      </c>
      <c r="U35" s="706">
        <f t="shared" si="13"/>
        <v>100</v>
      </c>
      <c r="V35" s="705" t="s">
        <v>18</v>
      </c>
      <c r="W35" s="706">
        <f t="shared" si="14"/>
        <v>100</v>
      </c>
      <c r="X35" s="1351"/>
      <c r="Y35" s="3708"/>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7"/>
      <c r="M36" s="2711"/>
      <c r="N36" s="2711"/>
      <c r="O36" s="2711"/>
      <c r="P36" s="3706"/>
      <c r="Q36" s="1348" t="str">
        <f t="shared" si="11"/>
        <v>公共部分装修</v>
      </c>
      <c r="R36" s="705" t="s">
        <v>18</v>
      </c>
      <c r="S36" s="706">
        <f t="shared" si="12"/>
        <v>100</v>
      </c>
      <c r="T36" s="705" t="s">
        <v>18</v>
      </c>
      <c r="U36" s="706">
        <f t="shared" si="13"/>
        <v>100</v>
      </c>
      <c r="V36" s="705" t="s">
        <v>18</v>
      </c>
      <c r="W36" s="706">
        <f t="shared" si="14"/>
        <v>100</v>
      </c>
      <c r="X36" s="1351"/>
      <c r="Y36" s="3708"/>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6"/>
      <c r="Q37" s="1339"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06" t="s">
        <v>1696</v>
      </c>
      <c r="Q38" s="1348" t="str">
        <f t="shared" si="11"/>
        <v>物业管理</v>
      </c>
      <c r="R38" s="705" t="s">
        <v>18</v>
      </c>
      <c r="S38" s="706">
        <f t="shared" si="12"/>
        <v>100</v>
      </c>
      <c r="T38" s="705" t="s">
        <v>18</v>
      </c>
      <c r="U38" s="706">
        <f t="shared" si="13"/>
        <v>100</v>
      </c>
      <c r="V38" s="705" t="s">
        <v>18</v>
      </c>
      <c r="W38" s="706">
        <f t="shared" si="14"/>
        <v>100</v>
      </c>
      <c r="X38" s="1351"/>
      <c r="Y38" s="3708"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7"/>
      <c r="M39" s="2711"/>
      <c r="N39" s="2711"/>
      <c r="O39" s="2711"/>
      <c r="P39" s="3706"/>
      <c r="Q39" s="1348" t="str">
        <f t="shared" si="11"/>
        <v>市政基础设施</v>
      </c>
      <c r="R39" s="705" t="s">
        <v>18</v>
      </c>
      <c r="S39" s="706">
        <f t="shared" si="12"/>
        <v>100</v>
      </c>
      <c r="T39" s="705" t="s">
        <v>18</v>
      </c>
      <c r="U39" s="706">
        <f t="shared" si="13"/>
        <v>100</v>
      </c>
      <c r="V39" s="705" t="s">
        <v>18</v>
      </c>
      <c r="W39" s="706">
        <f t="shared" si="14"/>
        <v>100</v>
      </c>
      <c r="X39" s="1351"/>
      <c r="Y39" s="3708"/>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06"/>
      <c r="Q40" s="1348" t="str">
        <f t="shared" si="11"/>
        <v>房型</v>
      </c>
      <c r="R40" s="705" t="s">
        <v>18</v>
      </c>
      <c r="S40" s="706">
        <f t="shared" si="12"/>
        <v>100</v>
      </c>
      <c r="T40" s="705" t="s">
        <v>18</v>
      </c>
      <c r="U40" s="706">
        <f t="shared" si="13"/>
        <v>100</v>
      </c>
      <c r="V40" s="705" t="s">
        <v>18</v>
      </c>
      <c r="W40" s="706">
        <f t="shared" si="14"/>
        <v>100</v>
      </c>
      <c r="X40" s="1351"/>
      <c r="Y40" s="3708"/>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7"/>
      <c r="M42" s="2711"/>
      <c r="N42" s="2711"/>
      <c r="O42" s="2711"/>
      <c r="P42" s="3706"/>
      <c r="Q42" s="1348" t="str">
        <f t="shared" si="11"/>
        <v>内部装修</v>
      </c>
      <c r="R42" s="705" t="s">
        <v>18</v>
      </c>
      <c r="S42" s="706">
        <f t="shared" si="12"/>
        <v>100</v>
      </c>
      <c r="T42" s="705" t="s">
        <v>18</v>
      </c>
      <c r="U42" s="706">
        <f t="shared" si="13"/>
        <v>100</v>
      </c>
      <c r="V42" s="705" t="s">
        <v>18</v>
      </c>
      <c r="W42" s="706">
        <f t="shared" si="14"/>
        <v>100</v>
      </c>
      <c r="X42" s="1351"/>
      <c r="Y42" s="3708"/>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7"/>
      <c r="M43" s="2711"/>
      <c r="N43" s="2711"/>
      <c r="O43" s="2711"/>
      <c r="P43" s="3706"/>
      <c r="Q43" s="1348" t="str">
        <f t="shared" si="11"/>
        <v>内部装修维护情况</v>
      </c>
      <c r="R43" s="705" t="s">
        <v>18</v>
      </c>
      <c r="S43" s="706">
        <f t="shared" si="12"/>
        <v>100</v>
      </c>
      <c r="T43" s="705" t="s">
        <v>18</v>
      </c>
      <c r="U43" s="706">
        <f t="shared" si="13"/>
        <v>100</v>
      </c>
      <c r="V43" s="705" t="s">
        <v>18</v>
      </c>
      <c r="W43" s="706">
        <f t="shared" si="14"/>
        <v>100</v>
      </c>
      <c r="X43" s="1351"/>
      <c r="Y43" s="3708"/>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2"/>
      <c r="M44" s="2713"/>
      <c r="N44" s="2713"/>
      <c r="O44" s="2713"/>
      <c r="P44" s="3706"/>
      <c r="Q44" s="1339">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7"/>
      <c r="M45" s="2711"/>
      <c r="N45" s="2711"/>
      <c r="O45" s="2711"/>
      <c r="P45" s="3706"/>
      <c r="Q45" s="1348">
        <f t="shared" si="11"/>
        <v>111</v>
      </c>
      <c r="R45" s="705" t="s">
        <v>18</v>
      </c>
      <c r="S45" s="706">
        <f t="shared" si="12"/>
        <v>100</v>
      </c>
      <c r="T45" s="705" t="s">
        <v>18</v>
      </c>
      <c r="U45" s="706">
        <f t="shared" si="13"/>
        <v>100</v>
      </c>
      <c r="V45" s="705" t="s">
        <v>18</v>
      </c>
      <c r="W45" s="706">
        <f t="shared" si="14"/>
        <v>100</v>
      </c>
      <c r="X45" s="1351"/>
      <c r="Y45" s="3708"/>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07"/>
      <c r="Q46" s="1348">
        <f t="shared" si="11"/>
        <v>111</v>
      </c>
      <c r="R46" s="705" t="s">
        <v>17</v>
      </c>
      <c r="S46" s="706">
        <f t="shared" si="12"/>
        <v>100</v>
      </c>
      <c r="T46" s="705" t="s">
        <v>17</v>
      </c>
      <c r="U46" s="706">
        <f t="shared" si="13"/>
        <v>100</v>
      </c>
      <c r="V46" s="705" t="s">
        <v>17</v>
      </c>
      <c r="W46" s="706">
        <f t="shared" si="14"/>
        <v>100</v>
      </c>
      <c r="X46" s="1351"/>
      <c r="Y46" s="3709"/>
      <c r="Z46" s="1352">
        <f t="shared" si="18"/>
        <v>111</v>
      </c>
      <c r="AA46" s="1349">
        <f t="shared" si="15"/>
        <v>1</v>
      </c>
      <c r="AB46" s="1349">
        <f t="shared" si="16"/>
        <v>1</v>
      </c>
      <c r="AC46" s="1349">
        <f t="shared" si="17"/>
        <v>1</v>
      </c>
    </row>
    <row r="47" spans="1:29" ht="15">
      <c r="A47" s="430" t="s">
        <v>1708</v>
      </c>
      <c r="B47" s="431"/>
      <c r="C47" s="1150" t="s">
        <v>16</v>
      </c>
      <c r="D47" s="1151"/>
      <c r="E47" s="1152"/>
      <c r="F47" s="1153"/>
      <c r="G47" s="1154"/>
      <c r="H47" s="1155"/>
      <c r="I47" s="1152"/>
      <c r="J47" s="1155"/>
      <c r="K47" s="1910"/>
      <c r="L47" s="2719"/>
      <c r="M47" s="2720"/>
      <c r="N47" s="2711"/>
      <c r="O47" s="2720"/>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56" t="e">
        <f>R49</f>
        <v>#DIV/0!</v>
      </c>
      <c r="D48" s="2313" t="s">
        <v>2137</v>
      </c>
      <c r="E48" s="1157" t="e">
        <f>R48</f>
        <v>#DIV/0!</v>
      </c>
      <c r="F48" s="2314"/>
      <c r="G48" s="1156" t="e">
        <f>T48</f>
        <v>#DIV/0!</v>
      </c>
      <c r="H48" s="2314"/>
      <c r="I48" s="1157" t="e">
        <f>V48</f>
        <v>#DIV/0!</v>
      </c>
      <c r="J48" s="2314"/>
      <c r="K48" s="2315">
        <f>F48+H48+J48</f>
        <v>0</v>
      </c>
      <c r="L48" s="2719"/>
      <c r="M48" s="2720"/>
      <c r="N48" s="2720"/>
      <c r="O48" s="2720"/>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1"/>
      <c r="L49" s="2719"/>
      <c r="M49" s="2720"/>
      <c r="N49" s="2720"/>
      <c r="O49" s="2720"/>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37"/>
      <c r="L57" s="938"/>
      <c r="M57" s="936"/>
      <c r="N57" s="936"/>
      <c r="O57" s="936"/>
      <c r="P57" s="1914"/>
      <c r="Q57" s="453"/>
    </row>
    <row r="58" spans="1:29" s="457" customFormat="1" ht="15">
      <c r="A58" s="454" t="s">
        <v>1715</v>
      </c>
      <c r="B58" s="455"/>
      <c r="C58" s="1182" t="str">
        <f>YEAR(C7)&amp;"-"&amp;MONTH(C7)</f>
        <v>2023-12</v>
      </c>
      <c r="D58" s="1181">
        <f>EDATE(C58,-1)</f>
        <v>45231</v>
      </c>
      <c r="E58" s="1181">
        <f>EDATE(D58,-1)</f>
        <v>45200</v>
      </c>
      <c r="F58" s="1181">
        <f t="shared" ref="F58:O58" si="19">EDATE(E58,-1)</f>
        <v>45170</v>
      </c>
      <c r="G58" s="1181">
        <f t="shared" si="19"/>
        <v>45139</v>
      </c>
      <c r="H58" s="1181">
        <f t="shared" si="19"/>
        <v>45108</v>
      </c>
      <c r="I58" s="1181">
        <f t="shared" si="19"/>
        <v>45078</v>
      </c>
      <c r="J58" s="1181">
        <f t="shared" si="19"/>
        <v>45047</v>
      </c>
      <c r="K58" s="1181">
        <f t="shared" si="19"/>
        <v>45017</v>
      </c>
      <c r="L58" s="1181">
        <f t="shared" si="19"/>
        <v>44986</v>
      </c>
      <c r="M58" s="1181">
        <f t="shared" si="19"/>
        <v>44958</v>
      </c>
      <c r="N58" s="1181">
        <f t="shared" si="19"/>
        <v>44927</v>
      </c>
      <c r="O58" s="1181">
        <f t="shared" si="19"/>
        <v>44896</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1719</v>
      </c>
      <c r="B63" s="477" t="s">
        <v>1685</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1688</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1734</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1735</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1694</v>
      </c>
      <c r="B100" s="477" t="s">
        <v>1736</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5.75"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67567.27</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09"/>
      <c r="M4" s="910"/>
      <c r="N4" s="910"/>
      <c r="O4" s="910"/>
      <c r="P4" s="3742" t="s">
        <v>1775</v>
      </c>
      <c r="Q4" s="3743"/>
      <c r="R4" s="3738" t="s">
        <v>1771</v>
      </c>
      <c r="S4" s="3739"/>
      <c r="T4" s="3738" t="s">
        <v>1772</v>
      </c>
      <c r="U4" s="3739"/>
      <c r="V4" s="3698" t="s">
        <v>1773</v>
      </c>
      <c r="W4" s="3698"/>
      <c r="X4" s="1351"/>
      <c r="Y4" s="3738" t="s">
        <v>1775</v>
      </c>
      <c r="Z4" s="3739"/>
      <c r="AA4" s="3737" t="s">
        <v>1771</v>
      </c>
      <c r="AB4" s="3665" t="s">
        <v>1772</v>
      </c>
      <c r="AC4" s="3737" t="s">
        <v>1773</v>
      </c>
    </row>
    <row r="5" spans="1:29" ht="15">
      <c r="A5" s="358"/>
      <c r="B5" s="359"/>
      <c r="C5" s="3675" t="s">
        <v>1673</v>
      </c>
      <c r="D5" s="3676"/>
      <c r="E5" s="3673" t="s">
        <v>1674</v>
      </c>
      <c r="F5" s="3674"/>
      <c r="G5" s="3675" t="s">
        <v>1675</v>
      </c>
      <c r="H5" s="3676"/>
      <c r="I5" s="3675" t="s">
        <v>1676</v>
      </c>
      <c r="J5" s="3676"/>
      <c r="K5" s="559"/>
      <c r="L5" s="909"/>
      <c r="M5" s="910"/>
      <c r="N5" s="910"/>
      <c r="O5" s="910"/>
      <c r="P5" s="3744"/>
      <c r="Q5" s="3692"/>
      <c r="R5" s="3671"/>
      <c r="S5" s="3672"/>
      <c r="T5" s="3671"/>
      <c r="U5" s="3672"/>
      <c r="V5" s="3698"/>
      <c r="W5" s="3698"/>
      <c r="X5" s="1351"/>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09"/>
      <c r="M6" s="910"/>
      <c r="N6" s="910"/>
      <c r="O6" s="910"/>
      <c r="P6" s="3745"/>
      <c r="Q6" s="3694"/>
      <c r="R6" s="3671"/>
      <c r="S6" s="3672"/>
      <c r="T6" s="3695"/>
      <c r="U6" s="3696"/>
      <c r="V6" s="3698"/>
      <c r="W6" s="3698"/>
      <c r="X6" s="1351"/>
      <c r="Y6" s="3695"/>
      <c r="Z6" s="3696"/>
      <c r="AA6" s="3666"/>
      <c r="AB6" s="3666"/>
      <c r="AC6" s="3666"/>
    </row>
    <row r="7" spans="1:29" s="108" customFormat="1" ht="15.75" thickBot="1">
      <c r="A7" s="362" t="s">
        <v>1679</v>
      </c>
      <c r="B7" s="363"/>
      <c r="C7" s="364">
        <f>'数据-取费表'!B2</f>
        <v>45279</v>
      </c>
      <c r="D7" s="365">
        <v>100</v>
      </c>
      <c r="E7" s="366"/>
      <c r="F7" s="367">
        <f>SUMIF(52:52,YEAR(E7)&amp;"-"&amp;MONTH(E7),53:53)</f>
        <v>0</v>
      </c>
      <c r="G7" s="366"/>
      <c r="H7" s="365">
        <f>SUMIF(52:52,YEAR(G7)&amp;"-"&amp;MONTH(G7),53:53)</f>
        <v>0</v>
      </c>
      <c r="I7" s="366"/>
      <c r="J7" s="365">
        <f>SUMIF(52:52,YEAR(I7)&amp;"-"&amp;MONTH(I7),53:53)</f>
        <v>0</v>
      </c>
      <c r="K7" s="560"/>
      <c r="L7" s="911"/>
      <c r="M7" s="912"/>
      <c r="N7" s="912"/>
      <c r="O7" s="912"/>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0" t="s">
        <v>1686</v>
      </c>
      <c r="Q9" s="1339"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10"/>
      <c r="Q10" s="1339"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0"/>
      <c r="Q11" s="1339"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10"/>
      <c r="Q12" s="1339">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10"/>
      <c r="Q13" s="1339">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10"/>
      <c r="Q14" s="1339">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03" t="s">
        <v>1691</v>
      </c>
      <c r="Q15" s="1348" t="str">
        <f t="shared" si="6"/>
        <v>产业集聚程度</v>
      </c>
      <c r="R15" s="705" t="s">
        <v>14</v>
      </c>
      <c r="S15" s="706">
        <f t="shared" si="0"/>
        <v>100</v>
      </c>
      <c r="T15" s="705" t="s">
        <v>14</v>
      </c>
      <c r="U15" s="706">
        <f t="shared" si="1"/>
        <v>100</v>
      </c>
      <c r="V15" s="705" t="s">
        <v>14</v>
      </c>
      <c r="W15" s="706">
        <f t="shared" si="2"/>
        <v>100</v>
      </c>
      <c r="X15" s="1351"/>
      <c r="Y15" s="3703"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04"/>
      <c r="Q16" s="1348"/>
      <c r="R16" s="705"/>
      <c r="S16" s="706"/>
      <c r="T16" s="705"/>
      <c r="U16" s="706"/>
      <c r="V16" s="705"/>
      <c r="W16" s="706"/>
      <c r="X16" s="1351"/>
      <c r="Y16" s="3704"/>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04"/>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04"/>
      <c r="Q18" s="1348"/>
      <c r="R18" s="705"/>
      <c r="S18" s="706"/>
      <c r="T18" s="705"/>
      <c r="U18" s="706"/>
      <c r="V18" s="705"/>
      <c r="W18" s="706"/>
      <c r="X18" s="1351"/>
      <c r="Y18" s="3704"/>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04"/>
      <c r="Q19" s="1348" t="str">
        <f>B19</f>
        <v>公共配套设施</v>
      </c>
      <c r="R19" s="705" t="s">
        <v>14</v>
      </c>
      <c r="S19" s="706">
        <f>F19</f>
        <v>100</v>
      </c>
      <c r="T19" s="705" t="s">
        <v>14</v>
      </c>
      <c r="U19" s="706">
        <f>H19</f>
        <v>100</v>
      </c>
      <c r="V19" s="705" t="s">
        <v>14</v>
      </c>
      <c r="W19" s="706">
        <f>J19</f>
        <v>100</v>
      </c>
      <c r="X19" s="1351"/>
      <c r="Y19" s="3704"/>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04"/>
      <c r="Q20" s="1348"/>
      <c r="R20" s="705"/>
      <c r="S20" s="706"/>
      <c r="T20" s="705"/>
      <c r="U20" s="706"/>
      <c r="V20" s="705"/>
      <c r="W20" s="706"/>
      <c r="X20" s="1351"/>
      <c r="Y20" s="3704"/>
      <c r="Z20" s="1352"/>
      <c r="AA20" s="1349">
        <v>1</v>
      </c>
      <c r="AB20" s="1349">
        <v>1</v>
      </c>
      <c r="AC20" s="1349">
        <v>1</v>
      </c>
    </row>
    <row r="21" spans="1:29" ht="28.5">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04"/>
      <c r="Q21" s="1348" t="str">
        <f>B21</f>
        <v>基础设施水平</v>
      </c>
      <c r="R21" s="705" t="s">
        <v>14</v>
      </c>
      <c r="S21" s="706">
        <f>F21</f>
        <v>100</v>
      </c>
      <c r="T21" s="705" t="s">
        <v>14</v>
      </c>
      <c r="U21" s="706">
        <f>H21</f>
        <v>100</v>
      </c>
      <c r="V21" s="705" t="s">
        <v>14</v>
      </c>
      <c r="W21" s="706">
        <f>J21</f>
        <v>100</v>
      </c>
      <c r="X21" s="1351"/>
      <c r="Y21" s="3704"/>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04"/>
      <c r="Q22" s="1348"/>
      <c r="R22" s="705"/>
      <c r="S22" s="706"/>
      <c r="T22" s="705"/>
      <c r="U22" s="706"/>
      <c r="V22" s="705"/>
      <c r="W22" s="706"/>
      <c r="X22" s="1351"/>
      <c r="Y22" s="3704"/>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04"/>
      <c r="Q23" s="1348" t="str">
        <f>B23</f>
        <v>环境质量</v>
      </c>
      <c r="R23" s="705" t="s">
        <v>14</v>
      </c>
      <c r="S23" s="706">
        <f>F23</f>
        <v>100</v>
      </c>
      <c r="T23" s="705" t="s">
        <v>14</v>
      </c>
      <c r="U23" s="706">
        <f>H23</f>
        <v>100</v>
      </c>
      <c r="V23" s="705" t="s">
        <v>14</v>
      </c>
      <c r="W23" s="706">
        <f>J23</f>
        <v>100</v>
      </c>
      <c r="X23" s="1351"/>
      <c r="Y23" s="3704"/>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04"/>
      <c r="Q24" s="1348"/>
      <c r="R24" s="705"/>
      <c r="S24" s="706"/>
      <c r="T24" s="705"/>
      <c r="U24" s="706"/>
      <c r="V24" s="705"/>
      <c r="W24" s="706"/>
      <c r="X24" s="1351"/>
      <c r="Y24" s="3704"/>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04"/>
      <c r="Q25" s="1348">
        <f>B25</f>
        <v>111</v>
      </c>
      <c r="R25" s="705" t="s">
        <v>14</v>
      </c>
      <c r="S25" s="706">
        <f>F25</f>
        <v>100</v>
      </c>
      <c r="T25" s="705" t="s">
        <v>14</v>
      </c>
      <c r="U25" s="706">
        <f>H25</f>
        <v>100</v>
      </c>
      <c r="V25" s="705" t="s">
        <v>14</v>
      </c>
      <c r="W25" s="706">
        <f>J25</f>
        <v>100</v>
      </c>
      <c r="X25" s="1351"/>
      <c r="Y25" s="3704"/>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04"/>
      <c r="Q26" s="1348">
        <f t="shared" ref="Q26:Q40" si="11">B26</f>
        <v>111</v>
      </c>
      <c r="R26" s="705" t="s">
        <v>14</v>
      </c>
      <c r="S26" s="706">
        <f>F26</f>
        <v>100</v>
      </c>
      <c r="T26" s="705" t="s">
        <v>14</v>
      </c>
      <c r="U26" s="706">
        <f>H26</f>
        <v>100</v>
      </c>
      <c r="V26" s="705" t="s">
        <v>14</v>
      </c>
      <c r="W26" s="706">
        <f>J26</f>
        <v>100</v>
      </c>
      <c r="X26" s="1351"/>
      <c r="Y26" s="3704"/>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04"/>
      <c r="Q27" s="1339">
        <f t="shared" si="11"/>
        <v>111</v>
      </c>
      <c r="R27" s="701" t="s">
        <v>14</v>
      </c>
      <c r="S27" s="702">
        <f>F27</f>
        <v>100</v>
      </c>
      <c r="T27" s="701" t="s">
        <v>14</v>
      </c>
      <c r="U27" s="702">
        <f>H27</f>
        <v>100</v>
      </c>
      <c r="V27" s="701" t="s">
        <v>14</v>
      </c>
      <c r="W27" s="702">
        <f>J27</f>
        <v>100</v>
      </c>
      <c r="X27" s="703"/>
      <c r="Y27" s="3704"/>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04"/>
      <c r="Q28" s="1348">
        <f t="shared" si="11"/>
        <v>111</v>
      </c>
      <c r="R28" s="705" t="s">
        <v>14</v>
      </c>
      <c r="S28" s="706">
        <f t="shared" ref="S28:S40" si="12">F28</f>
        <v>100</v>
      </c>
      <c r="T28" s="705" t="s">
        <v>14</v>
      </c>
      <c r="U28" s="706">
        <f t="shared" ref="U28:U40" si="13">H28</f>
        <v>100</v>
      </c>
      <c r="V28" s="705" t="s">
        <v>14</v>
      </c>
      <c r="W28" s="706">
        <f t="shared" ref="W28:W40" si="14">J28</f>
        <v>100</v>
      </c>
      <c r="X28" s="1351"/>
      <c r="Y28" s="3704"/>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75" t="s">
        <v>1696</v>
      </c>
      <c r="Q29" s="1348" t="str">
        <f t="shared" si="11"/>
        <v>建筑类型</v>
      </c>
      <c r="R29" s="705" t="s">
        <v>14</v>
      </c>
      <c r="S29" s="706">
        <f t="shared" si="12"/>
        <v>100</v>
      </c>
      <c r="T29" s="705" t="s">
        <v>14</v>
      </c>
      <c r="U29" s="706">
        <f t="shared" si="13"/>
        <v>100</v>
      </c>
      <c r="V29" s="705" t="s">
        <v>14</v>
      </c>
      <c r="W29" s="706">
        <f t="shared" si="14"/>
        <v>100</v>
      </c>
      <c r="X29" s="1351"/>
      <c r="Y29" s="3708"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08"/>
      <c r="Q31" s="1348" t="str">
        <f t="shared" si="11"/>
        <v>建筑结构</v>
      </c>
      <c r="R31" s="705" t="s">
        <v>14</v>
      </c>
      <c r="S31" s="706">
        <f t="shared" si="12"/>
        <v>100</v>
      </c>
      <c r="T31" s="705" t="s">
        <v>14</v>
      </c>
      <c r="U31" s="706">
        <f t="shared" si="13"/>
        <v>100</v>
      </c>
      <c r="V31" s="705" t="s">
        <v>14</v>
      </c>
      <c r="W31" s="706">
        <f t="shared" si="14"/>
        <v>100</v>
      </c>
      <c r="X31" s="1351"/>
      <c r="Y31" s="3708"/>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08"/>
      <c r="Q32" s="1348" t="str">
        <f t="shared" si="11"/>
        <v>公共部分装修</v>
      </c>
      <c r="R32" s="705" t="s">
        <v>14</v>
      </c>
      <c r="S32" s="706">
        <f t="shared" si="12"/>
        <v>100</v>
      </c>
      <c r="T32" s="705" t="s">
        <v>14</v>
      </c>
      <c r="U32" s="706">
        <f t="shared" si="13"/>
        <v>100</v>
      </c>
      <c r="V32" s="705" t="s">
        <v>14</v>
      </c>
      <c r="W32" s="706">
        <f t="shared" si="14"/>
        <v>100</v>
      </c>
      <c r="X32" s="1351"/>
      <c r="Y32" s="3708"/>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08"/>
      <c r="Q33" s="1348" t="str">
        <f t="shared" si="11"/>
        <v>成新度</v>
      </c>
      <c r="R33" s="705" t="s">
        <v>14</v>
      </c>
      <c r="S33" s="706" t="e">
        <f t="shared" si="12"/>
        <v>#N/A</v>
      </c>
      <c r="T33" s="705" t="s">
        <v>14</v>
      </c>
      <c r="U33" s="706" t="e">
        <f t="shared" si="13"/>
        <v>#N/A</v>
      </c>
      <c r="V33" s="705" t="s">
        <v>14</v>
      </c>
      <c r="W33" s="706" t="e">
        <f t="shared" si="14"/>
        <v>#N/A</v>
      </c>
      <c r="X33" s="1351"/>
      <c r="Y33" s="3708"/>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08"/>
      <c r="Q34" s="1339"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08" t="s">
        <v>1696</v>
      </c>
      <c r="Q35" s="1348" t="str">
        <f t="shared" si="11"/>
        <v>市政基础设施</v>
      </c>
      <c r="R35" s="705" t="s">
        <v>14</v>
      </c>
      <c r="S35" s="706">
        <f t="shared" si="12"/>
        <v>100</v>
      </c>
      <c r="T35" s="705" t="s">
        <v>14</v>
      </c>
      <c r="U35" s="706">
        <f t="shared" si="13"/>
        <v>100</v>
      </c>
      <c r="V35" s="705" t="s">
        <v>14</v>
      </c>
      <c r="W35" s="706">
        <f t="shared" si="14"/>
        <v>100</v>
      </c>
      <c r="X35" s="1351"/>
      <c r="Y35" s="3708"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08"/>
      <c r="Q36" s="1348" t="str">
        <f t="shared" si="11"/>
        <v>内部装修</v>
      </c>
      <c r="R36" s="705" t="s">
        <v>14</v>
      </c>
      <c r="S36" s="706">
        <f t="shared" si="12"/>
        <v>100</v>
      </c>
      <c r="T36" s="705" t="s">
        <v>14</v>
      </c>
      <c r="U36" s="706">
        <f t="shared" si="13"/>
        <v>100</v>
      </c>
      <c r="V36" s="705" t="s">
        <v>14</v>
      </c>
      <c r="W36" s="706">
        <f t="shared" si="14"/>
        <v>100</v>
      </c>
      <c r="X36" s="1351"/>
      <c r="Y36" s="3708"/>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08"/>
      <c r="Q37" s="1348" t="str">
        <f t="shared" si="11"/>
        <v>内部装修状况</v>
      </c>
      <c r="R37" s="705" t="s">
        <v>14</v>
      </c>
      <c r="S37" s="706">
        <f t="shared" si="12"/>
        <v>100</v>
      </c>
      <c r="T37" s="705" t="s">
        <v>14</v>
      </c>
      <c r="U37" s="706">
        <f t="shared" si="13"/>
        <v>100</v>
      </c>
      <c r="V37" s="705" t="s">
        <v>14</v>
      </c>
      <c r="W37" s="706">
        <f t="shared" si="14"/>
        <v>100</v>
      </c>
      <c r="X37" s="1351"/>
      <c r="Y37" s="3708"/>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08"/>
      <c r="Q39" s="1348">
        <f t="shared" si="11"/>
        <v>111</v>
      </c>
      <c r="R39" s="705" t="s">
        <v>14</v>
      </c>
      <c r="S39" s="706">
        <f t="shared" si="12"/>
        <v>100</v>
      </c>
      <c r="T39" s="705" t="s">
        <v>14</v>
      </c>
      <c r="U39" s="706">
        <f t="shared" si="13"/>
        <v>100</v>
      </c>
      <c r="V39" s="705" t="s">
        <v>14</v>
      </c>
      <c r="W39" s="706">
        <f t="shared" si="14"/>
        <v>100</v>
      </c>
      <c r="X39" s="1351"/>
      <c r="Y39" s="3708"/>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09"/>
      <c r="Q40" s="1348">
        <f t="shared" si="11"/>
        <v>111</v>
      </c>
      <c r="R40" s="705" t="s">
        <v>14</v>
      </c>
      <c r="S40" s="706">
        <f t="shared" si="12"/>
        <v>100</v>
      </c>
      <c r="T40" s="705" t="s">
        <v>14</v>
      </c>
      <c r="U40" s="706">
        <f t="shared" si="13"/>
        <v>100</v>
      </c>
      <c r="V40" s="705" t="s">
        <v>14</v>
      </c>
      <c r="W40" s="706">
        <f t="shared" si="14"/>
        <v>100</v>
      </c>
      <c r="X40" s="1351"/>
      <c r="Y40" s="3709"/>
      <c r="Z40" s="1352">
        <f t="shared" si="15"/>
        <v>111</v>
      </c>
      <c r="AA40" s="1349">
        <f t="shared" si="3"/>
        <v>1</v>
      </c>
      <c r="AB40" s="1349">
        <f t="shared" si="4"/>
        <v>1</v>
      </c>
      <c r="AC40" s="1349">
        <f t="shared" si="5"/>
        <v>1</v>
      </c>
    </row>
    <row r="41" spans="1:29" ht="15">
      <c r="A41" s="430" t="s">
        <v>1708</v>
      </c>
      <c r="B41" s="431"/>
      <c r="C41" s="1150" t="s">
        <v>0</v>
      </c>
      <c r="D41" s="1151"/>
      <c r="E41" s="1152"/>
      <c r="F41" s="1153"/>
      <c r="G41" s="1154"/>
      <c r="H41" s="1155"/>
      <c r="I41" s="1152"/>
      <c r="J41" s="1155"/>
      <c r="K41" s="714"/>
      <c r="L41" s="922"/>
      <c r="M41" s="923"/>
      <c r="N41" s="910"/>
      <c r="O41" s="923"/>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56" t="e">
        <f>R43</f>
        <v>#DIV/0!</v>
      </c>
      <c r="D42" s="2313" t="s">
        <v>2137</v>
      </c>
      <c r="E42" s="1157" t="e">
        <f>R42</f>
        <v>#DIV/0!</v>
      </c>
      <c r="F42" s="2314"/>
      <c r="G42" s="1156" t="e">
        <f>T42</f>
        <v>#DIV/0!</v>
      </c>
      <c r="H42" s="2314"/>
      <c r="I42" s="1157" t="e">
        <f>V42</f>
        <v>#DIV/0!</v>
      </c>
      <c r="J42" s="2314"/>
      <c r="K42" s="2316">
        <f>F42+H42+J42</f>
        <v>0</v>
      </c>
      <c r="L42" s="922"/>
      <c r="M42" s="923"/>
      <c r="N42" s="910"/>
      <c r="O42" s="923"/>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80" t="str">
        <f>YEAR(C7)&amp;"-"&amp;MONTH(C7)</f>
        <v>2023-12</v>
      </c>
      <c r="D52" s="1181">
        <f>EDATE(C52,-1)</f>
        <v>45231</v>
      </c>
      <c r="E52" s="1181">
        <f t="shared" ref="E52:O52" si="16">EDATE(D52,-1)</f>
        <v>45200</v>
      </c>
      <c r="F52" s="1181">
        <f t="shared" si="16"/>
        <v>45170</v>
      </c>
      <c r="G52" s="1181">
        <f t="shared" si="16"/>
        <v>45139</v>
      </c>
      <c r="H52" s="1181">
        <f t="shared" si="16"/>
        <v>45108</v>
      </c>
      <c r="I52" s="1181">
        <f t="shared" si="16"/>
        <v>45078</v>
      </c>
      <c r="J52" s="1181">
        <f t="shared" si="16"/>
        <v>45047</v>
      </c>
      <c r="K52" s="1181">
        <f t="shared" si="16"/>
        <v>45017</v>
      </c>
      <c r="L52" s="1181">
        <f t="shared" si="16"/>
        <v>44986</v>
      </c>
      <c r="M52" s="1181">
        <f t="shared" si="16"/>
        <v>44958</v>
      </c>
      <c r="N52" s="1181">
        <f t="shared" si="16"/>
        <v>44927</v>
      </c>
      <c r="O52" s="1181">
        <f t="shared" si="16"/>
        <v>44896</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3335</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9"/>
      <c r="M2" s="2730"/>
      <c r="N2" s="2730"/>
      <c r="O2" s="2730"/>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0"/>
      <c r="M4" s="2711"/>
      <c r="N4" s="2711"/>
      <c r="O4" s="2711"/>
      <c r="P4" s="3742" t="s">
        <v>1775</v>
      </c>
      <c r="Q4" s="3743"/>
      <c r="R4" s="3738" t="s">
        <v>1771</v>
      </c>
      <c r="S4" s="3739"/>
      <c r="T4" s="3738" t="s">
        <v>1772</v>
      </c>
      <c r="U4" s="3739"/>
      <c r="V4" s="3698" t="s">
        <v>1773</v>
      </c>
      <c r="W4" s="3698"/>
      <c r="X4" s="1351"/>
      <c r="Y4" s="3738" t="s">
        <v>1775</v>
      </c>
      <c r="Z4" s="3739"/>
      <c r="AA4" s="3737" t="s">
        <v>1771</v>
      </c>
      <c r="AB4" s="3665" t="s">
        <v>1772</v>
      </c>
      <c r="AC4" s="3737" t="s">
        <v>1773</v>
      </c>
    </row>
    <row r="5" spans="1:29" ht="15">
      <c r="A5" s="358"/>
      <c r="B5" s="359"/>
      <c r="C5" s="3675" t="s">
        <v>1673</v>
      </c>
      <c r="D5" s="3676"/>
      <c r="E5" s="3673" t="s">
        <v>1674</v>
      </c>
      <c r="F5" s="3674"/>
      <c r="G5" s="3675" t="s">
        <v>1675</v>
      </c>
      <c r="H5" s="3676"/>
      <c r="I5" s="3675" t="s">
        <v>1676</v>
      </c>
      <c r="J5" s="3676"/>
      <c r="K5" s="559"/>
      <c r="L5" s="2710"/>
      <c r="M5" s="2711"/>
      <c r="N5" s="2711"/>
      <c r="O5" s="2711"/>
      <c r="P5" s="3744"/>
      <c r="Q5" s="3692"/>
      <c r="R5" s="3671"/>
      <c r="S5" s="3672"/>
      <c r="T5" s="3671"/>
      <c r="U5" s="3672"/>
      <c r="V5" s="3698"/>
      <c r="W5" s="3698"/>
      <c r="X5" s="1351"/>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745"/>
      <c r="Q6" s="3694"/>
      <c r="R6" s="3671"/>
      <c r="S6" s="3672"/>
      <c r="T6" s="3695"/>
      <c r="U6" s="3696"/>
      <c r="V6" s="3698"/>
      <c r="W6" s="3698"/>
      <c r="X6" s="1351"/>
      <c r="Y6" s="3695"/>
      <c r="Z6" s="3696"/>
      <c r="AA6" s="3666"/>
      <c r="AB6" s="3666"/>
      <c r="AC6" s="3666"/>
    </row>
    <row r="7" spans="1:29" s="108" customFormat="1" ht="15.75" thickBot="1">
      <c r="A7" s="362" t="s">
        <v>1679</v>
      </c>
      <c r="B7" s="363"/>
      <c r="C7" s="364">
        <f>'数据-取费表'!B2</f>
        <v>45279</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67" t="s">
        <v>1680</v>
      </c>
      <c r="Q7" s="3700"/>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0" t="s">
        <v>1686</v>
      </c>
      <c r="Q9" s="1339"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10"/>
      <c r="Q10" s="1339"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0"/>
      <c r="Q11" s="1339">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0"/>
      <c r="Q12" s="1339">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0"/>
      <c r="Q13" s="1339">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3" t="s">
        <v>1691</v>
      </c>
      <c r="Q14" s="1348" t="str">
        <f t="shared" si="6"/>
        <v>交通便捷度</v>
      </c>
      <c r="R14" s="705" t="s">
        <v>14</v>
      </c>
      <c r="S14" s="706">
        <f t="shared" si="0"/>
        <v>100</v>
      </c>
      <c r="T14" s="705" t="s">
        <v>14</v>
      </c>
      <c r="U14" s="706">
        <f t="shared" si="1"/>
        <v>100</v>
      </c>
      <c r="V14" s="705" t="s">
        <v>14</v>
      </c>
      <c r="W14" s="706">
        <f t="shared" si="2"/>
        <v>100</v>
      </c>
      <c r="X14" s="1351"/>
      <c r="Y14" s="3703"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7"/>
      <c r="M15" s="2711"/>
      <c r="N15" s="2711"/>
      <c r="O15" s="2711"/>
      <c r="P15" s="3704"/>
      <c r="Q15" s="1348"/>
      <c r="R15" s="705"/>
      <c r="S15" s="706"/>
      <c r="T15" s="705"/>
      <c r="U15" s="706"/>
      <c r="V15" s="705"/>
      <c r="W15" s="706"/>
      <c r="X15" s="1351"/>
      <c r="Y15" s="3704"/>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4"/>
      <c r="Q16" s="1348" t="str">
        <f>B16</f>
        <v>公共配套设施</v>
      </c>
      <c r="R16" s="705" t="s">
        <v>14</v>
      </c>
      <c r="S16" s="706">
        <f>F16</f>
        <v>100</v>
      </c>
      <c r="T16" s="705" t="s">
        <v>14</v>
      </c>
      <c r="U16" s="706">
        <f>H16</f>
        <v>100</v>
      </c>
      <c r="V16" s="705" t="s">
        <v>14</v>
      </c>
      <c r="W16" s="706">
        <f>J16</f>
        <v>100</v>
      </c>
      <c r="X16" s="1351"/>
      <c r="Y16" s="3704"/>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7"/>
      <c r="M17" s="2711"/>
      <c r="N17" s="2711"/>
      <c r="O17" s="2711"/>
      <c r="P17" s="3704"/>
      <c r="Q17" s="1348"/>
      <c r="R17" s="705"/>
      <c r="S17" s="706"/>
      <c r="T17" s="705"/>
      <c r="U17" s="706"/>
      <c r="V17" s="705"/>
      <c r="W17" s="706"/>
      <c r="X17" s="1351"/>
      <c r="Y17" s="3704"/>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4"/>
      <c r="Q18" s="1348" t="str">
        <f>B18</f>
        <v>基础设施水平</v>
      </c>
      <c r="R18" s="705" t="s">
        <v>14</v>
      </c>
      <c r="S18" s="706">
        <f>F18</f>
        <v>100</v>
      </c>
      <c r="T18" s="705" t="s">
        <v>14</v>
      </c>
      <c r="U18" s="706">
        <f>H18</f>
        <v>100</v>
      </c>
      <c r="V18" s="705" t="s">
        <v>14</v>
      </c>
      <c r="W18" s="706">
        <f>J18</f>
        <v>100</v>
      </c>
      <c r="X18" s="1351"/>
      <c r="Y18" s="3704"/>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7"/>
      <c r="M19" s="2711"/>
      <c r="N19" s="2711"/>
      <c r="O19" s="2711"/>
      <c r="P19" s="3704"/>
      <c r="Q19" s="1348"/>
      <c r="R19" s="705"/>
      <c r="S19" s="706"/>
      <c r="T19" s="705"/>
      <c r="U19" s="706"/>
      <c r="V19" s="705"/>
      <c r="W19" s="706"/>
      <c r="X19" s="1351"/>
      <c r="Y19" s="3704"/>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4"/>
      <c r="Q20" s="1348" t="str">
        <f>B20</f>
        <v>自然及人文环境</v>
      </c>
      <c r="R20" s="705" t="s">
        <v>14</v>
      </c>
      <c r="S20" s="706">
        <f>F20</f>
        <v>100</v>
      </c>
      <c r="T20" s="705" t="s">
        <v>14</v>
      </c>
      <c r="U20" s="706">
        <f>H20</f>
        <v>100</v>
      </c>
      <c r="V20" s="705" t="s">
        <v>14</v>
      </c>
      <c r="W20" s="706">
        <f>J20</f>
        <v>100</v>
      </c>
      <c r="X20" s="1351"/>
      <c r="Y20" s="3704"/>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7"/>
      <c r="M21" s="2711"/>
      <c r="N21" s="2711"/>
      <c r="O21" s="2711"/>
      <c r="P21" s="3704"/>
      <c r="Q21" s="1348"/>
      <c r="R21" s="705"/>
      <c r="S21" s="706"/>
      <c r="T21" s="705"/>
      <c r="U21" s="706"/>
      <c r="V21" s="705"/>
      <c r="W21" s="706"/>
      <c r="X21" s="1351"/>
      <c r="Y21" s="3704"/>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4"/>
      <c r="Q22" s="1348" t="str">
        <f>B22</f>
        <v>楼层</v>
      </c>
      <c r="R22" s="705" t="s">
        <v>14</v>
      </c>
      <c r="S22" s="706">
        <f>F22</f>
        <v>100</v>
      </c>
      <c r="T22" s="705" t="s">
        <v>14</v>
      </c>
      <c r="U22" s="706">
        <f>H22</f>
        <v>100</v>
      </c>
      <c r="V22" s="705" t="s">
        <v>14</v>
      </c>
      <c r="W22" s="706">
        <f>J22</f>
        <v>100</v>
      </c>
      <c r="X22" s="1351"/>
      <c r="Y22" s="3704"/>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4"/>
      <c r="Q23" s="1348">
        <f>B23</f>
        <v>111</v>
      </c>
      <c r="R23" s="705" t="s">
        <v>14</v>
      </c>
      <c r="S23" s="706">
        <f>F23</f>
        <v>100</v>
      </c>
      <c r="T23" s="705" t="s">
        <v>14</v>
      </c>
      <c r="U23" s="706">
        <f>H23</f>
        <v>100</v>
      </c>
      <c r="V23" s="705" t="s">
        <v>14</v>
      </c>
      <c r="W23" s="706">
        <f>J23</f>
        <v>100</v>
      </c>
      <c r="X23" s="1351"/>
      <c r="Y23" s="3704"/>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4"/>
      <c r="Q24" s="1348">
        <f t="shared" ref="Q24:Q36" si="11">B24</f>
        <v>111</v>
      </c>
      <c r="R24" s="705" t="s">
        <v>14</v>
      </c>
      <c r="S24" s="706">
        <f>F24</f>
        <v>100</v>
      </c>
      <c r="T24" s="705" t="s">
        <v>14</v>
      </c>
      <c r="U24" s="706">
        <f>H24</f>
        <v>100</v>
      </c>
      <c r="V24" s="705" t="s">
        <v>14</v>
      </c>
      <c r="W24" s="706">
        <f>J24</f>
        <v>100</v>
      </c>
      <c r="X24" s="1351"/>
      <c r="Y24" s="3704"/>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04"/>
      <c r="Q25" s="1339">
        <f t="shared" si="11"/>
        <v>111</v>
      </c>
      <c r="R25" s="701" t="s">
        <v>14</v>
      </c>
      <c r="S25" s="702">
        <f>F25</f>
        <v>100</v>
      </c>
      <c r="T25" s="701" t="s">
        <v>14</v>
      </c>
      <c r="U25" s="702">
        <f>H25</f>
        <v>100</v>
      </c>
      <c r="V25" s="701" t="s">
        <v>14</v>
      </c>
      <c r="W25" s="702">
        <f>J25</f>
        <v>100</v>
      </c>
      <c r="X25" s="703"/>
      <c r="Y25" s="3704"/>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5"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08"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8"/>
      <c r="Q28" s="1348" t="str">
        <f t="shared" si="11"/>
        <v>公共部分装修</v>
      </c>
      <c r="R28" s="705" t="s">
        <v>14</v>
      </c>
      <c r="S28" s="706">
        <f t="shared" si="12"/>
        <v>100</v>
      </c>
      <c r="T28" s="705" t="s">
        <v>14</v>
      </c>
      <c r="U28" s="706">
        <f t="shared" si="13"/>
        <v>100</v>
      </c>
      <c r="V28" s="705" t="s">
        <v>14</v>
      </c>
      <c r="W28" s="706">
        <f t="shared" si="14"/>
        <v>100</v>
      </c>
      <c r="X28" s="1351"/>
      <c r="Y28" s="3708"/>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8"/>
      <c r="Q29" s="1348" t="str">
        <f t="shared" si="11"/>
        <v>成新率</v>
      </c>
      <c r="R29" s="705" t="s">
        <v>14</v>
      </c>
      <c r="S29" s="706" t="e">
        <f t="shared" si="12"/>
        <v>#N/A</v>
      </c>
      <c r="T29" s="705" t="s">
        <v>14</v>
      </c>
      <c r="U29" s="706" t="e">
        <f t="shared" si="13"/>
        <v>#N/A</v>
      </c>
      <c r="V29" s="705" t="s">
        <v>14</v>
      </c>
      <c r="W29" s="706" t="e">
        <f t="shared" si="14"/>
        <v>#N/A</v>
      </c>
      <c r="X29" s="1351"/>
      <c r="Y29" s="3708"/>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08"/>
      <c r="Q30" s="1348" t="str">
        <f t="shared" si="11"/>
        <v>物业等级</v>
      </c>
      <c r="R30" s="705" t="s">
        <v>14</v>
      </c>
      <c r="S30" s="706">
        <f t="shared" si="12"/>
        <v>100</v>
      </c>
      <c r="T30" s="705" t="s">
        <v>14</v>
      </c>
      <c r="U30" s="706">
        <f t="shared" si="13"/>
        <v>100</v>
      </c>
      <c r="V30" s="705" t="s">
        <v>14</v>
      </c>
      <c r="W30" s="706">
        <f t="shared" si="14"/>
        <v>100</v>
      </c>
      <c r="X30" s="1351"/>
      <c r="Y30" s="3708"/>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8"/>
      <c r="Q31" s="1339"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8" t="s">
        <v>1696</v>
      </c>
      <c r="Q32" s="1348" t="str">
        <f t="shared" si="11"/>
        <v>车位类型</v>
      </c>
      <c r="R32" s="705" t="s">
        <v>14</v>
      </c>
      <c r="S32" s="706">
        <f t="shared" si="12"/>
        <v>100</v>
      </c>
      <c r="T32" s="705" t="s">
        <v>14</v>
      </c>
      <c r="U32" s="706">
        <f t="shared" si="13"/>
        <v>100</v>
      </c>
      <c r="V32" s="705" t="s">
        <v>14</v>
      </c>
      <c r="W32" s="706">
        <f t="shared" si="14"/>
        <v>100</v>
      </c>
      <c r="X32" s="1351"/>
      <c r="Y32" s="3708"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8"/>
      <c r="Q33" s="1348" t="str">
        <f t="shared" si="11"/>
        <v>是否直接入户</v>
      </c>
      <c r="R33" s="705" t="s">
        <v>14</v>
      </c>
      <c r="S33" s="706">
        <f t="shared" si="12"/>
        <v>100</v>
      </c>
      <c r="T33" s="705" t="s">
        <v>14</v>
      </c>
      <c r="U33" s="706">
        <f t="shared" si="13"/>
        <v>100</v>
      </c>
      <c r="V33" s="705" t="s">
        <v>14</v>
      </c>
      <c r="W33" s="706">
        <f t="shared" si="14"/>
        <v>100</v>
      </c>
      <c r="X33" s="1351"/>
      <c r="Y33" s="3708"/>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8"/>
      <c r="Q34" s="1348">
        <f t="shared" si="11"/>
        <v>111</v>
      </c>
      <c r="R34" s="705" t="s">
        <v>14</v>
      </c>
      <c r="S34" s="706">
        <f t="shared" si="12"/>
        <v>100</v>
      </c>
      <c r="T34" s="705" t="s">
        <v>14</v>
      </c>
      <c r="U34" s="706">
        <f t="shared" si="13"/>
        <v>100</v>
      </c>
      <c r="V34" s="705" t="s">
        <v>14</v>
      </c>
      <c r="W34" s="706">
        <f t="shared" si="14"/>
        <v>100</v>
      </c>
      <c r="X34" s="1351"/>
      <c r="Y34" s="3708"/>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8"/>
      <c r="Q36" s="1348">
        <f t="shared" si="11"/>
        <v>111</v>
      </c>
      <c r="R36" s="705" t="s">
        <v>14</v>
      </c>
      <c r="S36" s="706">
        <f t="shared" si="12"/>
        <v>100</v>
      </c>
      <c r="T36" s="705" t="s">
        <v>14</v>
      </c>
      <c r="U36" s="706">
        <f t="shared" si="13"/>
        <v>100</v>
      </c>
      <c r="V36" s="705" t="s">
        <v>14</v>
      </c>
      <c r="W36" s="706">
        <f t="shared" si="14"/>
        <v>100</v>
      </c>
      <c r="X36" s="1351"/>
      <c r="Y36" s="3708"/>
      <c r="Z36" s="1352">
        <f t="shared" si="15"/>
        <v>111</v>
      </c>
      <c r="AA36" s="1349">
        <f t="shared" si="3"/>
        <v>1</v>
      </c>
      <c r="AB36" s="1349">
        <f t="shared" si="4"/>
        <v>1</v>
      </c>
      <c r="AC36" s="1349">
        <f t="shared" si="5"/>
        <v>1</v>
      </c>
    </row>
    <row r="37" spans="1:29" ht="15">
      <c r="A37" s="430" t="s">
        <v>1844</v>
      </c>
      <c r="B37" s="1969" t="s">
        <v>3355</v>
      </c>
      <c r="C37" s="1150" t="s">
        <v>0</v>
      </c>
      <c r="D37" s="1151"/>
      <c r="E37" s="1152"/>
      <c r="F37" s="1153"/>
      <c r="G37" s="1154"/>
      <c r="H37" s="1155"/>
      <c r="I37" s="1152"/>
      <c r="J37" s="1155"/>
      <c r="K37" s="568"/>
      <c r="L37" s="2719"/>
      <c r="M37" s="2720"/>
      <c r="N37" s="2711"/>
      <c r="O37" s="2720"/>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56" t="e">
        <f>R39</f>
        <v>#DIV/0!</v>
      </c>
      <c r="D38" s="2313" t="s">
        <v>2137</v>
      </c>
      <c r="E38" s="1157" t="e">
        <f>R38</f>
        <v>#DIV/0!</v>
      </c>
      <c r="F38" s="2314"/>
      <c r="G38" s="1156" t="e">
        <f>T38</f>
        <v>#DIV/0!</v>
      </c>
      <c r="H38" s="2314"/>
      <c r="I38" s="1157" t="e">
        <f>V38</f>
        <v>#DIV/0!</v>
      </c>
      <c r="J38" s="2314"/>
      <c r="K38" s="2316">
        <f>F38+H38+J38</f>
        <v>0</v>
      </c>
      <c r="L38" s="2719"/>
      <c r="M38" s="2720"/>
      <c r="N38" s="2720"/>
      <c r="O38" s="2720"/>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19"/>
      <c r="M39" s="2720"/>
      <c r="N39" s="2720"/>
      <c r="O39" s="2720"/>
      <c r="P39" s="3746" t="str">
        <f>A39</f>
        <v>估价对象XX用房的比较价值（楼面单价，元/平方米）</v>
      </c>
      <c r="Q39" s="3747"/>
      <c r="R39" s="3776" t="e">
        <f>IF(F1="售价",ROUND(IF(D38="简单平均",AVERAGE(R38:W38),R38*F38+T38*H38+V38*J38),0),ROUND(IF(D38="简单平均",AVERAGE(R38:V38),R38*F38+T38*H38+V38*J38),1))</f>
        <v>#DIV/0!</v>
      </c>
      <c r="S39" s="3776"/>
      <c r="T39" s="3776"/>
      <c r="U39" s="3776"/>
      <c r="V39" s="3776"/>
      <c r="W39" s="377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0" t="str">
        <f>YEAR(C7)&amp;"-"&amp;MONTH(C7)</f>
        <v>2023-12</v>
      </c>
      <c r="D48" s="1181">
        <f>EDATE(C48,-1)</f>
        <v>45231</v>
      </c>
      <c r="E48" s="1181">
        <f t="shared" ref="E48:O48" si="16">EDATE(D48,-1)</f>
        <v>45200</v>
      </c>
      <c r="F48" s="1181">
        <f t="shared" si="16"/>
        <v>45170</v>
      </c>
      <c r="G48" s="1181">
        <f t="shared" si="16"/>
        <v>45139</v>
      </c>
      <c r="H48" s="1181">
        <f t="shared" si="16"/>
        <v>45108</v>
      </c>
      <c r="I48" s="1181">
        <f t="shared" si="16"/>
        <v>45078</v>
      </c>
      <c r="J48" s="1181">
        <f t="shared" si="16"/>
        <v>45047</v>
      </c>
      <c r="K48" s="1181">
        <f t="shared" si="16"/>
        <v>45017</v>
      </c>
      <c r="L48" s="1181">
        <f t="shared" si="16"/>
        <v>44986</v>
      </c>
      <c r="M48" s="1181">
        <f t="shared" si="16"/>
        <v>44958</v>
      </c>
      <c r="N48" s="1181">
        <f t="shared" si="16"/>
        <v>44927</v>
      </c>
      <c r="O48" s="1181">
        <f t="shared" si="16"/>
        <v>44896</v>
      </c>
      <c r="P48" s="2754"/>
      <c r="Q48" s="2736"/>
      <c r="R48" s="2736"/>
      <c r="S48" s="2736"/>
      <c r="T48" s="2736"/>
      <c r="U48" s="2736"/>
      <c r="V48" s="2736"/>
      <c r="W48" s="2736"/>
      <c r="X48" s="2736"/>
      <c r="Y48" s="2736"/>
      <c r="Z48" s="2736"/>
      <c r="AA48" s="2736"/>
      <c r="AB48" s="2736"/>
      <c r="AC48" s="2736"/>
    </row>
    <row r="49" spans="1:29" s="108" customFormat="1" ht="15">
      <c r="A49" s="458"/>
      <c r="B49" s="459"/>
      <c r="C49" s="1173">
        <v>100</v>
      </c>
      <c r="D49" s="461"/>
      <c r="E49" s="461"/>
      <c r="F49" s="461"/>
      <c r="G49" s="461"/>
      <c r="H49" s="461"/>
      <c r="I49" s="461"/>
      <c r="J49" s="461"/>
      <c r="K49" s="461"/>
      <c r="L49" s="461"/>
      <c r="M49" s="462"/>
      <c r="N49" s="461"/>
      <c r="O49" s="462"/>
      <c r="P49" s="2755"/>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5"/>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49"/>
      <c r="O74" s="2749"/>
      <c r="P74" s="2757"/>
      <c r="Q74" s="2734"/>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49"/>
      <c r="O76" s="2749"/>
      <c r="P76" s="2757"/>
      <c r="Q76" s="2734"/>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0"/>
      <c r="M4" s="2711"/>
      <c r="N4" s="2711"/>
      <c r="O4" s="2711"/>
      <c r="P4" s="3742" t="s">
        <v>1775</v>
      </c>
      <c r="Q4" s="3743"/>
      <c r="R4" s="3738" t="s">
        <v>1771</v>
      </c>
      <c r="S4" s="3739"/>
      <c r="T4" s="3738" t="s">
        <v>1772</v>
      </c>
      <c r="U4" s="3739"/>
      <c r="V4" s="3698" t="s">
        <v>1773</v>
      </c>
      <c r="W4" s="3698"/>
      <c r="X4" s="1351"/>
      <c r="Y4" s="3738" t="s">
        <v>1775</v>
      </c>
      <c r="Z4" s="3739"/>
      <c r="AA4" s="3737" t="s">
        <v>1771</v>
      </c>
      <c r="AB4" s="3665" t="s">
        <v>1772</v>
      </c>
      <c r="AC4" s="3737" t="s">
        <v>1773</v>
      </c>
    </row>
    <row r="5" spans="1:29" ht="15">
      <c r="A5" s="358"/>
      <c r="B5" s="359"/>
      <c r="C5" s="3675" t="s">
        <v>1673</v>
      </c>
      <c r="D5" s="3676"/>
      <c r="E5" s="3673" t="s">
        <v>1674</v>
      </c>
      <c r="F5" s="3674"/>
      <c r="G5" s="3675" t="s">
        <v>1675</v>
      </c>
      <c r="H5" s="3676"/>
      <c r="I5" s="3675" t="s">
        <v>1676</v>
      </c>
      <c r="J5" s="3676"/>
      <c r="K5" s="559"/>
      <c r="L5" s="2710"/>
      <c r="M5" s="2711"/>
      <c r="N5" s="2711"/>
      <c r="O5" s="2711"/>
      <c r="P5" s="3744"/>
      <c r="Q5" s="3692"/>
      <c r="R5" s="3671"/>
      <c r="S5" s="3672"/>
      <c r="T5" s="3671"/>
      <c r="U5" s="3672"/>
      <c r="V5" s="3698"/>
      <c r="W5" s="3698"/>
      <c r="X5" s="1351"/>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0"/>
      <c r="M6" s="2711"/>
      <c r="N6" s="2711"/>
      <c r="O6" s="2711"/>
      <c r="P6" s="3745"/>
      <c r="Q6" s="3694"/>
      <c r="R6" s="3671"/>
      <c r="S6" s="3672"/>
      <c r="T6" s="3695"/>
      <c r="U6" s="3696"/>
      <c r="V6" s="3698"/>
      <c r="W6" s="3698"/>
      <c r="X6" s="1351"/>
      <c r="Y6" s="3695"/>
      <c r="Z6" s="3696"/>
      <c r="AA6" s="3666"/>
      <c r="AB6" s="3666"/>
      <c r="AC6" s="3666"/>
    </row>
    <row r="7" spans="1:29" s="108" customFormat="1" ht="15.75" thickBot="1">
      <c r="A7" s="362" t="s">
        <v>1679</v>
      </c>
      <c r="B7" s="363"/>
      <c r="C7" s="364">
        <f>'数据-取费表'!B2</f>
        <v>45279</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667" t="s">
        <v>1680</v>
      </c>
      <c r="Q7" s="3700"/>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0" t="s">
        <v>1686</v>
      </c>
      <c r="Q9" s="1339"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10"/>
      <c r="Q10" s="1339"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0"/>
      <c r="Q11" s="1339">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0"/>
      <c r="Q12" s="1339">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10"/>
      <c r="Q13" s="1339">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3" t="s">
        <v>1691</v>
      </c>
      <c r="Q14" s="1348" t="str">
        <f t="shared" si="6"/>
        <v>交通便捷度</v>
      </c>
      <c r="R14" s="705" t="s">
        <v>14</v>
      </c>
      <c r="S14" s="706">
        <f t="shared" si="0"/>
        <v>100</v>
      </c>
      <c r="T14" s="705" t="s">
        <v>14</v>
      </c>
      <c r="U14" s="706">
        <f t="shared" si="1"/>
        <v>100</v>
      </c>
      <c r="V14" s="705" t="s">
        <v>14</v>
      </c>
      <c r="W14" s="706">
        <f t="shared" si="2"/>
        <v>100</v>
      </c>
      <c r="X14" s="1351"/>
      <c r="Y14" s="3703"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7"/>
      <c r="M15" s="2711"/>
      <c r="N15" s="2711"/>
      <c r="O15" s="2769"/>
      <c r="P15" s="3704"/>
      <c r="Q15" s="1348"/>
      <c r="R15" s="705"/>
      <c r="S15" s="706"/>
      <c r="T15" s="705"/>
      <c r="U15" s="706"/>
      <c r="V15" s="705"/>
      <c r="W15" s="706"/>
      <c r="X15" s="1351"/>
      <c r="Y15" s="3704"/>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4"/>
      <c r="Q16" s="1348" t="str">
        <f>B16</f>
        <v>公共配套设施</v>
      </c>
      <c r="R16" s="705" t="s">
        <v>14</v>
      </c>
      <c r="S16" s="706">
        <f>F16</f>
        <v>100</v>
      </c>
      <c r="T16" s="705" t="s">
        <v>14</v>
      </c>
      <c r="U16" s="706">
        <f>H16</f>
        <v>100</v>
      </c>
      <c r="V16" s="705" t="s">
        <v>14</v>
      </c>
      <c r="W16" s="706">
        <f>J16</f>
        <v>100</v>
      </c>
      <c r="X16" s="1351"/>
      <c r="Y16" s="3704"/>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7"/>
      <c r="M17" s="2711"/>
      <c r="N17" s="2711"/>
      <c r="O17" s="2769"/>
      <c r="P17" s="3704"/>
      <c r="Q17" s="1348"/>
      <c r="R17" s="705"/>
      <c r="S17" s="706"/>
      <c r="T17" s="705"/>
      <c r="U17" s="706"/>
      <c r="V17" s="705"/>
      <c r="W17" s="706"/>
      <c r="X17" s="1351"/>
      <c r="Y17" s="3704"/>
      <c r="Z17" s="1352"/>
      <c r="AA17" s="1349">
        <v>1</v>
      </c>
      <c r="AB17" s="1349">
        <v>1</v>
      </c>
      <c r="AC17" s="1349">
        <v>1</v>
      </c>
    </row>
    <row r="18" spans="1:29" ht="28.5">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4"/>
      <c r="Q18" s="1348" t="str">
        <f>B18</f>
        <v>基础设施水平</v>
      </c>
      <c r="R18" s="705" t="s">
        <v>14</v>
      </c>
      <c r="S18" s="706">
        <f>F18</f>
        <v>100</v>
      </c>
      <c r="T18" s="705" t="s">
        <v>14</v>
      </c>
      <c r="U18" s="706">
        <f>H18</f>
        <v>100</v>
      </c>
      <c r="V18" s="705" t="s">
        <v>14</v>
      </c>
      <c r="W18" s="706">
        <f>J18</f>
        <v>100</v>
      </c>
      <c r="X18" s="1351"/>
      <c r="Y18" s="3704"/>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7"/>
      <c r="M19" s="2711"/>
      <c r="N19" s="2711"/>
      <c r="O19" s="2769"/>
      <c r="P19" s="3704"/>
      <c r="Q19" s="1348"/>
      <c r="R19" s="705"/>
      <c r="S19" s="706"/>
      <c r="T19" s="705"/>
      <c r="U19" s="706"/>
      <c r="V19" s="705"/>
      <c r="W19" s="706"/>
      <c r="X19" s="1351"/>
      <c r="Y19" s="3704"/>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4"/>
      <c r="Q20" s="1348" t="str">
        <f>B20</f>
        <v>自然及人文环境</v>
      </c>
      <c r="R20" s="705" t="s">
        <v>14</v>
      </c>
      <c r="S20" s="706">
        <f>F20</f>
        <v>100</v>
      </c>
      <c r="T20" s="705" t="s">
        <v>14</v>
      </c>
      <c r="U20" s="706">
        <f>H20</f>
        <v>100</v>
      </c>
      <c r="V20" s="705" t="s">
        <v>14</v>
      </c>
      <c r="W20" s="706">
        <f>J20</f>
        <v>100</v>
      </c>
      <c r="X20" s="1351"/>
      <c r="Y20" s="3704"/>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7"/>
      <c r="M21" s="2711"/>
      <c r="N21" s="2711"/>
      <c r="O21" s="2769"/>
      <c r="P21" s="3704"/>
      <c r="Q21" s="1348"/>
      <c r="R21" s="705"/>
      <c r="S21" s="706"/>
      <c r="T21" s="705"/>
      <c r="U21" s="706"/>
      <c r="V21" s="705"/>
      <c r="W21" s="706"/>
      <c r="X21" s="1351"/>
      <c r="Y21" s="3704"/>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4"/>
      <c r="Q22" s="1348" t="str">
        <f>B22</f>
        <v>楼层</v>
      </c>
      <c r="R22" s="705" t="s">
        <v>14</v>
      </c>
      <c r="S22" s="706">
        <f>F22</f>
        <v>100</v>
      </c>
      <c r="T22" s="705" t="s">
        <v>14</v>
      </c>
      <c r="U22" s="706">
        <f>H22</f>
        <v>100</v>
      </c>
      <c r="V22" s="705" t="s">
        <v>14</v>
      </c>
      <c r="W22" s="706">
        <f>J22</f>
        <v>100</v>
      </c>
      <c r="X22" s="1351"/>
      <c r="Y22" s="3704"/>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4"/>
      <c r="Q23" s="1348">
        <f>B23</f>
        <v>111</v>
      </c>
      <c r="R23" s="705" t="s">
        <v>14</v>
      </c>
      <c r="S23" s="706">
        <f>F23</f>
        <v>100</v>
      </c>
      <c r="T23" s="705" t="s">
        <v>14</v>
      </c>
      <c r="U23" s="706">
        <f>H23</f>
        <v>100</v>
      </c>
      <c r="V23" s="705" t="s">
        <v>14</v>
      </c>
      <c r="W23" s="706">
        <f>J23</f>
        <v>100</v>
      </c>
      <c r="X23" s="1351"/>
      <c r="Y23" s="3704"/>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4"/>
      <c r="Q24" s="1348">
        <f t="shared" ref="Q24:Q34" si="11">B24</f>
        <v>111</v>
      </c>
      <c r="R24" s="705" t="s">
        <v>14</v>
      </c>
      <c r="S24" s="706">
        <f>F24</f>
        <v>100</v>
      </c>
      <c r="T24" s="705" t="s">
        <v>14</v>
      </c>
      <c r="U24" s="706">
        <f>H24</f>
        <v>100</v>
      </c>
      <c r="V24" s="705" t="s">
        <v>14</v>
      </c>
      <c r="W24" s="706">
        <f>J24</f>
        <v>100</v>
      </c>
      <c r="X24" s="1351"/>
      <c r="Y24" s="3704"/>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04"/>
      <c r="Q25" s="1339">
        <f t="shared" si="11"/>
        <v>111</v>
      </c>
      <c r="R25" s="701" t="s">
        <v>14</v>
      </c>
      <c r="S25" s="702">
        <f>F25</f>
        <v>100</v>
      </c>
      <c r="T25" s="701" t="s">
        <v>14</v>
      </c>
      <c r="U25" s="702">
        <f>H25</f>
        <v>100</v>
      </c>
      <c r="V25" s="701" t="s">
        <v>14</v>
      </c>
      <c r="W25" s="702">
        <f>J25</f>
        <v>100</v>
      </c>
      <c r="X25" s="703"/>
      <c r="Y25" s="3704"/>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7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08"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8"/>
      <c r="Q28" s="1348" t="str">
        <f t="shared" si="11"/>
        <v>物业等级</v>
      </c>
      <c r="R28" s="705" t="s">
        <v>14</v>
      </c>
      <c r="S28" s="706">
        <f t="shared" si="12"/>
        <v>100</v>
      </c>
      <c r="T28" s="705" t="s">
        <v>14</v>
      </c>
      <c r="U28" s="706">
        <f t="shared" si="13"/>
        <v>100</v>
      </c>
      <c r="V28" s="705" t="s">
        <v>14</v>
      </c>
      <c r="W28" s="706">
        <f t="shared" si="14"/>
        <v>100</v>
      </c>
      <c r="X28" s="1351"/>
      <c r="Y28" s="3708"/>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08"/>
      <c r="Q29" s="1348" t="str">
        <f t="shared" si="11"/>
        <v>有无电梯</v>
      </c>
      <c r="R29" s="705" t="s">
        <v>14</v>
      </c>
      <c r="S29" s="706">
        <f t="shared" si="12"/>
        <v>100</v>
      </c>
      <c r="T29" s="705" t="s">
        <v>14</v>
      </c>
      <c r="U29" s="706">
        <f t="shared" si="13"/>
        <v>100</v>
      </c>
      <c r="V29" s="705" t="s">
        <v>14</v>
      </c>
      <c r="W29" s="706">
        <f t="shared" si="14"/>
        <v>100</v>
      </c>
      <c r="X29" s="1351"/>
      <c r="Y29" s="3708"/>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8"/>
      <c r="Q30" s="1348" t="str">
        <f t="shared" si="11"/>
        <v>建筑面积</v>
      </c>
      <c r="R30" s="705" t="s">
        <v>14</v>
      </c>
      <c r="S30" s="706" t="e">
        <f t="shared" si="12"/>
        <v>#N/A</v>
      </c>
      <c r="T30" s="705" t="s">
        <v>14</v>
      </c>
      <c r="U30" s="706" t="e">
        <f t="shared" si="13"/>
        <v>#N/A</v>
      </c>
      <c r="V30" s="705" t="s">
        <v>14</v>
      </c>
      <c r="W30" s="706" t="e">
        <f t="shared" si="14"/>
        <v>#N/A</v>
      </c>
      <c r="X30" s="1351"/>
      <c r="Y30" s="3708"/>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08"/>
      <c r="Q31" s="1339"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8" t="s">
        <v>1696</v>
      </c>
      <c r="Q32" s="1348">
        <f t="shared" si="11"/>
        <v>111</v>
      </c>
      <c r="R32" s="705" t="s">
        <v>14</v>
      </c>
      <c r="S32" s="706">
        <f t="shared" si="12"/>
        <v>100</v>
      </c>
      <c r="T32" s="705" t="s">
        <v>14</v>
      </c>
      <c r="U32" s="706">
        <f t="shared" si="13"/>
        <v>100</v>
      </c>
      <c r="V32" s="705" t="s">
        <v>14</v>
      </c>
      <c r="W32" s="706">
        <f t="shared" si="14"/>
        <v>100</v>
      </c>
      <c r="X32" s="1351"/>
      <c r="Y32" s="3708"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8"/>
      <c r="Q33" s="1348">
        <f t="shared" si="11"/>
        <v>111</v>
      </c>
      <c r="R33" s="705" t="s">
        <v>14</v>
      </c>
      <c r="S33" s="706">
        <f t="shared" si="12"/>
        <v>100</v>
      </c>
      <c r="T33" s="705" t="s">
        <v>14</v>
      </c>
      <c r="U33" s="706">
        <f t="shared" si="13"/>
        <v>100</v>
      </c>
      <c r="V33" s="705" t="s">
        <v>14</v>
      </c>
      <c r="W33" s="706">
        <f t="shared" si="14"/>
        <v>100</v>
      </c>
      <c r="X33" s="1351"/>
      <c r="Y33" s="3708"/>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08"/>
      <c r="Q34" s="1348">
        <f t="shared" si="11"/>
        <v>111</v>
      </c>
      <c r="R34" s="705" t="s">
        <v>14</v>
      </c>
      <c r="S34" s="706">
        <f t="shared" si="12"/>
        <v>100</v>
      </c>
      <c r="T34" s="705" t="s">
        <v>14</v>
      </c>
      <c r="U34" s="706">
        <f t="shared" si="13"/>
        <v>100</v>
      </c>
      <c r="V34" s="705" t="s">
        <v>14</v>
      </c>
      <c r="W34" s="706">
        <f t="shared" si="14"/>
        <v>100</v>
      </c>
      <c r="X34" s="1351"/>
      <c r="Y34" s="3708"/>
      <c r="Z34" s="1352">
        <f t="shared" si="15"/>
        <v>111</v>
      </c>
      <c r="AA34" s="1349">
        <f t="shared" si="3"/>
        <v>1</v>
      </c>
      <c r="AB34" s="1349">
        <f t="shared" si="4"/>
        <v>1</v>
      </c>
      <c r="AC34" s="1349">
        <f t="shared" si="5"/>
        <v>1</v>
      </c>
    </row>
    <row r="35" spans="1:30" ht="15">
      <c r="A35" s="430" t="s">
        <v>1708</v>
      </c>
      <c r="B35" s="431"/>
      <c r="C35" s="1150" t="s">
        <v>0</v>
      </c>
      <c r="D35" s="1151"/>
      <c r="E35" s="1152"/>
      <c r="F35" s="1153"/>
      <c r="G35" s="1154"/>
      <c r="H35" s="1155"/>
      <c r="I35" s="1152"/>
      <c r="J35" s="1155"/>
      <c r="K35" s="714"/>
      <c r="L35" s="2719"/>
      <c r="M35" s="2720"/>
      <c r="N35" s="2711"/>
      <c r="O35" s="2720"/>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56" t="e">
        <f>R37</f>
        <v>#DIV/0!</v>
      </c>
      <c r="D36" s="2313" t="s">
        <v>2137</v>
      </c>
      <c r="E36" s="1157" t="e">
        <f>R36</f>
        <v>#DIV/0!</v>
      </c>
      <c r="F36" s="2314"/>
      <c r="G36" s="1156" t="e">
        <f>T36</f>
        <v>#DIV/0!</v>
      </c>
      <c r="H36" s="2314"/>
      <c r="I36" s="1157" t="e">
        <f>V36</f>
        <v>#DIV/0!</v>
      </c>
      <c r="J36" s="2314"/>
      <c r="K36" s="2316">
        <f>F36+H36+J36</f>
        <v>0</v>
      </c>
      <c r="L36" s="2719"/>
      <c r="M36" s="2720"/>
      <c r="N36" s="2711"/>
      <c r="O36" s="2720"/>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19"/>
      <c r="M37" s="2720"/>
      <c r="N37" s="2720"/>
      <c r="O37" s="2720"/>
      <c r="P37" s="3746" t="str">
        <f>A37</f>
        <v>估价对象XX用房的比较价值（楼面单价，元/平方米）</v>
      </c>
      <c r="Q37" s="3747"/>
      <c r="R37" s="3776" t="e">
        <f>IF(F1="售价",ROUND(IF(D36="简单平均",AVERAGE(R36:W36),R36*F36+T36*H36+V36*J36),0),ROUND(IF(D36="简单平均",AVERAGE(R36:V36),R36*F36+T36*H36+V36*J36),1))</f>
        <v>#DIV/0!</v>
      </c>
      <c r="S37" s="3776"/>
      <c r="T37" s="3776"/>
      <c r="U37" s="3776"/>
      <c r="V37" s="3776"/>
      <c r="W37" s="377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0" t="str">
        <f>YEAR(C7)&amp;"-"&amp;MONTH(C7)</f>
        <v>2023-12</v>
      </c>
      <c r="D46" s="1181">
        <f>EDATE(C46,-1)</f>
        <v>45231</v>
      </c>
      <c r="E46" s="1181">
        <f t="shared" ref="E46:O46" si="16">EDATE(D46,-1)</f>
        <v>45200</v>
      </c>
      <c r="F46" s="1181">
        <f t="shared" si="16"/>
        <v>45170</v>
      </c>
      <c r="G46" s="1181">
        <f t="shared" si="16"/>
        <v>45139</v>
      </c>
      <c r="H46" s="1181">
        <f t="shared" si="16"/>
        <v>45108</v>
      </c>
      <c r="I46" s="1181">
        <f t="shared" si="16"/>
        <v>45078</v>
      </c>
      <c r="J46" s="1181">
        <f t="shared" si="16"/>
        <v>45047</v>
      </c>
      <c r="K46" s="1181">
        <f t="shared" si="16"/>
        <v>45017</v>
      </c>
      <c r="L46" s="1181">
        <f t="shared" si="16"/>
        <v>44986</v>
      </c>
      <c r="M46" s="1181">
        <f t="shared" si="16"/>
        <v>44958</v>
      </c>
      <c r="N46" s="1181">
        <f t="shared" si="16"/>
        <v>44927</v>
      </c>
      <c r="O46" s="1181">
        <f t="shared" si="16"/>
        <v>44896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9">
        <v>100</v>
      </c>
      <c r="D47" s="461"/>
      <c r="E47" s="461"/>
      <c r="F47" s="461"/>
      <c r="G47" s="461"/>
      <c r="H47" s="461"/>
      <c r="I47" s="461"/>
      <c r="J47" s="461"/>
      <c r="K47" s="461"/>
      <c r="L47" s="461"/>
      <c r="M47" s="462"/>
      <c r="N47" s="461"/>
      <c r="O47" s="463"/>
      <c r="P47" s="2734"/>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49"/>
      <c r="O72" s="2749"/>
      <c r="P72" s="2773"/>
      <c r="Q72" s="2734"/>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49"/>
      <c r="O74" s="2749"/>
      <c r="P74" s="2773"/>
      <c r="Q74" s="2734"/>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0"/>
      <c r="M4" s="2711"/>
      <c r="N4" s="2711"/>
      <c r="O4" s="2711"/>
      <c r="P4" s="3742" t="s">
        <v>1775</v>
      </c>
      <c r="Q4" s="3743"/>
      <c r="R4" s="3738" t="s">
        <v>1771</v>
      </c>
      <c r="S4" s="3739"/>
      <c r="T4" s="3738" t="s">
        <v>1772</v>
      </c>
      <c r="U4" s="3739"/>
      <c r="V4" s="3698" t="s">
        <v>1773</v>
      </c>
      <c r="W4" s="3698"/>
      <c r="X4" s="1351"/>
      <c r="Y4" s="3738" t="s">
        <v>1775</v>
      </c>
      <c r="Z4" s="3739"/>
      <c r="AA4" s="3737" t="s">
        <v>1771</v>
      </c>
      <c r="AB4" s="3665" t="s">
        <v>1772</v>
      </c>
      <c r="AC4" s="3737" t="s">
        <v>1773</v>
      </c>
    </row>
    <row r="5" spans="1:30" ht="15">
      <c r="A5" s="358"/>
      <c r="B5" s="359"/>
      <c r="C5" s="3675" t="s">
        <v>1673</v>
      </c>
      <c r="D5" s="3676"/>
      <c r="E5" s="3673" t="s">
        <v>1674</v>
      </c>
      <c r="F5" s="3674"/>
      <c r="G5" s="3675" t="s">
        <v>1675</v>
      </c>
      <c r="H5" s="3676"/>
      <c r="I5" s="3675" t="s">
        <v>1676</v>
      </c>
      <c r="J5" s="3676"/>
      <c r="K5" s="559"/>
      <c r="L5" s="2710"/>
      <c r="M5" s="2711"/>
      <c r="N5" s="2711"/>
      <c r="O5" s="2711"/>
      <c r="P5" s="3744"/>
      <c r="Q5" s="3692"/>
      <c r="R5" s="3671"/>
      <c r="S5" s="3672"/>
      <c r="T5" s="3671"/>
      <c r="U5" s="3672"/>
      <c r="V5" s="3698"/>
      <c r="W5" s="3698"/>
      <c r="X5" s="1351"/>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0"/>
      <c r="M6" s="2711"/>
      <c r="N6" s="2711"/>
      <c r="O6" s="2711"/>
      <c r="P6" s="3745"/>
      <c r="Q6" s="3694"/>
      <c r="R6" s="3671"/>
      <c r="S6" s="3672"/>
      <c r="T6" s="3695"/>
      <c r="U6" s="3696"/>
      <c r="V6" s="3698"/>
      <c r="W6" s="3698"/>
      <c r="X6" s="1351"/>
      <c r="Y6" s="3695"/>
      <c r="Z6" s="3696"/>
      <c r="AA6" s="3666"/>
      <c r="AB6" s="3666"/>
      <c r="AC6" s="3666"/>
    </row>
    <row r="7" spans="1:30" s="108" customFormat="1" ht="15.75" thickBot="1">
      <c r="A7" s="362" t="s">
        <v>1679</v>
      </c>
      <c r="B7" s="363"/>
      <c r="C7" s="364">
        <f>'数据-取费表'!B2</f>
        <v>45279</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10" t="s">
        <v>1686</v>
      </c>
      <c r="Q9" s="1339"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4"/>
      <c r="M10" s="2715"/>
      <c r="N10" s="2715"/>
      <c r="O10" s="2768"/>
      <c r="P10" s="3710"/>
      <c r="Q10" s="1339" t="str">
        <f t="shared" si="6"/>
        <v>土地使用年限（年）</v>
      </c>
      <c r="R10" s="701" t="s">
        <v>14</v>
      </c>
      <c r="S10" s="702">
        <f t="shared" si="0"/>
        <v>119</v>
      </c>
      <c r="T10" s="701" t="s">
        <v>14</v>
      </c>
      <c r="U10" s="702">
        <f t="shared" si="1"/>
        <v>119</v>
      </c>
      <c r="V10" s="701" t="s">
        <v>14</v>
      </c>
      <c r="W10" s="702">
        <f t="shared" si="2"/>
        <v>119</v>
      </c>
      <c r="X10" s="703"/>
      <c r="Y10" s="364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0"/>
      <c r="Q11" s="1339"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0"/>
      <c r="Q12" s="1339"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0"/>
      <c r="Q13" s="1339">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0"/>
      <c r="Q14" s="1339">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03" t="s">
        <v>1691</v>
      </c>
      <c r="Q15" s="1348" t="str">
        <f t="shared" si="6"/>
        <v>居住社区成熟度</v>
      </c>
      <c r="R15" s="705" t="s">
        <v>14</v>
      </c>
      <c r="S15" s="706">
        <f t="shared" si="0"/>
        <v>100</v>
      </c>
      <c r="T15" s="705" t="s">
        <v>14</v>
      </c>
      <c r="U15" s="706">
        <f t="shared" si="1"/>
        <v>100</v>
      </c>
      <c r="V15" s="705" t="s">
        <v>14</v>
      </c>
      <c r="W15" s="706">
        <f t="shared" si="2"/>
        <v>100</v>
      </c>
      <c r="X15" s="1351"/>
      <c r="Y15" s="3703"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7"/>
      <c r="M16" s="2711"/>
      <c r="N16" s="2711"/>
      <c r="O16" s="2769"/>
      <c r="P16" s="3704"/>
      <c r="Q16" s="1348"/>
      <c r="R16" s="705"/>
      <c r="S16" s="706"/>
      <c r="T16" s="705"/>
      <c r="U16" s="706"/>
      <c r="V16" s="705"/>
      <c r="W16" s="706"/>
      <c r="X16" s="1351"/>
      <c r="Y16" s="3704"/>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04"/>
      <c r="Q17" s="1348" t="str">
        <f>B17</f>
        <v>商业繁华度</v>
      </c>
      <c r="R17" s="705" t="s">
        <v>14</v>
      </c>
      <c r="S17" s="706">
        <f>F17</f>
        <v>100</v>
      </c>
      <c r="T17" s="705" t="s">
        <v>14</v>
      </c>
      <c r="U17" s="706">
        <f>H17</f>
        <v>100</v>
      </c>
      <c r="V17" s="705" t="s">
        <v>14</v>
      </c>
      <c r="W17" s="706">
        <f>J17</f>
        <v>100</v>
      </c>
      <c r="X17" s="1351"/>
      <c r="Y17" s="3704"/>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7"/>
      <c r="M18" s="2711"/>
      <c r="N18" s="2711"/>
      <c r="O18" s="2769"/>
      <c r="P18" s="3704"/>
      <c r="Q18" s="1348"/>
      <c r="R18" s="705"/>
      <c r="S18" s="706"/>
      <c r="T18" s="705"/>
      <c r="U18" s="706"/>
      <c r="V18" s="705"/>
      <c r="W18" s="706"/>
      <c r="X18" s="1351"/>
      <c r="Y18" s="3704"/>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04"/>
      <c r="Q19" s="1348" t="str">
        <f>B19</f>
        <v>办公集聚程度</v>
      </c>
      <c r="R19" s="705" t="s">
        <v>14</v>
      </c>
      <c r="S19" s="706">
        <f>F19</f>
        <v>100</v>
      </c>
      <c r="T19" s="705" t="s">
        <v>14</v>
      </c>
      <c r="U19" s="706">
        <f>H19</f>
        <v>100</v>
      </c>
      <c r="V19" s="705" t="s">
        <v>14</v>
      </c>
      <c r="W19" s="706">
        <f>J19</f>
        <v>100</v>
      </c>
      <c r="X19" s="1351"/>
      <c r="Y19" s="3704"/>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7"/>
      <c r="M20" s="2711"/>
      <c r="N20" s="2711"/>
      <c r="O20" s="2769"/>
      <c r="P20" s="3704"/>
      <c r="Q20" s="1348"/>
      <c r="R20" s="705"/>
      <c r="S20" s="706"/>
      <c r="T20" s="705"/>
      <c r="U20" s="706"/>
      <c r="V20" s="705"/>
      <c r="W20" s="706"/>
      <c r="X20" s="1351"/>
      <c r="Y20" s="3704"/>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04"/>
      <c r="Q21" s="1348" t="str">
        <f>B21</f>
        <v>交通便捷度</v>
      </c>
      <c r="R21" s="705" t="s">
        <v>14</v>
      </c>
      <c r="S21" s="706">
        <f>F21</f>
        <v>100</v>
      </c>
      <c r="T21" s="705" t="s">
        <v>14</v>
      </c>
      <c r="U21" s="706">
        <f>H21</f>
        <v>100</v>
      </c>
      <c r="V21" s="705" t="s">
        <v>14</v>
      </c>
      <c r="W21" s="706">
        <f>J21</f>
        <v>100</v>
      </c>
      <c r="X21" s="1351"/>
      <c r="Y21" s="3704"/>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7"/>
      <c r="M22" s="2711"/>
      <c r="N22" s="2711"/>
      <c r="O22" s="2769"/>
      <c r="P22" s="3704"/>
      <c r="Q22" s="1348"/>
      <c r="R22" s="705"/>
      <c r="S22" s="706"/>
      <c r="T22" s="705"/>
      <c r="U22" s="706"/>
      <c r="V22" s="705"/>
      <c r="W22" s="706"/>
      <c r="X22" s="1351"/>
      <c r="Y22" s="3704"/>
      <c r="Z22" s="1352"/>
      <c r="AA22" s="1349">
        <v>1</v>
      </c>
      <c r="AB22" s="1349">
        <v>1</v>
      </c>
      <c r="AC22" s="1349">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04"/>
      <c r="Q23" s="1348" t="str">
        <f t="shared" ref="Q23:Q37" si="8">B23</f>
        <v>区域土地利用方向</v>
      </c>
      <c r="R23" s="705" t="s">
        <v>14</v>
      </c>
      <c r="S23" s="706">
        <f>F23</f>
        <v>100</v>
      </c>
      <c r="T23" s="705" t="s">
        <v>14</v>
      </c>
      <c r="U23" s="706">
        <f>H23</f>
        <v>100</v>
      </c>
      <c r="V23" s="705" t="s">
        <v>14</v>
      </c>
      <c r="W23" s="706">
        <f>J23</f>
        <v>100</v>
      </c>
      <c r="X23" s="1351"/>
      <c r="Y23" s="3704"/>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7"/>
      <c r="M24" s="2711"/>
      <c r="N24" s="2711"/>
      <c r="O24" s="2769"/>
      <c r="P24" s="3704"/>
      <c r="Q24" s="1348"/>
      <c r="R24" s="705"/>
      <c r="S24" s="706"/>
      <c r="T24" s="705"/>
      <c r="U24" s="706"/>
      <c r="V24" s="705"/>
      <c r="W24" s="706"/>
      <c r="X24" s="1351"/>
      <c r="Y24" s="3704"/>
      <c r="Z24" s="1352"/>
      <c r="AA24" s="1349"/>
      <c r="AB24" s="1349"/>
      <c r="AC24" s="1349"/>
    </row>
    <row r="25" spans="1:29" ht="57">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04"/>
      <c r="Q25" s="1348" t="str">
        <f t="shared" si="8"/>
        <v>自然及人文环境状况</v>
      </c>
      <c r="R25" s="705" t="s">
        <v>14</v>
      </c>
      <c r="S25" s="706">
        <f>F25</f>
        <v>100</v>
      </c>
      <c r="T25" s="705" t="s">
        <v>14</v>
      </c>
      <c r="U25" s="706">
        <f>H25</f>
        <v>100</v>
      </c>
      <c r="V25" s="705" t="s">
        <v>14</v>
      </c>
      <c r="W25" s="706">
        <f>J25</f>
        <v>100</v>
      </c>
      <c r="X25" s="1351"/>
      <c r="Y25" s="3704"/>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7"/>
      <c r="M26" s="2711"/>
      <c r="N26" s="2711"/>
      <c r="O26" s="2769"/>
      <c r="P26" s="3704"/>
      <c r="Q26" s="1348"/>
      <c r="R26" s="705"/>
      <c r="S26" s="706"/>
      <c r="T26" s="705"/>
      <c r="U26" s="706"/>
      <c r="V26" s="705"/>
      <c r="W26" s="706"/>
      <c r="X26" s="1351"/>
      <c r="Y26" s="3704"/>
      <c r="Z26" s="1352"/>
      <c r="AA26" s="1349">
        <v>1</v>
      </c>
      <c r="AB26" s="1349">
        <v>1</v>
      </c>
      <c r="AC26" s="1349">
        <v>1</v>
      </c>
    </row>
    <row r="27" spans="1:29" s="108" customFormat="1" ht="42.75">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04"/>
      <c r="Q27" s="1339" t="str">
        <f t="shared" si="8"/>
        <v>公共配套设施</v>
      </c>
      <c r="R27" s="701" t="s">
        <v>14</v>
      </c>
      <c r="S27" s="702">
        <f>F27</f>
        <v>100</v>
      </c>
      <c r="T27" s="701" t="s">
        <v>14</v>
      </c>
      <c r="U27" s="702">
        <f>H27</f>
        <v>100</v>
      </c>
      <c r="V27" s="701" t="s">
        <v>14</v>
      </c>
      <c r="W27" s="702">
        <f>J27</f>
        <v>100</v>
      </c>
      <c r="X27" s="703"/>
      <c r="Y27" s="3704"/>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2"/>
      <c r="M28" s="2713"/>
      <c r="N28" s="2713"/>
      <c r="O28" s="2767"/>
      <c r="P28" s="3704"/>
      <c r="Q28" s="1339"/>
      <c r="R28" s="701"/>
      <c r="S28" s="702"/>
      <c r="T28" s="701"/>
      <c r="U28" s="702"/>
      <c r="V28" s="701"/>
      <c r="W28" s="702"/>
      <c r="X28" s="703"/>
      <c r="Y28" s="3704"/>
      <c r="Z28" s="52"/>
      <c r="AA28" s="1349">
        <v>1</v>
      </c>
      <c r="AB28" s="1349">
        <v>1</v>
      </c>
      <c r="AC28" s="1349">
        <v>1</v>
      </c>
    </row>
    <row r="29" spans="1:29" s="108" customFormat="1" ht="28.5">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04"/>
      <c r="Q29" s="1339" t="str">
        <f t="shared" ref="Q29" si="9">B29</f>
        <v>基础设施水平</v>
      </c>
      <c r="R29" s="701" t="s">
        <v>14</v>
      </c>
      <c r="S29" s="702">
        <f>F29</f>
        <v>100</v>
      </c>
      <c r="T29" s="701" t="s">
        <v>14</v>
      </c>
      <c r="U29" s="702">
        <f>H29</f>
        <v>100</v>
      </c>
      <c r="V29" s="701" t="s">
        <v>14</v>
      </c>
      <c r="W29" s="702">
        <f>J29</f>
        <v>100</v>
      </c>
      <c r="X29" s="703"/>
      <c r="Y29" s="3704"/>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2"/>
      <c r="M30" s="2713"/>
      <c r="N30" s="2713"/>
      <c r="O30" s="2767"/>
      <c r="P30" s="3704"/>
      <c r="Q30" s="1339"/>
      <c r="R30" s="701"/>
      <c r="S30" s="702"/>
      <c r="T30" s="701"/>
      <c r="U30" s="702"/>
      <c r="V30" s="701"/>
      <c r="W30" s="702"/>
      <c r="X30" s="703"/>
      <c r="Y30" s="3704"/>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04"/>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04"/>
      <c r="Z31" s="1352" t="str">
        <f t="shared" ref="Z31:Z45" si="13">Q31</f>
        <v>临街状况</v>
      </c>
      <c r="AA31" s="1349">
        <f t="shared" si="3"/>
        <v>1</v>
      </c>
      <c r="AB31" s="1349">
        <f t="shared" si="4"/>
        <v>1</v>
      </c>
      <c r="AC31" s="1349">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04"/>
      <c r="Q32" s="1348" t="str">
        <f t="shared" si="8"/>
        <v>毗邻道路的类型与等级</v>
      </c>
      <c r="R32" s="705" t="s">
        <v>14</v>
      </c>
      <c r="S32" s="706">
        <f t="shared" si="10"/>
        <v>100</v>
      </c>
      <c r="T32" s="705" t="s">
        <v>14</v>
      </c>
      <c r="U32" s="706">
        <f t="shared" si="11"/>
        <v>100</v>
      </c>
      <c r="V32" s="705" t="s">
        <v>14</v>
      </c>
      <c r="W32" s="706">
        <f t="shared" si="12"/>
        <v>100</v>
      </c>
      <c r="X32" s="1351"/>
      <c r="Y32" s="3704"/>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7"/>
      <c r="M33" s="2711"/>
      <c r="N33" s="2711"/>
      <c r="O33" s="2769"/>
      <c r="P33" s="3704"/>
      <c r="Q33" s="1348"/>
      <c r="R33" s="705"/>
      <c r="S33" s="706"/>
      <c r="T33" s="705"/>
      <c r="U33" s="706"/>
      <c r="V33" s="705"/>
      <c r="W33" s="706"/>
      <c r="X33" s="1351"/>
      <c r="Y33" s="3704"/>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04"/>
      <c r="Q34" s="1348" t="str">
        <f t="shared" si="8"/>
        <v>土地级别</v>
      </c>
      <c r="R34" s="705" t="s">
        <v>14</v>
      </c>
      <c r="S34" s="706">
        <f t="shared" si="10"/>
        <v>100</v>
      </c>
      <c r="T34" s="705" t="s">
        <v>14</v>
      </c>
      <c r="U34" s="706">
        <f t="shared" si="11"/>
        <v>100</v>
      </c>
      <c r="V34" s="705" t="s">
        <v>14</v>
      </c>
      <c r="W34" s="706">
        <f t="shared" si="12"/>
        <v>100</v>
      </c>
      <c r="X34" s="1351"/>
      <c r="Y34" s="3704"/>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04"/>
      <c r="Q35" s="1348">
        <f t="shared" si="8"/>
        <v>111</v>
      </c>
      <c r="R35" s="705" t="s">
        <v>14</v>
      </c>
      <c r="S35" s="706">
        <f t="shared" si="10"/>
        <v>100</v>
      </c>
      <c r="T35" s="705" t="s">
        <v>14</v>
      </c>
      <c r="U35" s="706">
        <f t="shared" si="11"/>
        <v>100</v>
      </c>
      <c r="V35" s="705" t="s">
        <v>14</v>
      </c>
      <c r="W35" s="706">
        <f t="shared" si="12"/>
        <v>100</v>
      </c>
      <c r="X35" s="1351"/>
      <c r="Y35" s="3704"/>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5" t="s">
        <v>1696</v>
      </c>
      <c r="Q36" s="1348">
        <f t="shared" si="8"/>
        <v>111</v>
      </c>
      <c r="R36" s="705" t="s">
        <v>14</v>
      </c>
      <c r="S36" s="706">
        <f t="shared" si="10"/>
        <v>100</v>
      </c>
      <c r="T36" s="705" t="s">
        <v>14</v>
      </c>
      <c r="U36" s="706">
        <f t="shared" si="11"/>
        <v>100</v>
      </c>
      <c r="V36" s="705" t="s">
        <v>14</v>
      </c>
      <c r="W36" s="706">
        <f t="shared" si="12"/>
        <v>100</v>
      </c>
      <c r="X36" s="1351"/>
      <c r="Y36" s="3708" t="s">
        <v>1696</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08"/>
      <c r="Q37" s="1348">
        <f t="shared" si="8"/>
        <v>111</v>
      </c>
      <c r="R37" s="708" t="s">
        <v>14</v>
      </c>
      <c r="S37" s="709">
        <f t="shared" si="10"/>
        <v>100</v>
      </c>
      <c r="T37" s="708" t="s">
        <v>14</v>
      </c>
      <c r="U37" s="709">
        <f t="shared" si="11"/>
        <v>100</v>
      </c>
      <c r="V37" s="708" t="s">
        <v>14</v>
      </c>
      <c r="W37" s="709">
        <f t="shared" si="12"/>
        <v>100</v>
      </c>
      <c r="X37" s="710"/>
      <c r="Y37" s="3708"/>
      <c r="Z37" s="711">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08"/>
      <c r="Q38" s="1348" t="str">
        <f>B38</f>
        <v>宗地面积</v>
      </c>
      <c r="R38" s="705" t="s">
        <v>14</v>
      </c>
      <c r="S38" s="706" t="e">
        <f t="shared" si="10"/>
        <v>#N/A</v>
      </c>
      <c r="T38" s="705" t="s">
        <v>14</v>
      </c>
      <c r="U38" s="706" t="e">
        <f t="shared" si="11"/>
        <v>#N/A</v>
      </c>
      <c r="V38" s="705" t="s">
        <v>14</v>
      </c>
      <c r="W38" s="706" t="e">
        <f t="shared" si="12"/>
        <v>#N/A</v>
      </c>
      <c r="X38" s="1351"/>
      <c r="Y38" s="3708"/>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7"/>
      <c r="M39" s="2711"/>
      <c r="N39" s="2711"/>
      <c r="O39" s="2769"/>
      <c r="P39" s="3708"/>
      <c r="Q39" s="1348" t="str">
        <f t="shared" ref="Q39:Q45" si="14">B39</f>
        <v>宗地形状</v>
      </c>
      <c r="R39" s="705" t="s">
        <v>14</v>
      </c>
      <c r="S39" s="706">
        <f t="shared" si="10"/>
        <v>100</v>
      </c>
      <c r="T39" s="705" t="s">
        <v>14</v>
      </c>
      <c r="U39" s="706">
        <f t="shared" si="11"/>
        <v>100</v>
      </c>
      <c r="V39" s="705" t="s">
        <v>14</v>
      </c>
      <c r="W39" s="706">
        <f t="shared" si="12"/>
        <v>100</v>
      </c>
      <c r="X39" s="1351"/>
      <c r="Y39" s="3708"/>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08"/>
      <c r="Q40" s="1348" t="str">
        <f t="shared" si="14"/>
        <v>临街宽度及深度</v>
      </c>
      <c r="R40" s="705" t="s">
        <v>14</v>
      </c>
      <c r="S40" s="706">
        <f t="shared" si="10"/>
        <v>100</v>
      </c>
      <c r="T40" s="705" t="s">
        <v>14</v>
      </c>
      <c r="U40" s="706">
        <f t="shared" si="11"/>
        <v>100</v>
      </c>
      <c r="V40" s="705" t="s">
        <v>14</v>
      </c>
      <c r="W40" s="706">
        <f t="shared" si="12"/>
        <v>100</v>
      </c>
      <c r="X40" s="1351"/>
      <c r="Y40" s="3708"/>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08"/>
      <c r="Q41" s="1348"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7"/>
      <c r="M42" s="2711"/>
      <c r="N42" s="2711"/>
      <c r="O42" s="2769"/>
      <c r="P42" s="3708" t="s">
        <v>1696</v>
      </c>
      <c r="Q42" s="1348" t="str">
        <f t="shared" si="14"/>
        <v>工程地质条件</v>
      </c>
      <c r="R42" s="705" t="s">
        <v>14</v>
      </c>
      <c r="S42" s="706">
        <f t="shared" si="10"/>
        <v>100</v>
      </c>
      <c r="T42" s="705" t="s">
        <v>14</v>
      </c>
      <c r="U42" s="706">
        <f t="shared" si="11"/>
        <v>100</v>
      </c>
      <c r="V42" s="705" t="s">
        <v>14</v>
      </c>
      <c r="W42" s="706">
        <f t="shared" si="12"/>
        <v>100</v>
      </c>
      <c r="X42" s="1351"/>
      <c r="Y42" s="3708"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08"/>
      <c r="Q43" s="1348">
        <f t="shared" si="14"/>
        <v>111</v>
      </c>
      <c r="R43" s="705" t="s">
        <v>14</v>
      </c>
      <c r="S43" s="706">
        <f t="shared" si="10"/>
        <v>100</v>
      </c>
      <c r="T43" s="705" t="s">
        <v>14</v>
      </c>
      <c r="U43" s="706">
        <f t="shared" si="11"/>
        <v>100</v>
      </c>
      <c r="V43" s="705" t="s">
        <v>14</v>
      </c>
      <c r="W43" s="706">
        <f t="shared" si="12"/>
        <v>100</v>
      </c>
      <c r="X43" s="1351"/>
      <c r="Y43" s="3708"/>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08"/>
      <c r="Q44" s="1348">
        <f t="shared" si="14"/>
        <v>111</v>
      </c>
      <c r="R44" s="705" t="s">
        <v>14</v>
      </c>
      <c r="S44" s="706">
        <f t="shared" si="10"/>
        <v>100</v>
      </c>
      <c r="T44" s="705" t="s">
        <v>14</v>
      </c>
      <c r="U44" s="706">
        <f t="shared" si="11"/>
        <v>100</v>
      </c>
      <c r="V44" s="705" t="s">
        <v>14</v>
      </c>
      <c r="W44" s="706">
        <f t="shared" si="12"/>
        <v>100</v>
      </c>
      <c r="X44" s="1351"/>
      <c r="Y44" s="3708"/>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08"/>
      <c r="Q45" s="1348">
        <f t="shared" si="14"/>
        <v>111</v>
      </c>
      <c r="R45" s="708" t="s">
        <v>14</v>
      </c>
      <c r="S45" s="709">
        <f t="shared" si="10"/>
        <v>100</v>
      </c>
      <c r="T45" s="708" t="s">
        <v>14</v>
      </c>
      <c r="U45" s="709">
        <f t="shared" si="11"/>
        <v>100</v>
      </c>
      <c r="V45" s="708" t="s">
        <v>14</v>
      </c>
      <c r="W45" s="709">
        <f t="shared" si="12"/>
        <v>100</v>
      </c>
      <c r="X45" s="710"/>
      <c r="Y45" s="3708"/>
      <c r="Z45" s="711">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4"/>
      <c r="L46" s="2719"/>
      <c r="M46" s="2720"/>
      <c r="N46" s="2711"/>
      <c r="O46" s="2720"/>
      <c r="P46" s="3710" t="str">
        <f>A46</f>
        <v>成交单价</v>
      </c>
      <c r="Q46" s="3710"/>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3" t="s">
        <v>2137</v>
      </c>
      <c r="E47" s="440" t="e">
        <f>R47</f>
        <v>#DIV/0!</v>
      </c>
      <c r="F47" s="2314"/>
      <c r="G47" s="439" t="e">
        <f>T47</f>
        <v>#DIV/0!</v>
      </c>
      <c r="H47" s="2314"/>
      <c r="I47" s="440" t="e">
        <f>V47</f>
        <v>#DIV/0!</v>
      </c>
      <c r="J47" s="2314"/>
      <c r="K47" s="2316">
        <f>F47+H47+J47</f>
        <v>0</v>
      </c>
      <c r="L47" s="2719"/>
      <c r="M47" s="2720"/>
      <c r="N47" s="2720"/>
      <c r="O47" s="2720"/>
      <c r="P47" s="3710" t="str">
        <f>A47</f>
        <v>比较价值（元/平方米）</v>
      </c>
      <c r="Q47" s="3710"/>
      <c r="R47" s="3777" t="e">
        <f>ROUND(PRODUCT(R46,AA7:AA45),0)</f>
        <v>#DIV/0!</v>
      </c>
      <c r="S47" s="3777"/>
      <c r="T47" s="3777" t="e">
        <f>ROUND(PRODUCT(T46,AB7:AB45),0)</f>
        <v>#DIV/0!</v>
      </c>
      <c r="U47" s="3777"/>
      <c r="V47" s="3777" t="e">
        <f>ROUND(PRODUCT(V46,AC7:AC45),0)</f>
        <v>#DIV/0!</v>
      </c>
      <c r="W47" s="377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46" t="str">
        <f>A48</f>
        <v>估价对象XX用房的比较价值（楼面单价，元/平方米）</v>
      </c>
      <c r="Q48" s="3747"/>
      <c r="R48" s="3778" t="e">
        <f>ROUND(IF(D47="简单平均",AVERAGE(R47:W47),R47*F47+T47*H47+V47*J47),0)</f>
        <v>#DIV/0!</v>
      </c>
      <c r="S48" s="3778"/>
      <c r="T48" s="3778"/>
      <c r="U48" s="3778"/>
      <c r="V48" s="3778"/>
      <c r="W48" s="377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86" t="s">
        <v>1886</v>
      </c>
      <c r="G55" s="3685" t="s">
        <v>1887</v>
      </c>
      <c r="H55" s="3779"/>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0">
        <v>1</v>
      </c>
      <c r="E56" s="638">
        <f>'数据-汇总表'!E8+'数据-汇总表'!E9</f>
        <v>49634.25</v>
      </c>
      <c r="F56" s="882" t="e">
        <f t="shared" ref="F56:F64" si="15">ROUND(B56*E56/10000,0)</f>
        <v>#DIV/0!</v>
      </c>
      <c r="G56" s="3681"/>
      <c r="H56" s="3710"/>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0.7</v>
      </c>
      <c r="D57" s="941">
        <v>0.25</v>
      </c>
      <c r="E57" s="642"/>
      <c r="F57" s="882" t="e">
        <f t="shared" si="15"/>
        <v>#DIV/0!</v>
      </c>
      <c r="G57" s="3001" t="s">
        <v>1892</v>
      </c>
      <c r="H57" s="883" t="str">
        <f>项目基本情况!B37</f>
        <v>一级</v>
      </c>
      <c r="I57" s="887">
        <f>SUMIF(修正!A57:A68,H57,修正!B57:B68)</f>
        <v>0.7</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0.4</v>
      </c>
      <c r="D58" s="941">
        <v>0.25</v>
      </c>
      <c r="E58" s="642"/>
      <c r="F58" s="882" t="e">
        <f t="shared" si="15"/>
        <v>#DIV/0!</v>
      </c>
      <c r="G58" s="3002"/>
      <c r="H58" s="883" t="str">
        <f>项目基本情况!B37</f>
        <v>一级</v>
      </c>
      <c r="I58" s="887">
        <f>SUMIF(修正!A57:A68,H58,修正!C57:C68)</f>
        <v>0.4</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0.3</v>
      </c>
      <c r="D59" s="941">
        <v>0.25</v>
      </c>
      <c r="E59" s="642"/>
      <c r="F59" s="882" t="e">
        <f t="shared" si="15"/>
        <v>#DIV/0!</v>
      </c>
      <c r="G59" s="3002"/>
      <c r="H59" s="883" t="str">
        <f>项目基本情况!B37</f>
        <v>一级</v>
      </c>
      <c r="I59" s="887">
        <f>SUMIF(修正!A57:A68,H59,修正!D57:D68)</f>
        <v>0.3</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1">
        <v>0.25</v>
      </c>
      <c r="E61" s="217">
        <f>'数据-汇总表'!E12</f>
        <v>566.19000000000005</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1">
        <v>0.25</v>
      </c>
      <c r="E62" s="217">
        <f>'数据-汇总表'!E13</f>
        <v>12485.76</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0.2</v>
      </c>
      <c r="D63" s="941">
        <v>0.25</v>
      </c>
      <c r="E63" s="217">
        <f>'数据-汇总表'!E14</f>
        <v>0</v>
      </c>
      <c r="F63" s="882" t="e">
        <f t="shared" si="15"/>
        <v>#DIV/0!</v>
      </c>
      <c r="G63" s="1983" t="s">
        <v>1892</v>
      </c>
      <c r="H63" s="883" t="str">
        <f>项目基本情况!B37</f>
        <v>一级</v>
      </c>
      <c r="I63" s="887">
        <f>SUMIF(修正!A57:A68,H63,修正!G57:G68)</f>
        <v>0.2</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62686.200000000004</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5"/>
      <c r="C69" s="1178" t="str">
        <f>YEAR(C67)&amp;"-"&amp;ROUNDUP(MONTH(C67)/3,0)</f>
        <v>2023-4</v>
      </c>
      <c r="D69" s="1178" t="str">
        <f>YEAR(D67)&amp;"-"&amp;ROUNDUP(MONTH(D67)/3,0)</f>
        <v>2023-3</v>
      </c>
      <c r="E69" s="1178" t="str">
        <f t="shared" ref="E69:O69" si="19">YEAR(E67)&amp;"-"&amp;ROUNDUP(MONTH(E67)/3,0)</f>
        <v>2023-2</v>
      </c>
      <c r="F69" s="1178" t="str">
        <f t="shared" si="19"/>
        <v>2023-1</v>
      </c>
      <c r="G69" s="1178" t="str">
        <f t="shared" si="19"/>
        <v>2022-4</v>
      </c>
      <c r="H69" s="1178" t="str">
        <f t="shared" si="19"/>
        <v>2022-3</v>
      </c>
      <c r="I69" s="1178" t="str">
        <f t="shared" si="19"/>
        <v>2022-2</v>
      </c>
      <c r="J69" s="1178" t="str">
        <f t="shared" si="19"/>
        <v>2022-1</v>
      </c>
      <c r="K69" s="1178" t="str">
        <f t="shared" si="19"/>
        <v>2021-4</v>
      </c>
      <c r="L69" s="1178" t="str">
        <f t="shared" si="19"/>
        <v>2021-3</v>
      </c>
      <c r="M69" s="1178" t="str">
        <f t="shared" si="19"/>
        <v>2021-2</v>
      </c>
      <c r="N69" s="1178" t="str">
        <f t="shared" si="19"/>
        <v>2021-1</v>
      </c>
      <c r="O69" s="1178"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4"/>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39"/>
      <c r="P71" s="2734"/>
      <c r="Q71" s="2734"/>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0"/>
      <c r="M4" s="2711"/>
      <c r="N4" s="2711"/>
      <c r="O4" s="2711"/>
      <c r="P4" s="3742" t="s">
        <v>1775</v>
      </c>
      <c r="Q4" s="3743"/>
      <c r="R4" s="3738" t="s">
        <v>1771</v>
      </c>
      <c r="S4" s="3739"/>
      <c r="T4" s="3738" t="s">
        <v>1772</v>
      </c>
      <c r="U4" s="3739"/>
      <c r="V4" s="3698" t="s">
        <v>1773</v>
      </c>
      <c r="W4" s="3698"/>
      <c r="X4" s="1351"/>
      <c r="Y4" s="3738" t="s">
        <v>1775</v>
      </c>
      <c r="Z4" s="3739"/>
      <c r="AA4" s="3737" t="s">
        <v>1771</v>
      </c>
      <c r="AB4" s="3665" t="s">
        <v>1772</v>
      </c>
      <c r="AC4" s="3737" t="s">
        <v>1773</v>
      </c>
    </row>
    <row r="5" spans="1:29" ht="15">
      <c r="A5" s="358"/>
      <c r="B5" s="359"/>
      <c r="C5" s="3675" t="s">
        <v>1673</v>
      </c>
      <c r="D5" s="3676"/>
      <c r="E5" s="3673" t="s">
        <v>1674</v>
      </c>
      <c r="F5" s="3674"/>
      <c r="G5" s="3675" t="s">
        <v>1675</v>
      </c>
      <c r="H5" s="3676"/>
      <c r="I5" s="3675" t="s">
        <v>1676</v>
      </c>
      <c r="J5" s="3676"/>
      <c r="K5" s="559"/>
      <c r="L5" s="2710"/>
      <c r="M5" s="2711"/>
      <c r="N5" s="2711"/>
      <c r="O5" s="2711"/>
      <c r="P5" s="3744"/>
      <c r="Q5" s="3692"/>
      <c r="R5" s="3671"/>
      <c r="S5" s="3672"/>
      <c r="T5" s="3671"/>
      <c r="U5" s="3672"/>
      <c r="V5" s="3698"/>
      <c r="W5" s="3698"/>
      <c r="X5" s="1351"/>
      <c r="Y5" s="3671"/>
      <c r="Z5" s="3672"/>
      <c r="AA5" s="3665"/>
      <c r="AB5" s="3665"/>
      <c r="AC5" s="3665"/>
    </row>
    <row r="6" spans="1:29" ht="15.75" thickBot="1">
      <c r="A6" s="360"/>
      <c r="B6" s="361"/>
      <c r="C6" s="3780" t="s">
        <v>1919</v>
      </c>
      <c r="D6" s="3781"/>
      <c r="E6" s="3782" t="s">
        <v>1919</v>
      </c>
      <c r="F6" s="3783"/>
      <c r="G6" s="3780" t="s">
        <v>1919</v>
      </c>
      <c r="H6" s="3781"/>
      <c r="I6" s="3780" t="s">
        <v>1919</v>
      </c>
      <c r="J6" s="3781"/>
      <c r="K6" s="559" t="s">
        <v>1678</v>
      </c>
      <c r="L6" s="2710"/>
      <c r="M6" s="2711"/>
      <c r="N6" s="2711"/>
      <c r="O6" s="2711"/>
      <c r="P6" s="3745"/>
      <c r="Q6" s="3694"/>
      <c r="R6" s="3671"/>
      <c r="S6" s="3672"/>
      <c r="T6" s="3695"/>
      <c r="U6" s="3696"/>
      <c r="V6" s="3698"/>
      <c r="W6" s="3698"/>
      <c r="X6" s="1351"/>
      <c r="Y6" s="3695"/>
      <c r="Z6" s="3696"/>
      <c r="AA6" s="3666"/>
      <c r="AB6" s="3666"/>
      <c r="AC6" s="3666"/>
    </row>
    <row r="7" spans="1:29" s="108" customFormat="1" ht="15.75" thickBot="1">
      <c r="A7" s="362" t="s">
        <v>1679</v>
      </c>
      <c r="B7" s="363"/>
      <c r="C7" s="364">
        <f>'数据-取费表'!B2</f>
        <v>45279</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667" t="s">
        <v>1680</v>
      </c>
      <c r="Q7" s="3700"/>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10" t="s">
        <v>1686</v>
      </c>
      <c r="Q9" s="1339"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4"/>
      <c r="M10" s="2715"/>
      <c r="N10" s="2715"/>
      <c r="O10" s="2768"/>
      <c r="P10" s="3710"/>
      <c r="Q10" s="1339" t="str">
        <f t="shared" si="6"/>
        <v>土地使用年限（年）</v>
      </c>
      <c r="R10" s="701" t="s">
        <v>14</v>
      </c>
      <c r="S10" s="702">
        <f t="shared" si="0"/>
        <v>119</v>
      </c>
      <c r="T10" s="701" t="s">
        <v>14</v>
      </c>
      <c r="U10" s="702">
        <f t="shared" si="1"/>
        <v>119</v>
      </c>
      <c r="V10" s="701" t="s">
        <v>14</v>
      </c>
      <c r="W10" s="702">
        <f t="shared" si="2"/>
        <v>119</v>
      </c>
      <c r="X10" s="703"/>
      <c r="Y10" s="364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0"/>
      <c r="Q11" s="1339"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0"/>
      <c r="Q12" s="1339">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0"/>
      <c r="Q13" s="1339">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0"/>
      <c r="Q14" s="1339">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03" t="s">
        <v>1691</v>
      </c>
      <c r="Q15" s="1348" t="str">
        <f t="shared" si="6"/>
        <v>产业集聚程度</v>
      </c>
      <c r="R15" s="705" t="s">
        <v>14</v>
      </c>
      <c r="S15" s="706">
        <f t="shared" si="0"/>
        <v>100</v>
      </c>
      <c r="T15" s="705" t="s">
        <v>14</v>
      </c>
      <c r="U15" s="706">
        <f t="shared" si="1"/>
        <v>100</v>
      </c>
      <c r="V15" s="705" t="s">
        <v>14</v>
      </c>
      <c r="W15" s="706">
        <f t="shared" si="2"/>
        <v>100</v>
      </c>
      <c r="X15" s="1351"/>
      <c r="Y15" s="3703"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7"/>
      <c r="M16" s="2711"/>
      <c r="N16" s="2711"/>
      <c r="O16" s="2769"/>
      <c r="P16" s="3704"/>
      <c r="Q16" s="1348"/>
      <c r="R16" s="705"/>
      <c r="S16" s="706"/>
      <c r="T16" s="705"/>
      <c r="U16" s="706"/>
      <c r="V16" s="705"/>
      <c r="W16" s="706"/>
      <c r="X16" s="1351"/>
      <c r="Y16" s="3704"/>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04"/>
      <c r="Q17" s="1348" t="str">
        <f>B17</f>
        <v>交通便捷度</v>
      </c>
      <c r="R17" s="705" t="s">
        <v>14</v>
      </c>
      <c r="S17" s="706">
        <f>F17</f>
        <v>100</v>
      </c>
      <c r="T17" s="705" t="s">
        <v>14</v>
      </c>
      <c r="U17" s="706">
        <f>H17</f>
        <v>100</v>
      </c>
      <c r="V17" s="705" t="s">
        <v>14</v>
      </c>
      <c r="W17" s="706">
        <f>J17</f>
        <v>100</v>
      </c>
      <c r="X17" s="1351"/>
      <c r="Y17" s="3704"/>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7"/>
      <c r="M18" s="2711"/>
      <c r="N18" s="2711"/>
      <c r="O18" s="2769"/>
      <c r="P18" s="3704"/>
      <c r="Q18" s="1348"/>
      <c r="R18" s="705"/>
      <c r="S18" s="706"/>
      <c r="T18" s="705"/>
      <c r="U18" s="706"/>
      <c r="V18" s="705"/>
      <c r="W18" s="706"/>
      <c r="X18" s="1351"/>
      <c r="Y18" s="3704"/>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04"/>
      <c r="Q19" s="1348" t="str">
        <f t="shared" ref="Q19:Q33" si="8">B19</f>
        <v>区域土地利用方向</v>
      </c>
      <c r="R19" s="705" t="s">
        <v>14</v>
      </c>
      <c r="S19" s="706">
        <f>F19</f>
        <v>100</v>
      </c>
      <c r="T19" s="705" t="s">
        <v>14</v>
      </c>
      <c r="U19" s="706">
        <f>H19</f>
        <v>100</v>
      </c>
      <c r="V19" s="705" t="s">
        <v>14</v>
      </c>
      <c r="W19" s="706">
        <f>J19</f>
        <v>100</v>
      </c>
      <c r="X19" s="1351"/>
      <c r="Y19" s="3704"/>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7"/>
      <c r="M20" s="2711"/>
      <c r="N20" s="2711"/>
      <c r="O20" s="2769"/>
      <c r="P20" s="3704"/>
      <c r="Q20" s="1348"/>
      <c r="R20" s="705"/>
      <c r="S20" s="706"/>
      <c r="T20" s="705"/>
      <c r="U20" s="706"/>
      <c r="V20" s="705"/>
      <c r="W20" s="706"/>
      <c r="X20" s="1351"/>
      <c r="Y20" s="3704"/>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04"/>
      <c r="Q21" s="1348" t="str">
        <f t="shared" si="8"/>
        <v>环境状况</v>
      </c>
      <c r="R21" s="705" t="s">
        <v>14</v>
      </c>
      <c r="S21" s="706">
        <f>F21</f>
        <v>100</v>
      </c>
      <c r="T21" s="705" t="s">
        <v>14</v>
      </c>
      <c r="U21" s="706">
        <f>H21</f>
        <v>100</v>
      </c>
      <c r="V21" s="705" t="s">
        <v>14</v>
      </c>
      <c r="W21" s="706">
        <f>J21</f>
        <v>100</v>
      </c>
      <c r="X21" s="1351"/>
      <c r="Y21" s="3704"/>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7"/>
      <c r="M22" s="2711"/>
      <c r="N22" s="2711"/>
      <c r="O22" s="2769"/>
      <c r="P22" s="3704"/>
      <c r="Q22" s="1348"/>
      <c r="R22" s="705"/>
      <c r="S22" s="706"/>
      <c r="T22" s="705"/>
      <c r="U22" s="706"/>
      <c r="V22" s="705"/>
      <c r="W22" s="706"/>
      <c r="X22" s="1351"/>
      <c r="Y22" s="3704"/>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04"/>
      <c r="Q23" s="1339" t="str">
        <f t="shared" si="8"/>
        <v>公共配套设施</v>
      </c>
      <c r="R23" s="701" t="s">
        <v>14</v>
      </c>
      <c r="S23" s="702">
        <f>F23</f>
        <v>100</v>
      </c>
      <c r="T23" s="701" t="s">
        <v>14</v>
      </c>
      <c r="U23" s="702">
        <f>H23</f>
        <v>100</v>
      </c>
      <c r="V23" s="701" t="s">
        <v>14</v>
      </c>
      <c r="W23" s="702">
        <f>J23</f>
        <v>100</v>
      </c>
      <c r="X23" s="703"/>
      <c r="Y23" s="3704"/>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2"/>
      <c r="M24" s="2713"/>
      <c r="N24" s="2713"/>
      <c r="O24" s="2767"/>
      <c r="P24" s="3704"/>
      <c r="Q24" s="1339"/>
      <c r="R24" s="701"/>
      <c r="S24" s="702"/>
      <c r="T24" s="701"/>
      <c r="U24" s="702"/>
      <c r="V24" s="701"/>
      <c r="W24" s="702"/>
      <c r="X24" s="703"/>
      <c r="Y24" s="3704"/>
      <c r="Z24" s="52"/>
      <c r="AA24" s="704">
        <v>1</v>
      </c>
      <c r="AB24" s="704">
        <v>1</v>
      </c>
      <c r="AC24" s="704">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04"/>
      <c r="Q25" s="1339" t="str">
        <f t="shared" ref="Q25" si="9">B25</f>
        <v>基础设施水平</v>
      </c>
      <c r="R25" s="701" t="s">
        <v>14</v>
      </c>
      <c r="S25" s="702">
        <f>F25</f>
        <v>100</v>
      </c>
      <c r="T25" s="701" t="s">
        <v>14</v>
      </c>
      <c r="U25" s="702">
        <f>H25</f>
        <v>100</v>
      </c>
      <c r="V25" s="701" t="s">
        <v>14</v>
      </c>
      <c r="W25" s="702">
        <f>J25</f>
        <v>100</v>
      </c>
      <c r="X25" s="703"/>
      <c r="Y25" s="3704"/>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2"/>
      <c r="M26" s="2713"/>
      <c r="N26" s="2713"/>
      <c r="O26" s="2767"/>
      <c r="P26" s="3704"/>
      <c r="Q26" s="1339"/>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04"/>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04"/>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04"/>
      <c r="Q28" s="1348" t="str">
        <f t="shared" si="8"/>
        <v>毗邻道路的类型与等级</v>
      </c>
      <c r="R28" s="705" t="s">
        <v>14</v>
      </c>
      <c r="S28" s="706">
        <f t="shared" si="10"/>
        <v>100</v>
      </c>
      <c r="T28" s="705" t="s">
        <v>14</v>
      </c>
      <c r="U28" s="706">
        <f t="shared" si="11"/>
        <v>100</v>
      </c>
      <c r="V28" s="705" t="s">
        <v>14</v>
      </c>
      <c r="W28" s="706">
        <f t="shared" si="12"/>
        <v>100</v>
      </c>
      <c r="X28" s="1351"/>
      <c r="Y28" s="3704"/>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7"/>
      <c r="M29" s="2711"/>
      <c r="N29" s="2711"/>
      <c r="O29" s="2769"/>
      <c r="P29" s="3704"/>
      <c r="Q29" s="1348"/>
      <c r="R29" s="705"/>
      <c r="S29" s="706"/>
      <c r="T29" s="705"/>
      <c r="U29" s="706"/>
      <c r="V29" s="705"/>
      <c r="W29" s="706"/>
      <c r="X29" s="1351"/>
      <c r="Y29" s="3704"/>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04"/>
      <c r="Q30" s="1348" t="str">
        <f t="shared" si="8"/>
        <v>土地级别</v>
      </c>
      <c r="R30" s="705" t="s">
        <v>14</v>
      </c>
      <c r="S30" s="706">
        <f t="shared" si="10"/>
        <v>100</v>
      </c>
      <c r="T30" s="705" t="s">
        <v>14</v>
      </c>
      <c r="U30" s="706">
        <f t="shared" si="11"/>
        <v>100</v>
      </c>
      <c r="V30" s="705" t="s">
        <v>14</v>
      </c>
      <c r="W30" s="706">
        <f t="shared" si="12"/>
        <v>100</v>
      </c>
      <c r="X30" s="1351"/>
      <c r="Y30" s="3704"/>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4"/>
      <c r="Q31" s="1348">
        <f t="shared" si="8"/>
        <v>111</v>
      </c>
      <c r="R31" s="705" t="s">
        <v>14</v>
      </c>
      <c r="S31" s="706">
        <f t="shared" si="10"/>
        <v>100</v>
      </c>
      <c r="T31" s="705" t="s">
        <v>14</v>
      </c>
      <c r="U31" s="706">
        <f t="shared" si="11"/>
        <v>100</v>
      </c>
      <c r="V31" s="705" t="s">
        <v>14</v>
      </c>
      <c r="W31" s="706">
        <f t="shared" si="12"/>
        <v>100</v>
      </c>
      <c r="X31" s="1351"/>
      <c r="Y31" s="3704"/>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5" t="s">
        <v>1696</v>
      </c>
      <c r="Q32" s="1348">
        <f t="shared" si="8"/>
        <v>111</v>
      </c>
      <c r="R32" s="705" t="s">
        <v>14</v>
      </c>
      <c r="S32" s="706">
        <f t="shared" si="10"/>
        <v>100</v>
      </c>
      <c r="T32" s="705" t="s">
        <v>14</v>
      </c>
      <c r="U32" s="706">
        <f t="shared" si="11"/>
        <v>100</v>
      </c>
      <c r="V32" s="705" t="s">
        <v>14</v>
      </c>
      <c r="W32" s="706">
        <f t="shared" si="12"/>
        <v>100</v>
      </c>
      <c r="X32" s="1351"/>
      <c r="Y32" s="3708"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08"/>
      <c r="Q33" s="1348">
        <f t="shared" si="8"/>
        <v>111</v>
      </c>
      <c r="R33" s="708" t="s">
        <v>14</v>
      </c>
      <c r="S33" s="709">
        <f t="shared" si="10"/>
        <v>100</v>
      </c>
      <c r="T33" s="708" t="s">
        <v>14</v>
      </c>
      <c r="U33" s="709">
        <f t="shared" si="11"/>
        <v>100</v>
      </c>
      <c r="V33" s="708" t="s">
        <v>14</v>
      </c>
      <c r="W33" s="709">
        <f t="shared" si="12"/>
        <v>100</v>
      </c>
      <c r="X33" s="710"/>
      <c r="Y33" s="3708"/>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08"/>
      <c r="Q34" s="1348" t="str">
        <f>B34</f>
        <v>宗地面积</v>
      </c>
      <c r="R34" s="705" t="s">
        <v>14</v>
      </c>
      <c r="S34" s="706" t="e">
        <f t="shared" si="10"/>
        <v>#N/A</v>
      </c>
      <c r="T34" s="705" t="s">
        <v>14</v>
      </c>
      <c r="U34" s="706" t="e">
        <f t="shared" si="11"/>
        <v>#N/A</v>
      </c>
      <c r="V34" s="705" t="s">
        <v>14</v>
      </c>
      <c r="W34" s="706" t="e">
        <f t="shared" si="12"/>
        <v>#N/A</v>
      </c>
      <c r="X34" s="1351"/>
      <c r="Y34" s="3708"/>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08"/>
      <c r="Q35" s="1348" t="str">
        <f t="shared" ref="Q35:Q40" si="14">B35</f>
        <v>宗地形状</v>
      </c>
      <c r="R35" s="705" t="s">
        <v>14</v>
      </c>
      <c r="S35" s="706">
        <f t="shared" si="10"/>
        <v>100</v>
      </c>
      <c r="T35" s="705" t="s">
        <v>14</v>
      </c>
      <c r="U35" s="706">
        <f t="shared" si="11"/>
        <v>100</v>
      </c>
      <c r="V35" s="705" t="s">
        <v>14</v>
      </c>
      <c r="W35" s="706">
        <f t="shared" si="12"/>
        <v>100</v>
      </c>
      <c r="X35" s="1351"/>
      <c r="Y35" s="3708"/>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08"/>
      <c r="Q36" s="1348"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08" t="s">
        <v>1696</v>
      </c>
      <c r="Q37" s="1348" t="str">
        <f t="shared" si="14"/>
        <v>工程地质条件</v>
      </c>
      <c r="R37" s="705" t="s">
        <v>14</v>
      </c>
      <c r="S37" s="706">
        <f t="shared" si="10"/>
        <v>100</v>
      </c>
      <c r="T37" s="705" t="s">
        <v>14</v>
      </c>
      <c r="U37" s="706">
        <f t="shared" si="11"/>
        <v>100</v>
      </c>
      <c r="V37" s="705" t="s">
        <v>14</v>
      </c>
      <c r="W37" s="706">
        <f t="shared" si="12"/>
        <v>100</v>
      </c>
      <c r="X37" s="1351"/>
      <c r="Y37" s="3708"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08"/>
      <c r="Q38" s="1348">
        <f t="shared" si="14"/>
        <v>111</v>
      </c>
      <c r="R38" s="705" t="s">
        <v>14</v>
      </c>
      <c r="S38" s="706">
        <f t="shared" si="10"/>
        <v>100</v>
      </c>
      <c r="T38" s="705" t="s">
        <v>14</v>
      </c>
      <c r="U38" s="706">
        <f t="shared" si="11"/>
        <v>100</v>
      </c>
      <c r="V38" s="705" t="s">
        <v>14</v>
      </c>
      <c r="W38" s="706">
        <f t="shared" si="12"/>
        <v>100</v>
      </c>
      <c r="X38" s="1351"/>
      <c r="Y38" s="3708"/>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08"/>
      <c r="Q39" s="1348">
        <f t="shared" si="14"/>
        <v>111</v>
      </c>
      <c r="R39" s="705" t="s">
        <v>14</v>
      </c>
      <c r="S39" s="706">
        <f t="shared" si="10"/>
        <v>100</v>
      </c>
      <c r="T39" s="705" t="s">
        <v>14</v>
      </c>
      <c r="U39" s="706">
        <f t="shared" si="11"/>
        <v>100</v>
      </c>
      <c r="V39" s="705" t="s">
        <v>14</v>
      </c>
      <c r="W39" s="706">
        <f t="shared" si="12"/>
        <v>100</v>
      </c>
      <c r="X39" s="1351"/>
      <c r="Y39" s="3708"/>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08"/>
      <c r="Q40" s="1348">
        <f t="shared" si="14"/>
        <v>111</v>
      </c>
      <c r="R40" s="708" t="s">
        <v>14</v>
      </c>
      <c r="S40" s="709">
        <f t="shared" si="10"/>
        <v>100</v>
      </c>
      <c r="T40" s="708" t="s">
        <v>14</v>
      </c>
      <c r="U40" s="709">
        <f t="shared" si="11"/>
        <v>100</v>
      </c>
      <c r="V40" s="708" t="s">
        <v>14</v>
      </c>
      <c r="W40" s="709">
        <f t="shared" si="12"/>
        <v>100</v>
      </c>
      <c r="X40" s="710"/>
      <c r="Y40" s="3708"/>
      <c r="Z40" s="711">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4"/>
      <c r="L41" s="2719"/>
      <c r="M41" s="2711"/>
      <c r="N41" s="2711"/>
      <c r="O41" s="2720"/>
      <c r="P41" s="3710" t="str">
        <f>A41</f>
        <v>成交单价</v>
      </c>
      <c r="Q41" s="3710"/>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19"/>
      <c r="M42" s="2711"/>
      <c r="N42" s="2711"/>
      <c r="O42" s="2720"/>
      <c r="P42" s="3710" t="str">
        <f>A42</f>
        <v>比较价值（元/平方米）</v>
      </c>
      <c r="Q42" s="3710"/>
      <c r="R42" s="3777" t="e">
        <f>ROUND(PRODUCT(R41,AA7:AA40),0)</f>
        <v>#DIV/0!</v>
      </c>
      <c r="S42" s="3777"/>
      <c r="T42" s="3777" t="e">
        <f>ROUND(PRODUCT(T41,AB7:AB40),0)</f>
        <v>#DIV/0!</v>
      </c>
      <c r="U42" s="3777"/>
      <c r="V42" s="3777" t="e">
        <f>ROUND(PRODUCT(V41,AC7:AC40),0)</f>
        <v>#DIV/0!</v>
      </c>
      <c r="W42" s="377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46" t="str">
        <f>A43</f>
        <v>估价对象XX用房的比较价值（楼面单价，元/平方米）</v>
      </c>
      <c r="Q43" s="3747"/>
      <c r="R43" s="3778" t="e">
        <f>ROUND(IF(D42="简单平均",AVERAGE(R42:W42),R42*F42+T42*H42+V42*J42),0)</f>
        <v>#DIV/0!</v>
      </c>
      <c r="S43" s="3778"/>
      <c r="T43" s="3778"/>
      <c r="U43" s="3778"/>
      <c r="V43" s="3778"/>
      <c r="W43" s="377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685" t="s">
        <v>1887</v>
      </c>
      <c r="H50" s="3779"/>
      <c r="I50" s="1352" t="s">
        <v>1923</v>
      </c>
      <c r="J50" s="1352">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0">
        <v>1</v>
      </c>
      <c r="E51" s="638">
        <f>'数据-汇总表'!E8+'数据-汇总表'!E9</f>
        <v>49634.25</v>
      </c>
      <c r="F51" s="639" t="e">
        <f t="shared" ref="F51:F60" si="15">ROUND(B51*E51/10000,0)</f>
        <v>#DIV/0!</v>
      </c>
      <c r="G51" s="3681"/>
      <c r="H51" s="3710"/>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0.7</v>
      </c>
      <c r="D52" s="941">
        <v>0.25</v>
      </c>
      <c r="E52" s="642"/>
      <c r="F52" s="639" t="e">
        <f t="shared" si="15"/>
        <v>#DIV/0!</v>
      </c>
      <c r="G52" s="3001" t="s">
        <v>1892</v>
      </c>
      <c r="H52" s="883" t="str">
        <f>项目基本情况!B37</f>
        <v>一级</v>
      </c>
      <c r="I52" s="769">
        <f>SUMIF(修正!A57:A68,H52,修正!B57:B68)</f>
        <v>0.7</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0.4</v>
      </c>
      <c r="D53" s="941">
        <v>0.25</v>
      </c>
      <c r="E53" s="642"/>
      <c r="F53" s="639" t="e">
        <f t="shared" si="15"/>
        <v>#DIV/0!</v>
      </c>
      <c r="G53" s="3002"/>
      <c r="H53" s="883" t="str">
        <f>项目基本情况!B37</f>
        <v>一级</v>
      </c>
      <c r="I53" s="769">
        <f>SUMIF(修正!A57:A68,H53,修正!C57:C68)</f>
        <v>0.4</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0.3</v>
      </c>
      <c r="D54" s="941">
        <v>0.25</v>
      </c>
      <c r="E54" s="642"/>
      <c r="F54" s="639" t="e">
        <f t="shared" si="15"/>
        <v>#DIV/0!</v>
      </c>
      <c r="G54" s="3002"/>
      <c r="H54" s="883" t="str">
        <f>项目基本情况!B37</f>
        <v>一级</v>
      </c>
      <c r="I54" s="769">
        <f>SUMIF(修正!A57:A68,H54,修正!D57:D68)</f>
        <v>0.3</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1">
        <v>0.25</v>
      </c>
      <c r="E57" s="217">
        <f>'数据-汇总表'!E12</f>
        <v>566.19000000000005</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1">
        <v>0.25</v>
      </c>
      <c r="E58" s="217">
        <f>'数据-汇总表'!E13</f>
        <v>12485.76</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0.2</v>
      </c>
      <c r="D59" s="941">
        <v>0.25</v>
      </c>
      <c r="E59" s="217">
        <f>'数据-汇总表'!E14</f>
        <v>0</v>
      </c>
      <c r="F59" s="639" t="e">
        <f t="shared" si="15"/>
        <v>#DIV/0!</v>
      </c>
      <c r="G59" s="1983" t="s">
        <v>1892</v>
      </c>
      <c r="H59" s="883" t="str">
        <f>项目基本情况!B37</f>
        <v>一级</v>
      </c>
      <c r="I59" s="769">
        <f>SUMIF(修正!A57:A68,H59,修正!G57:G68)</f>
        <v>0.2</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9678.19</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5"/>
      <c r="C65" s="1178" t="str">
        <f>YEAR(C63)&amp;"-"&amp;ROUNDUP(MONTH(C63)/3,0)</f>
        <v>2023-4</v>
      </c>
      <c r="D65" s="1178" t="str">
        <f t="shared" ref="D65:O65" si="19">YEAR(D63)&amp;"-"&amp;ROUNDUP(MONTH(D63)/3,0)</f>
        <v>2023-3</v>
      </c>
      <c r="E65" s="1178" t="str">
        <f t="shared" si="19"/>
        <v>2023-2</v>
      </c>
      <c r="F65" s="1178" t="str">
        <f t="shared" si="19"/>
        <v>2023-1</v>
      </c>
      <c r="G65" s="1178" t="str">
        <f t="shared" si="19"/>
        <v>2022-4</v>
      </c>
      <c r="H65" s="1178" t="str">
        <f t="shared" si="19"/>
        <v>2022-3</v>
      </c>
      <c r="I65" s="1178" t="str">
        <f t="shared" si="19"/>
        <v>2022-2</v>
      </c>
      <c r="J65" s="1178" t="str">
        <f t="shared" si="19"/>
        <v>2022-1</v>
      </c>
      <c r="K65" s="1178" t="str">
        <f t="shared" si="19"/>
        <v>2021-4</v>
      </c>
      <c r="L65" s="1178" t="str">
        <f t="shared" si="19"/>
        <v>2021-3</v>
      </c>
      <c r="M65" s="1178" t="str">
        <f t="shared" si="19"/>
        <v>2021-2</v>
      </c>
      <c r="N65" s="1178" t="str">
        <f t="shared" si="19"/>
        <v>2021-1</v>
      </c>
      <c r="O65" s="1178"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4"/>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3466</v>
      </c>
      <c r="D1" s="1358" t="s">
        <v>43</v>
      </c>
      <c r="E1" s="1359" t="s">
        <v>678</v>
      </c>
      <c r="F1" s="1058" t="e">
        <f ca="1">J53</f>
        <v>#N/A</v>
      </c>
      <c r="G1" s="1374" t="e">
        <f>MATCH(C1,'数据-取费表'!A6:A16,0)+5</f>
        <v>#N/A</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0" t="e">
        <f ca="1">ROUND(D2/10000,4)</f>
        <v>#N/A</v>
      </c>
      <c r="C2" s="1383" t="s">
        <v>879</v>
      </c>
      <c r="D2" s="1467" t="e">
        <f ca="1">C40+J29+L46</f>
        <v>#N/A</v>
      </c>
      <c r="E2" s="1384" t="s">
        <v>880</v>
      </c>
      <c r="F2" s="1385"/>
      <c r="G2" s="2701"/>
      <c r="H2" s="2690"/>
      <c r="I2" s="2690"/>
      <c r="J2" s="2690"/>
      <c r="K2" s="2691"/>
      <c r="L2" s="2690"/>
      <c r="M2" s="2690"/>
    </row>
    <row r="3" spans="1:37" ht="18" customHeight="1" thickBot="1">
      <c r="A3" s="1386" t="s">
        <v>881</v>
      </c>
      <c r="B3" s="1387">
        <f ca="1">IF(ISERROR(D2/F43),0,ROUND(D2/F43,0))</f>
        <v>0</v>
      </c>
      <c r="C3" s="1383" t="s">
        <v>882</v>
      </c>
      <c r="D3" s="1383"/>
      <c r="E3" s="1384"/>
      <c r="F3" s="1385"/>
      <c r="G3" s="2701"/>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t="e">
        <f ca="1">C6+C10+C12</f>
        <v>#N/A</v>
      </c>
      <c r="D5" s="1360" t="s">
        <v>889</v>
      </c>
      <c r="E5" s="1067"/>
      <c r="F5" s="1068"/>
      <c r="G5" s="1380"/>
      <c r="H5" s="299">
        <v>1</v>
      </c>
      <c r="I5" s="300" t="s">
        <v>888</v>
      </c>
      <c r="J5" s="1066" t="e">
        <f ca="1">J6+J10+J12</f>
        <v>#N/A</v>
      </c>
      <c r="K5" s="1360" t="s">
        <v>889</v>
      </c>
      <c r="L5" s="1067"/>
      <c r="M5" s="1068"/>
    </row>
    <row r="6" spans="1:37" ht="18" customHeight="1">
      <c r="A6" s="1065" t="s">
        <v>398</v>
      </c>
      <c r="B6" s="3772" t="s">
        <v>694</v>
      </c>
      <c r="C6" s="1070" t="e">
        <f ca="1">ROUND(F6*F8*F7*(1-F9),0)</f>
        <v>#N/A</v>
      </c>
      <c r="D6" s="155" t="s">
        <v>2105</v>
      </c>
      <c r="E6" s="302" t="s">
        <v>696</v>
      </c>
      <c r="F6" s="303" t="e">
        <f ca="1">INDIRECT("'数据-取费表'!u"&amp;$G$1)</f>
        <v>#N/A</v>
      </c>
      <c r="G6" s="1380"/>
      <c r="H6" s="1065" t="s">
        <v>398</v>
      </c>
      <c r="I6" s="3772" t="s">
        <v>694</v>
      </c>
      <c r="J6" s="301" t="e">
        <f ca="1">ROUND(M6*M8*M7*(1-M9),0)</f>
        <v>#N/A</v>
      </c>
      <c r="K6" s="1372" t="s">
        <v>2106</v>
      </c>
      <c r="L6" s="302" t="s">
        <v>696</v>
      </c>
      <c r="M6" s="303" t="e">
        <f ca="1">INDIRECT("'数据-取费表'!z"&amp;$G$1)</f>
        <v>#N/A</v>
      </c>
    </row>
    <row r="7" spans="1:37" ht="18" customHeight="1">
      <c r="A7" s="1069"/>
      <c r="B7" s="3773"/>
      <c r="C7" s="1071"/>
      <c r="D7" s="307"/>
      <c r="E7" s="1072" t="s">
        <v>697</v>
      </c>
      <c r="F7" s="303" t="e">
        <f ca="1">IF(INDIRECT("'数据-取费表'!ah"&amp;$G$1)="",INDIRECT("'数据-取费表'!k"&amp;$G$1),INDIRECT("'数据-取费表'!ah"&amp;$G$1))</f>
        <v>#N/A</v>
      </c>
      <c r="G7" s="1380"/>
      <c r="H7" s="304"/>
      <c r="I7" s="3773"/>
      <c r="J7" s="306"/>
      <c r="K7" s="307"/>
      <c r="L7" s="302" t="s">
        <v>697</v>
      </c>
      <c r="M7" s="303" t="e">
        <f ca="1">F7</f>
        <v>#N/A</v>
      </c>
    </row>
    <row r="8" spans="1:37" ht="18" customHeight="1">
      <c r="A8" s="304"/>
      <c r="B8" s="3773"/>
      <c r="C8" s="306"/>
      <c r="D8" s="307"/>
      <c r="E8" s="302" t="s">
        <v>698</v>
      </c>
      <c r="F8" s="303" t="e">
        <f ca="1">INDIRECT("'数据-取费表'!ai"&amp;$G$1)</f>
        <v>#N/A</v>
      </c>
      <c r="G8" s="1380"/>
      <c r="H8" s="304"/>
      <c r="I8" s="3773"/>
      <c r="J8" s="306"/>
      <c r="K8" s="307"/>
      <c r="L8" s="302" t="s">
        <v>698</v>
      </c>
      <c r="M8" s="303" t="e">
        <f ca="1">INDIRECT("'数据-取费表'!ai"&amp;$G$1)</f>
        <v>#N/A</v>
      </c>
    </row>
    <row r="9" spans="1:37" ht="18" customHeight="1">
      <c r="A9" s="304"/>
      <c r="B9" s="3774"/>
      <c r="C9" s="306"/>
      <c r="D9" s="307"/>
      <c r="E9" s="302" t="s">
        <v>699</v>
      </c>
      <c r="F9" s="312" t="e">
        <f ca="1">INDIRECT("'数据-取费表'!w"&amp;$G$1)</f>
        <v>#N/A</v>
      </c>
      <c r="G9" s="1380"/>
      <c r="H9" s="304"/>
      <c r="I9" s="3774"/>
      <c r="J9" s="306"/>
      <c r="K9" s="307"/>
      <c r="L9" s="313" t="s">
        <v>699</v>
      </c>
      <c r="M9" s="314" t="e">
        <f ca="1">INDIRECT("'数据-取费表'!ab"&amp;$G$1)</f>
        <v>#N/A</v>
      </c>
    </row>
    <row r="10" spans="1:37" ht="18" customHeight="1">
      <c r="A10" s="1065" t="s">
        <v>402</v>
      </c>
      <c r="B10" s="1361" t="s">
        <v>700</v>
      </c>
      <c r="C10" s="316" t="e">
        <f ca="1">ROUND(IF(F10="押一",C6/12*F11,IF(F10="押二",C6/12*2*F11,IF(F10="押三",C6/12*3*F11,C11*F11))),0)</f>
        <v>#N/A</v>
      </c>
      <c r="D10" s="1362" t="s">
        <v>2115</v>
      </c>
      <c r="E10" s="313" t="s">
        <v>701</v>
      </c>
      <c r="F10" s="1112" t="s">
        <v>3400</v>
      </c>
      <c r="G10" s="1380"/>
      <c r="H10" s="1065" t="s">
        <v>402</v>
      </c>
      <c r="I10" s="1361" t="s">
        <v>700</v>
      </c>
      <c r="J10" s="301">
        <f ca="1">ROUND(IF(M10="押一",J6/12*M11,IF(M10="押二",J6/12*2*M11,IF(M10="押三",J6/12*3*M11,J11*M11))),0)</f>
        <v>0</v>
      </c>
      <c r="K10" s="1373" t="s">
        <v>2117</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t="e">
        <f ca="1">ROUND(C29*F13,0)</f>
        <v>#N/A</v>
      </c>
      <c r="D13" s="1077" t="s">
        <v>705</v>
      </c>
      <c r="E13" s="1077" t="s">
        <v>706</v>
      </c>
      <c r="F13" s="1078" t="e">
        <f ca="1">INDIRECT("'数据-取费表'!y"&amp;$G$1)</f>
        <v>#N/A</v>
      </c>
      <c r="G13" s="1380"/>
      <c r="H13" s="1075">
        <v>2</v>
      </c>
      <c r="I13" s="1076" t="s">
        <v>704</v>
      </c>
      <c r="J13" s="1064" t="e">
        <f ca="1">ROUND(J14*J15,0)</f>
        <v>#N/A</v>
      </c>
      <c r="K13" s="1083" t="s">
        <v>705</v>
      </c>
      <c r="L13" s="1388"/>
      <c r="M13" s="1389"/>
    </row>
    <row r="14" spans="1:37" ht="18" customHeight="1">
      <c r="A14" s="978" t="s">
        <v>397</v>
      </c>
      <c r="B14" s="302" t="s">
        <v>707</v>
      </c>
      <c r="C14" s="318" t="e">
        <f ca="1">ROUND(INDIRECT("'数据-取费表'!l"&amp;$G$1)*F43+'数据-取费表'!L14*INDIRECT("'数据-取费表'!S"&amp;$G$1),0)</f>
        <v>#N/A</v>
      </c>
      <c r="D14" s="1341" t="s">
        <v>708</v>
      </c>
      <c r="E14" s="1338"/>
      <c r="F14" s="319"/>
      <c r="G14" s="1380"/>
      <c r="H14" s="978" t="s">
        <v>398</v>
      </c>
      <c r="I14" s="302" t="s">
        <v>709</v>
      </c>
      <c r="J14" s="21" t="e">
        <f ca="1">C29</f>
        <v>#N/A</v>
      </c>
      <c r="K14" s="12"/>
      <c r="L14" s="803"/>
      <c r="M14" s="804"/>
    </row>
    <row r="15" spans="1:37" s="1393" customFormat="1" ht="18" customHeight="1" thickBot="1">
      <c r="A15" s="978" t="s">
        <v>399</v>
      </c>
      <c r="B15" s="302" t="s">
        <v>710</v>
      </c>
      <c r="C15" s="21" t="e">
        <f ca="1">ROUND(C14*F15,0)</f>
        <v>#N/A</v>
      </c>
      <c r="D15" s="320" t="s">
        <v>711</v>
      </c>
      <c r="E15" s="320" t="s">
        <v>712</v>
      </c>
      <c r="F15" s="321">
        <f>'数据-取费表'!B33</f>
        <v>0.03</v>
      </c>
      <c r="G15" s="1392"/>
      <c r="H15" s="1085" t="s">
        <v>402</v>
      </c>
      <c r="I15" s="1086" t="s">
        <v>706</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t="e">
        <f ca="1">ROUND(INDIRECT("'数据-取费表'!l"&amp;$G$1)*F43*F16,0)</f>
        <v>#N/A</v>
      </c>
      <c r="D16" s="302" t="s">
        <v>711</v>
      </c>
      <c r="E16" s="302" t="s">
        <v>712</v>
      </c>
      <c r="F16" s="322" t="e">
        <f ca="1">IF(INDIRECT("'数据-取费表'!c"&amp;$G$1)="住宅",'数据-取费表'!B34,0)</f>
        <v>#N/A</v>
      </c>
      <c r="G16" s="1380"/>
      <c r="H16" s="1075" t="s">
        <v>393</v>
      </c>
      <c r="I16" s="1076" t="s">
        <v>714</v>
      </c>
      <c r="J16" s="310" t="e">
        <f ca="1">ROUND(J17+J22+J23+J24,0)</f>
        <v>#N/A</v>
      </c>
      <c r="K16" s="1083" t="s">
        <v>715</v>
      </c>
      <c r="L16" s="1084"/>
      <c r="M16" s="1068"/>
    </row>
    <row r="17" spans="1:37" s="1393" customFormat="1" ht="18" customHeight="1">
      <c r="A17" s="978" t="s">
        <v>681</v>
      </c>
      <c r="B17" s="302" t="s">
        <v>716</v>
      </c>
      <c r="C17" s="21" t="e">
        <f ca="1">ROUND(F17*(F43+INDIRECT("'数据-取费表'!S"&amp;$G$1)),0)</f>
        <v>#N/A</v>
      </c>
      <c r="D17" s="302" t="s">
        <v>717</v>
      </c>
      <c r="E17" s="302" t="s">
        <v>718</v>
      </c>
      <c r="F17" s="23">
        <f>'数据-取费表'!B35</f>
        <v>200</v>
      </c>
      <c r="G17" s="1392"/>
      <c r="H17" s="978" t="s">
        <v>398</v>
      </c>
      <c r="I17" s="302" t="s">
        <v>719</v>
      </c>
      <c r="J17" s="2312" t="e">
        <f ca="1">ROUND(IF(AND(项目基本情况!B11="自然人",项目基本情况!B10="北京市"),J6*M17/(1+'数据-取费表'!C42),J18+J19+J20),0)</f>
        <v>#N/A</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t="e">
        <f ca="1">ROUND(C14*F18,0)</f>
        <v>#N/A</v>
      </c>
      <c r="D18" s="302" t="s">
        <v>711</v>
      </c>
      <c r="E18" s="302" t="s">
        <v>712</v>
      </c>
      <c r="F18" s="322">
        <f>'数据-取费表'!B36</f>
        <v>1.4999999999999999E-2</v>
      </c>
      <c r="G18" s="1392"/>
      <c r="H18" s="978" t="s">
        <v>397</v>
      </c>
      <c r="I18" s="302" t="s">
        <v>723</v>
      </c>
      <c r="J18" s="21" t="e">
        <f ca="1">ROUND(J6*M18/(1+'数据-取费表'!C42),0)</f>
        <v>#N/A</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t="e">
        <f ca="1">SUM(C14:C18)</f>
        <v>#N/A</v>
      </c>
      <c r="D19" s="131" t="s">
        <v>726</v>
      </c>
      <c r="E19" s="1356"/>
      <c r="F19" s="23"/>
      <c r="G19" s="1380"/>
      <c r="H19" s="978" t="s">
        <v>399</v>
      </c>
      <c r="I19" s="302" t="s">
        <v>727</v>
      </c>
      <c r="J19" s="21" t="e">
        <f ca="1">IF(K19="按租金收入计税",ROUND(J6*M19/(1+'数据-取费表'!C42),0),ROUND(C29*M19*0.7,0))</f>
        <v>#N/A</v>
      </c>
      <c r="K19" s="1366" t="s">
        <v>3337</v>
      </c>
      <c r="L19" s="302" t="s">
        <v>712</v>
      </c>
      <c r="M19" s="322">
        <f>IF(K19="按租金收入计税",'数据-取费表'!B51,'数据-取费表'!B50)</f>
        <v>0.12</v>
      </c>
    </row>
    <row r="20" spans="1:37" s="1393" customFormat="1" ht="18" customHeight="1">
      <c r="A20" s="978" t="s">
        <v>402</v>
      </c>
      <c r="B20" s="302" t="s">
        <v>728</v>
      </c>
      <c r="C20" s="21" t="e">
        <f ca="1">ROUND(C19*F20,0)</f>
        <v>#N/A</v>
      </c>
      <c r="D20" s="323" t="s">
        <v>729</v>
      </c>
      <c r="E20" s="302" t="s">
        <v>712</v>
      </c>
      <c r="F20" s="322">
        <f>'数据-取费表'!B37</f>
        <v>0.02</v>
      </c>
      <c r="G20" s="1392"/>
      <c r="H20" s="978" t="s">
        <v>680</v>
      </c>
      <c r="I20" s="155" t="s">
        <v>730</v>
      </c>
      <c r="J20" s="22" t="e">
        <f ca="1">ROUND(M20*M21,0)</f>
        <v>#N/A</v>
      </c>
      <c r="K20" s="324" t="s">
        <v>731</v>
      </c>
      <c r="L20" s="302" t="s">
        <v>732</v>
      </c>
      <c r="M20" s="325">
        <f>'数据-取费表'!B52</f>
        <v>30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t="e">
        <f ca="1">ROUND(J14*M22,0)</f>
        <v>#N/A</v>
      </c>
      <c r="K22" s="1340" t="s">
        <v>739</v>
      </c>
      <c r="L22" s="302" t="s">
        <v>712</v>
      </c>
      <c r="M22" s="328" t="e">
        <f ca="1">INDIRECT("'数据-取费表'!Ak"&amp;$G$1)</f>
        <v>#N/A</v>
      </c>
    </row>
    <row r="23" spans="1:37" s="1393" customFormat="1" ht="18" customHeight="1">
      <c r="A23" s="978"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t="e">
        <f ca="1">ROUND(J13*M23,0)</f>
        <v>#N/A</v>
      </c>
      <c r="K23" s="1340" t="s">
        <v>743</v>
      </c>
      <c r="L23" s="302" t="s">
        <v>744</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t="e">
        <f ca="1">ROUND(J5*M24,0)</f>
        <v>#N/A</v>
      </c>
      <c r="K24" s="1088" t="s">
        <v>748</v>
      </c>
      <c r="L24" s="1086" t="s">
        <v>744</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t="e">
        <f ca="1">J5-J16</f>
        <v>#N/A</v>
      </c>
      <c r="K25" s="1091" t="s">
        <v>753</v>
      </c>
      <c r="L25" s="1092"/>
      <c r="M25" s="1093"/>
    </row>
    <row r="26" spans="1:37" ht="18" customHeight="1">
      <c r="A26" s="978" t="s">
        <v>397</v>
      </c>
      <c r="B26" s="302" t="s">
        <v>754</v>
      </c>
      <c r="C26" s="21" t="e">
        <f ca="1">ROUND((C19+C20)*F26,0)</f>
        <v>#N/A</v>
      </c>
      <c r="D26" s="323" t="s">
        <v>755</v>
      </c>
      <c r="E26" s="313" t="s">
        <v>756</v>
      </c>
      <c r="F26" s="312" t="e">
        <f ca="1">INDIRECT("'数据-取费表'!q"&amp;$G$1)</f>
        <v>#N/A</v>
      </c>
      <c r="G26" s="1380"/>
      <c r="H26" s="299" t="s">
        <v>395</v>
      </c>
      <c r="I26" s="300" t="s">
        <v>757</v>
      </c>
      <c r="J26" s="301" t="e">
        <f ca="1">IF(J5&lt;&gt;0,ROUND(J25*(1-((1+M28)/(1+M26))^M27)/(M26-M28),0),0)</f>
        <v>#N/A</v>
      </c>
      <c r="K26" s="324" t="s">
        <v>758</v>
      </c>
      <c r="L26" s="302" t="s">
        <v>759</v>
      </c>
      <c r="M26" s="312" t="e">
        <f ca="1">INDIRECT("'数据-取费表'!I"&amp;$G$1)</f>
        <v>#N/A</v>
      </c>
    </row>
    <row r="27" spans="1:37" ht="18" customHeight="1">
      <c r="A27" s="978" t="s">
        <v>399</v>
      </c>
      <c r="B27" s="302" t="s">
        <v>760</v>
      </c>
      <c r="C27" s="21" t="e">
        <f ca="1">ROUND(F21*F26,4)</f>
        <v>#N/A</v>
      </c>
      <c r="D27" s="323" t="s">
        <v>761</v>
      </c>
      <c r="E27" s="320"/>
      <c r="F27" s="321"/>
      <c r="G27" s="1380"/>
      <c r="H27" s="304"/>
      <c r="I27" s="305"/>
      <c r="J27" s="306"/>
      <c r="K27" s="332" t="s">
        <v>762</v>
      </c>
      <c r="L27" s="302" t="s">
        <v>763</v>
      </c>
      <c r="M27" s="333" t="e">
        <f ca="1">INDIRECT("'数据-取费表'!ag"&amp;$G$1)</f>
        <v>#N/A</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t="e">
        <f ca="1">ROUND((C19+C20+C23+C26)/(1-F21-C24-C27-C28),0)</f>
        <v>#N/A</v>
      </c>
      <c r="D29" s="1088"/>
      <c r="E29" s="1086"/>
      <c r="F29" s="1089"/>
      <c r="G29" s="1392"/>
      <c r="H29" s="334" t="s">
        <v>396</v>
      </c>
      <c r="I29" s="335" t="s">
        <v>768</v>
      </c>
      <c r="J29" s="336" t="e">
        <f ca="1">ROUND(J26/(1+F40)^F41,0)</f>
        <v>#N/A</v>
      </c>
      <c r="K29" s="337" t="s">
        <v>769</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t="e">
        <f ca="1">ROUND(C31+C36+C37+C38,0)</f>
        <v>#N/A</v>
      </c>
      <c r="D30" s="1083" t="s">
        <v>715</v>
      </c>
      <c r="E30" s="1084"/>
      <c r="F30" s="1068"/>
      <c r="G30" s="1380"/>
      <c r="H30" s="2692"/>
      <c r="I30" s="1394"/>
      <c r="J30" s="1395"/>
      <c r="K30" s="2471"/>
      <c r="L30" s="2693"/>
      <c r="M30" s="2694"/>
    </row>
    <row r="31" spans="1:37" ht="18" customHeight="1">
      <c r="A31" s="978" t="s">
        <v>398</v>
      </c>
      <c r="B31" s="302" t="s">
        <v>719</v>
      </c>
      <c r="C31" s="2312" t="e">
        <f ca="1">ROUND(IF(AND(项目基本情况!B11="自然人",项目基本情况!B10="北京市"),C6*F31/(1+'数据-取费表'!C42),C32+C33+C34),0)</f>
        <v>#N/A</v>
      </c>
      <c r="D31" s="1341" t="s">
        <v>720</v>
      </c>
      <c r="E31" s="1340" t="s">
        <v>770</v>
      </c>
      <c r="F31" s="2311" t="str">
        <f>IF(项目基本情况!B11="企业","——",IF(M47="住宅",IF(F6*F7*F8/12/(1+'数据-取费表'!F30)&gt;100000,4%,2.5%),IF(F6*F7*F8/12/(1+'数据-取费表'!F30)&gt;100000,12%,7%)))</f>
        <v>——</v>
      </c>
      <c r="G31" s="1380"/>
      <c r="H31" s="2803" t="s">
        <v>2309</v>
      </c>
      <c r="I31" s="1394"/>
      <c r="J31" s="1395"/>
      <c r="K31" s="2471"/>
      <c r="L31" s="2693"/>
      <c r="M31" s="2694"/>
    </row>
    <row r="32" spans="1:37" ht="18" customHeight="1">
      <c r="A32" s="978" t="s">
        <v>397</v>
      </c>
      <c r="B32" s="302" t="s">
        <v>723</v>
      </c>
      <c r="C32" s="21" t="e">
        <f ca="1">IF(项目基本情况!B11="自然人","——",ROUND(C6*F32/(1+'数据-取费表'!C42),0))</f>
        <v>#N/A</v>
      </c>
      <c r="D32" s="1340" t="s">
        <v>724</v>
      </c>
      <c r="E32" s="302" t="s">
        <v>712</v>
      </c>
      <c r="F32" s="331">
        <f>'数据-取费表'!B41</f>
        <v>5.6000000000000001E-2</v>
      </c>
      <c r="G32" s="1380"/>
      <c r="H32" s="2692"/>
      <c r="I32" s="1394"/>
      <c r="J32" s="1395"/>
      <c r="K32" s="2471"/>
      <c r="L32" s="2693"/>
      <c r="M32" s="2694"/>
    </row>
    <row r="33" spans="1:18" ht="18" customHeight="1">
      <c r="A33" s="978" t="s">
        <v>399</v>
      </c>
      <c r="B33" s="302" t="s">
        <v>727</v>
      </c>
      <c r="C33" s="21" t="e">
        <f ca="1">IF(项目基本情况!B11="自然人","——",IF(D33="按租金收入计税",ROUND(C6*F33/(1+'数据-取费表'!C42),0),IF(D33="按房产原值计税",ROUND(C29*F33*0.7,0),INDIRECT("'数据-取费表'!Aj"&amp;$G$1))))</f>
        <v>#N/A</v>
      </c>
      <c r="D33" s="1366" t="s">
        <v>3337</v>
      </c>
      <c r="E33" s="302" t="s">
        <v>712</v>
      </c>
      <c r="F33" s="322">
        <f>IF(D33="按票据","——",IF(D33="按租金收入计税",'数据-取费表'!B51,'数据-取费表'!B50))</f>
        <v>0.12</v>
      </c>
      <c r="G33" s="1380"/>
      <c r="H33" s="2695"/>
      <c r="I33" s="1394"/>
      <c r="J33" s="1395"/>
      <c r="K33" s="2696"/>
      <c r="L33" s="2695"/>
      <c r="M33" s="2695"/>
    </row>
    <row r="34" spans="1:18" ht="18" customHeight="1">
      <c r="A34" s="1065" t="s">
        <v>680</v>
      </c>
      <c r="B34" s="155" t="s">
        <v>730</v>
      </c>
      <c r="C34" s="22" t="e">
        <f ca="1">IF(项目基本情况!B11="自然人","——",ROUND(F34*F35,0))</f>
        <v>#N/A</v>
      </c>
      <c r="D34" s="324" t="s">
        <v>731</v>
      </c>
      <c r="E34" s="302" t="s">
        <v>732</v>
      </c>
      <c r="F34" s="325">
        <f>'数据-取费表'!B52</f>
        <v>30</v>
      </c>
      <c r="G34" s="1380"/>
      <c r="H34" s="2692"/>
      <c r="I34" s="1394"/>
      <c r="J34" s="1395"/>
      <c r="K34" s="2697"/>
      <c r="L34" s="2698"/>
      <c r="M34" s="2698"/>
    </row>
    <row r="35" spans="1:18" ht="18" customHeight="1">
      <c r="A35" s="1099"/>
      <c r="B35" s="1097"/>
      <c r="C35" s="26"/>
      <c r="D35" s="327"/>
      <c r="E35" s="302" t="s">
        <v>736</v>
      </c>
      <c r="F35" s="303" t="e">
        <f ca="1">INDIRECT("'数据-取费表'!r"&amp;$G$1)</f>
        <v>#N/A</v>
      </c>
      <c r="G35" s="1380"/>
      <c r="H35" s="2692"/>
      <c r="I35" s="1394"/>
      <c r="J35" s="1395"/>
      <c r="K35" s="2696"/>
      <c r="L35" s="2695"/>
      <c r="M35" s="2695"/>
    </row>
    <row r="36" spans="1:18" ht="18" customHeight="1">
      <c r="A36" s="1098" t="s">
        <v>402</v>
      </c>
      <c r="B36" s="302" t="s">
        <v>738</v>
      </c>
      <c r="C36" s="21" t="e">
        <f ca="1">ROUND(C29*F36,0)</f>
        <v>#N/A</v>
      </c>
      <c r="D36" s="1340" t="s">
        <v>771</v>
      </c>
      <c r="E36" s="302" t="s">
        <v>712</v>
      </c>
      <c r="F36" s="328" t="e">
        <f ca="1">INDIRECT("'数据-取费表'!Ak"&amp;$G$1)</f>
        <v>#N/A</v>
      </c>
      <c r="G36" s="1380"/>
      <c r="H36" s="2695"/>
      <c r="I36" s="1394"/>
      <c r="J36" s="1395"/>
      <c r="K36" s="2540"/>
      <c r="L36" s="2695"/>
      <c r="M36" s="2695"/>
    </row>
    <row r="37" spans="1:18" ht="18" customHeight="1">
      <c r="A37" s="978" t="s">
        <v>437</v>
      </c>
      <c r="B37" s="302" t="s">
        <v>742</v>
      </c>
      <c r="C37" s="21" t="e">
        <f ca="1">ROUND(C13*F37,0)</f>
        <v>#N/A</v>
      </c>
      <c r="D37" s="1340" t="s">
        <v>743</v>
      </c>
      <c r="E37" s="302" t="s">
        <v>744</v>
      </c>
      <c r="F37" s="330" t="e">
        <f ca="1">INDIRECT("'数据-取费表'!Al"&amp;$G$1)</f>
        <v>#N/A</v>
      </c>
      <c r="G37" s="1380"/>
      <c r="H37" s="2695"/>
      <c r="I37" s="1394"/>
      <c r="J37" s="1395"/>
      <c r="K37" s="2540"/>
      <c r="L37" s="2695"/>
      <c r="M37" s="2695"/>
    </row>
    <row r="38" spans="1:18" ht="18" customHeight="1" thickBot="1">
      <c r="A38" s="1085" t="s">
        <v>684</v>
      </c>
      <c r="B38" s="1086" t="s">
        <v>728</v>
      </c>
      <c r="C38" s="1087" t="e">
        <f ca="1">ROUND(C5*F38,0)</f>
        <v>#N/A</v>
      </c>
      <c r="D38" s="1088" t="s">
        <v>748</v>
      </c>
      <c r="E38" s="1086" t="s">
        <v>744</v>
      </c>
      <c r="F38" s="1082" t="e">
        <f ca="1">INDIRECT("'数据-取费表'!Am"&amp;$G$1)</f>
        <v>#N/A</v>
      </c>
      <c r="G38" s="1380"/>
      <c r="H38" s="2695"/>
      <c r="I38" s="1394"/>
      <c r="J38" s="1395"/>
      <c r="K38" s="2699"/>
      <c r="L38" s="2695"/>
      <c r="M38" s="2695"/>
    </row>
    <row r="39" spans="1:18" ht="24.6" customHeight="1" thickTop="1">
      <c r="A39" s="1075" t="s">
        <v>394</v>
      </c>
      <c r="B39" s="1090" t="s">
        <v>772</v>
      </c>
      <c r="C39" s="310" t="e">
        <f ca="1">C5-C30</f>
        <v>#N/A</v>
      </c>
      <c r="D39" s="1091" t="s">
        <v>773</v>
      </c>
      <c r="E39" s="1092"/>
      <c r="F39" s="1093"/>
      <c r="G39" s="1380"/>
      <c r="H39" s="2695"/>
      <c r="I39" s="1394"/>
      <c r="J39" s="1395"/>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0"/>
      <c r="H40" s="1457"/>
      <c r="I40" s="1394"/>
      <c r="J40" s="1395"/>
      <c r="K40" s="2699"/>
      <c r="L40" s="1457"/>
      <c r="M40" s="1457"/>
    </row>
    <row r="41" spans="1:18" ht="18" customHeight="1">
      <c r="A41" s="304"/>
      <c r="B41" s="305"/>
      <c r="C41" s="306"/>
      <c r="D41" s="332" t="s">
        <v>775</v>
      </c>
      <c r="E41" s="302" t="s">
        <v>763</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766</v>
      </c>
      <c r="F42" s="312" t="e">
        <f ca="1">INDIRECT("'数据-取费表'!v"&amp;$G$1)</f>
        <v>#N/A</v>
      </c>
      <c r="G42" s="1380"/>
      <c r="H42" s="1187"/>
      <c r="I42" s="1394"/>
      <c r="J42" s="1395"/>
      <c r="K42" s="2540"/>
      <c r="L42" s="1187"/>
      <c r="M42" s="1187"/>
    </row>
    <row r="43" spans="1:18" ht="18" customHeight="1" thickBot="1">
      <c r="A43" s="334" t="s">
        <v>396</v>
      </c>
      <c r="B43" s="335" t="s">
        <v>776</v>
      </c>
      <c r="C43" s="336" t="e">
        <f ca="1">ROUND(C40/F43,0)</f>
        <v>#N/A</v>
      </c>
      <c r="D43" s="337" t="s">
        <v>777</v>
      </c>
      <c r="E43" s="338" t="s">
        <v>778</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5" t="s">
        <v>3353</v>
      </c>
      <c r="B45" s="1396"/>
      <c r="C45" s="1468" t="e">
        <f ca="1">ROUND((C68-C40)/10000,4)</f>
        <v>#N/A</v>
      </c>
      <c r="D45" s="3426" t="s">
        <v>3354</v>
      </c>
      <c r="E45" s="1396"/>
      <c r="F45" s="1396"/>
      <c r="O45" s="1399" t="s">
        <v>808</v>
      </c>
      <c r="P45" s="1457"/>
      <c r="Q45" s="1457"/>
      <c r="R45" s="1457"/>
    </row>
    <row r="46" spans="1:18" s="1380" customFormat="1" ht="13.5" thickBot="1">
      <c r="A46" s="1400" t="s">
        <v>809</v>
      </c>
      <c r="C46" s="1401" t="e">
        <f ca="1">ROUND(C45,0)</f>
        <v>#N/A</v>
      </c>
      <c r="D46" s="1402" t="str">
        <f>C2</f>
        <v>万元</v>
      </c>
      <c r="I46" s="1403" t="s">
        <v>810</v>
      </c>
      <c r="J46" s="1404"/>
      <c r="K46" s="1405"/>
      <c r="L46" s="1406" t="e">
        <f ca="1">IF(M47="住宅",0,IF(L48&gt;J51,L60,J60))</f>
        <v>#N/A</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3401</v>
      </c>
      <c r="K47" s="1412" t="s">
        <v>816</v>
      </c>
      <c r="L47" s="1413" t="e">
        <f ca="1">INDIRECT("'数据-取费表'!d"&amp;$G$1)</f>
        <v>#N/A</v>
      </c>
      <c r="M47" s="1376" t="str">
        <f>IF(ISNUMBER(FIND("住宅",C1)),"住宅","非住宅")</f>
        <v>非住宅</v>
      </c>
      <c r="O47" s="1414" t="s">
        <v>403</v>
      </c>
      <c r="P47" s="1415" t="s">
        <v>817</v>
      </c>
      <c r="Q47" s="1416" t="e">
        <f ca="1">C40+J29</f>
        <v>#N/A</v>
      </c>
      <c r="R47" s="1416" t="s">
        <v>818</v>
      </c>
    </row>
    <row r="48" spans="1:18" s="1380" customFormat="1" ht="28.5" thickBot="1">
      <c r="A48" s="1106" t="s">
        <v>438</v>
      </c>
      <c r="B48" s="300" t="s">
        <v>692</v>
      </c>
      <c r="C48" s="1355" t="e">
        <f ca="1">C49+C53+C55</f>
        <v>#N/A</v>
      </c>
      <c r="D48" s="1108"/>
      <c r="E48" s="1109"/>
      <c r="F48" s="958"/>
      <c r="G48" s="722"/>
      <c r="H48" s="723"/>
      <c r="I48" s="1417" t="s">
        <v>819</v>
      </c>
      <c r="J48" s="1418" t="s">
        <v>3402</v>
      </c>
      <c r="K48" s="1419" t="s">
        <v>820</v>
      </c>
      <c r="L48" s="1420" t="e">
        <f ca="1">INDIRECT("'数据-取费表'!f"&amp;$G$1)</f>
        <v>#N/A</v>
      </c>
      <c r="O48" s="1414" t="s">
        <v>404</v>
      </c>
      <c r="P48" s="1415" t="s">
        <v>821</v>
      </c>
      <c r="Q48" s="1416" t="e">
        <f ca="1">J60</f>
        <v>#N/A</v>
      </c>
      <c r="R48" s="1416" t="s">
        <v>822</v>
      </c>
    </row>
    <row r="49" spans="1:18" s="1380" customFormat="1" ht="13.5" thickBot="1">
      <c r="A49" s="971" t="s">
        <v>439</v>
      </c>
      <c r="B49" s="1367" t="s">
        <v>779</v>
      </c>
      <c r="C49" s="1110" t="e">
        <f ca="1">ROUND(F49*F51*F50*(1-F52),0)</f>
        <v>#N/A</v>
      </c>
      <c r="D49" s="1051" t="s">
        <v>695</v>
      </c>
      <c r="E49" s="1368" t="s">
        <v>780</v>
      </c>
      <c r="F49" s="1056"/>
      <c r="G49" s="1421"/>
      <c r="H49" s="723"/>
      <c r="I49" s="1417" t="s">
        <v>823</v>
      </c>
      <c r="J49" s="3465">
        <v>2007</v>
      </c>
      <c r="K49" s="1419" t="s">
        <v>824</v>
      </c>
      <c r="L49" s="1423"/>
      <c r="O49" s="1424" t="s">
        <v>405</v>
      </c>
      <c r="P49" s="1415" t="s">
        <v>825</v>
      </c>
      <c r="Q49" s="1416" t="e">
        <f ca="1">C29</f>
        <v>#N/A</v>
      </c>
      <c r="R49" s="1416" t="s">
        <v>818</v>
      </c>
    </row>
    <row r="50" spans="1:18" s="1380" customFormat="1" ht="13.5" thickBot="1">
      <c r="A50" s="972"/>
      <c r="B50" s="975"/>
      <c r="C50" s="976"/>
      <c r="D50" s="949"/>
      <c r="E50" s="1052" t="s">
        <v>697</v>
      </c>
      <c r="F50" s="1053" t="e">
        <f ca="1">F7</f>
        <v>#N/A</v>
      </c>
      <c r="H50" s="723"/>
      <c r="I50" s="1417" t="s">
        <v>826</v>
      </c>
      <c r="J50" s="1425">
        <f>SUMPRODUCT((I63:I65=J47)*(J62:L62=J48)*(J63:L65))</f>
        <v>60</v>
      </c>
      <c r="K50" s="1419" t="s">
        <v>827</v>
      </c>
      <c r="L50" s="1423"/>
      <c r="M50" s="1426"/>
      <c r="O50" s="1424" t="s">
        <v>406</v>
      </c>
      <c r="P50" s="1415" t="s">
        <v>828</v>
      </c>
      <c r="Q50" s="1427" t="e">
        <f ca="1">J58</f>
        <v>#N/A</v>
      </c>
      <c r="R50" s="1416"/>
    </row>
    <row r="51" spans="1:18" s="1380" customFormat="1" ht="13.5" thickBot="1">
      <c r="A51" s="973"/>
      <c r="B51" s="975"/>
      <c r="C51" s="976"/>
      <c r="D51" s="949"/>
      <c r="E51" s="977" t="s">
        <v>698</v>
      </c>
      <c r="F51" s="303" t="e">
        <f ca="1">F8</f>
        <v>#N/A</v>
      </c>
      <c r="I51" s="1428" t="s">
        <v>829</v>
      </c>
      <c r="J51" s="1429">
        <f>IF(J49="",J50,J49+J50-YEAR('数据-取费表'!B2))</f>
        <v>44</v>
      </c>
      <c r="K51" s="1430" t="s">
        <v>830</v>
      </c>
      <c r="L51" s="1431" t="e">
        <f ca="1">ROUND(-PV(INDIRECT("'数据-取费表'!h"&amp;$G$1),J51,(C39-C13*C76),0),0)</f>
        <v>#N/A</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t="e">
        <f ca="1">J53</f>
        <v>#N/A</v>
      </c>
      <c r="R52" s="1416" t="s">
        <v>835</v>
      </c>
    </row>
    <row r="53" spans="1:18" s="1380" customFormat="1" ht="30.75" customHeight="1" thickBot="1">
      <c r="A53" s="1107" t="s">
        <v>440</v>
      </c>
      <c r="B53" s="323" t="s">
        <v>700</v>
      </c>
      <c r="C53" s="316">
        <f ca="1">ROUND(IF(F53="押一",C49/12*F11,IF(F53="押二",C49/12*2*F11,IF(F53="押三",C49/12*3*F11,C54*F11))),0)</f>
        <v>0</v>
      </c>
      <c r="D53" s="1362" t="s">
        <v>2118</v>
      </c>
      <c r="E53" s="313" t="s">
        <v>701</v>
      </c>
      <c r="F53" s="1112"/>
      <c r="I53" s="1435" t="s">
        <v>836</v>
      </c>
      <c r="J53" s="2164" t="e">
        <f ca="1">IF(M47="住宅",IF(D1="——",MAX(J51,L48),MAX(J51,L48-'数据-取费表'!B24)),IF(D1="——",MIN(J51,L48),MIN(J51,L48-'数据-取费表'!B24)))</f>
        <v>#N/A</v>
      </c>
      <c r="K53" s="3770" t="s">
        <v>837</v>
      </c>
      <c r="L53" s="3771"/>
      <c r="O53" s="1414" t="s">
        <v>409</v>
      </c>
      <c r="P53" s="1415" t="s">
        <v>838</v>
      </c>
      <c r="Q53" s="1416" t="e">
        <f ca="1">Q47+Q48</f>
        <v>#N/A</v>
      </c>
      <c r="R53" s="1416" t="s">
        <v>410</v>
      </c>
    </row>
    <row r="54" spans="1:18" s="1380" customFormat="1" ht="13.5" thickBot="1">
      <c r="A54" s="971"/>
      <c r="B54" s="1469" t="s">
        <v>891</v>
      </c>
      <c r="C54" s="955"/>
      <c r="D54" s="1362"/>
      <c r="E54" s="1370"/>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#N/A</v>
      </c>
      <c r="K55" s="1441" t="s">
        <v>841</v>
      </c>
      <c r="L55" s="1442"/>
      <c r="O55" s="1407" t="s">
        <v>811</v>
      </c>
      <c r="P55" s="1408" t="s">
        <v>812</v>
      </c>
      <c r="Q55" s="1409" t="s">
        <v>813</v>
      </c>
      <c r="R55" s="1409" t="s">
        <v>814</v>
      </c>
    </row>
    <row r="56" spans="1:18" s="1380" customFormat="1" ht="36" customHeight="1" thickTop="1" thickBot="1">
      <c r="A56" s="953">
        <v>2</v>
      </c>
      <c r="B56" s="954" t="s">
        <v>704</v>
      </c>
      <c r="C56" s="232" t="e">
        <f ca="1">C13</f>
        <v>#N/A</v>
      </c>
      <c r="D56" s="1443"/>
      <c r="E56" s="1444"/>
      <c r="F56" s="1436"/>
      <c r="I56" s="1445" t="s">
        <v>842</v>
      </c>
      <c r="J56" s="1446" t="s">
        <v>3403</v>
      </c>
      <c r="K56" s="1417" t="s">
        <v>843</v>
      </c>
      <c r="L56" s="1420" t="e">
        <f ca="1">IF(L48&lt;J51,"——",L48-J51)</f>
        <v>#N/A</v>
      </c>
      <c r="O56" s="1414" t="s">
        <v>403</v>
      </c>
      <c r="P56" s="1415" t="s">
        <v>817</v>
      </c>
      <c r="Q56" s="1416" t="e">
        <f ca="1">C40+J29</f>
        <v>#N/A</v>
      </c>
      <c r="R56" s="1416" t="s">
        <v>818</v>
      </c>
    </row>
    <row r="57" spans="1:18" s="1380" customFormat="1" ht="24.75" thickBot="1">
      <c r="A57" s="1447"/>
      <c r="B57" s="946" t="s">
        <v>767</v>
      </c>
      <c r="C57" s="238" t="e">
        <f ca="1">C29</f>
        <v>#N/A</v>
      </c>
      <c r="D57" s="1448"/>
      <c r="E57" s="1449"/>
      <c r="F57" s="1450"/>
      <c r="I57" s="1451" t="s">
        <v>844</v>
      </c>
      <c r="J57" s="1452" t="e">
        <f ca="1">IF(OR(M47="住宅",J51&lt;L48,J56="是"),"——",J51-L48)</f>
        <v>#N/A</v>
      </c>
      <c r="K57" s="1417" t="s">
        <v>892</v>
      </c>
      <c r="L57" s="1420" t="e">
        <f ca="1">IF(L48&lt;J51,"——",IF(L55="比较法",L49,IF(L55="基准地价",L50,L51)))</f>
        <v>#N/A</v>
      </c>
      <c r="O57" s="1414" t="s">
        <v>404</v>
      </c>
      <c r="P57" s="1415" t="s">
        <v>893</v>
      </c>
      <c r="Q57" s="1416" t="e">
        <f ca="1">L60</f>
        <v>#N/A</v>
      </c>
      <c r="R57" s="1416" t="s">
        <v>894</v>
      </c>
    </row>
    <row r="58" spans="1:18" s="1380" customFormat="1" ht="24.75" thickBot="1">
      <c r="A58" s="315" t="s">
        <v>393</v>
      </c>
      <c r="B58" s="954" t="s">
        <v>714</v>
      </c>
      <c r="C58" s="316" t="e">
        <f ca="1">ROUND(C59+C64+C65+C66,0)</f>
        <v>#N/A</v>
      </c>
      <c r="D58" s="956" t="s">
        <v>715</v>
      </c>
      <c r="E58" s="957"/>
      <c r="F58" s="958"/>
      <c r="I58" s="1451" t="s">
        <v>848</v>
      </c>
      <c r="J58" s="1453" t="e">
        <f ca="1">IF(J55&lt;0.4,0.4,J55)</f>
        <v>#N/A</v>
      </c>
      <c r="K58" s="1430" t="s">
        <v>895</v>
      </c>
      <c r="L58" s="1420" t="e">
        <f ca="1">ROUND(POWER(1+L52,L47-L48)*(POWER(1+L52,L48)-1)/(POWER(1+L52,L47)-1),4)</f>
        <v>#N/A</v>
      </c>
      <c r="O58" s="1424" t="s">
        <v>405</v>
      </c>
      <c r="P58" s="1415" t="s">
        <v>850</v>
      </c>
      <c r="Q58" s="1416">
        <f>IF(L55="比较法",L49,IF(L55="基准地价",L50,0))</f>
        <v>0</v>
      </c>
      <c r="R58" s="1416" t="s">
        <v>818</v>
      </c>
    </row>
    <row r="59" spans="1:18" s="1380" customFormat="1" ht="24.75" thickBot="1">
      <c r="A59" s="978" t="s">
        <v>398</v>
      </c>
      <c r="B59" s="946" t="s">
        <v>719</v>
      </c>
      <c r="C59" s="2312" t="e">
        <f ca="1">ROUND(IF(AND(项目基本情况!B11="自然人",项目基本情况!B10="北京市"),C49*F59/(1+'数据-取费表'!C42),C60+C61+C62),0)</f>
        <v>#N/A</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4" t="s">
        <v>406</v>
      </c>
      <c r="P59" s="1415" t="s">
        <v>852</v>
      </c>
      <c r="Q59" s="1427">
        <f>L52</f>
        <v>0</v>
      </c>
      <c r="R59" s="1416"/>
    </row>
    <row r="60" spans="1:18" s="1380" customFormat="1" ht="16.5" thickBot="1">
      <c r="A60" s="978" t="s">
        <v>397</v>
      </c>
      <c r="B60" s="946" t="s">
        <v>723</v>
      </c>
      <c r="C60" s="21" t="e">
        <f ca="1">IF(项目基本情况!B11="自然人","——",ROUND(C48*F60/(1+'数据-取费表'!C42),0))</f>
        <v>#N/A</v>
      </c>
      <c r="D60" s="960" t="s">
        <v>724</v>
      </c>
      <c r="E60" s="946" t="s">
        <v>712</v>
      </c>
      <c r="F60" s="331">
        <f t="shared" ref="F60:F66" si="0">F32</f>
        <v>5.6000000000000001E-2</v>
      </c>
      <c r="I60" s="1454" t="s">
        <v>853</v>
      </c>
      <c r="J60" s="1455" t="e">
        <f ca="1">IF(OR(M47="住宅",J51&lt;L48,J56="是"),"0",ROUND(J59/(1+J52)^J53,0))</f>
        <v>#N/A</v>
      </c>
      <c r="K60" s="1456" t="s">
        <v>854</v>
      </c>
      <c r="L60" s="1455" t="e">
        <f ca="1">IF(OR(M47="住宅",L48&lt;J51),0,ROUND(L57*(L58/L59-1),0))</f>
        <v>#N/A</v>
      </c>
      <c r="O60" s="1424" t="s">
        <v>407</v>
      </c>
      <c r="P60" s="1415" t="s">
        <v>855</v>
      </c>
      <c r="Q60" s="1416" t="e">
        <f ca="1">L58</f>
        <v>#N/A</v>
      </c>
      <c r="R60" s="1416" t="s">
        <v>856</v>
      </c>
    </row>
    <row r="61" spans="1:18" s="1380" customFormat="1" ht="13.5" thickBot="1">
      <c r="A61" s="978" t="s">
        <v>781</v>
      </c>
      <c r="B61" s="946" t="s">
        <v>782</v>
      </c>
      <c r="C61" s="21" t="e">
        <f ca="1">IF(项目基本情况!B11="自然人","——",IF(D61="按租金收入计税",ROUND(C49*F61/(1+'数据-取费表'!C42),0),IF(D61="按房产原值计税",ROUND(C57*F61*0.7,0),INDIRECT("'数据-取费表'!Aj"&amp;$G$1))))</f>
        <v>#N/A</v>
      </c>
      <c r="D61" s="1366" t="s">
        <v>3337</v>
      </c>
      <c r="E61" s="946" t="s">
        <v>783</v>
      </c>
      <c r="F61" s="322">
        <f t="shared" si="0"/>
        <v>0.12</v>
      </c>
      <c r="I61" s="1457"/>
      <c r="J61" s="1457"/>
      <c r="K61" s="1457"/>
      <c r="L61" s="1457"/>
      <c r="O61" s="1424" t="s">
        <v>408</v>
      </c>
      <c r="P61" s="1415" t="str">
        <f>K59</f>
        <v>建筑物剩余耐用年限下的土地年期修正系数Kn</v>
      </c>
      <c r="Q61" s="1416" t="e">
        <f ca="1">L59</f>
        <v>#N/A</v>
      </c>
      <c r="R61" s="1416" t="s">
        <v>857</v>
      </c>
    </row>
    <row r="62" spans="1:18" s="1380" customFormat="1" ht="13.5" thickBot="1">
      <c r="A62" s="978" t="s">
        <v>784</v>
      </c>
      <c r="B62" s="945" t="s">
        <v>785</v>
      </c>
      <c r="C62" s="22" t="e">
        <f ca="1">IF(项目基本情况!B11="自然人","——",ROUND(F62*F63,0))</f>
        <v>#N/A</v>
      </c>
      <c r="D62" s="961" t="s">
        <v>786</v>
      </c>
      <c r="E62" s="946" t="s">
        <v>787</v>
      </c>
      <c r="F62" s="325">
        <f t="shared" si="0"/>
        <v>30</v>
      </c>
      <c r="I62" s="1458" t="s">
        <v>858</v>
      </c>
      <c r="J62" s="1459" t="s">
        <v>859</v>
      </c>
      <c r="K62" s="1459" t="s">
        <v>860</v>
      </c>
      <c r="L62" s="1459" t="s">
        <v>861</v>
      </c>
      <c r="M62" s="1460" t="s">
        <v>862</v>
      </c>
      <c r="O62" s="1414" t="s">
        <v>409</v>
      </c>
      <c r="P62" s="1415" t="s">
        <v>863</v>
      </c>
      <c r="Q62" s="1416" t="e">
        <f ca="1">Q56+Q57</f>
        <v>#N/A</v>
      </c>
      <c r="R62" s="1416" t="s">
        <v>410</v>
      </c>
    </row>
    <row r="63" spans="1:18" s="1380" customFormat="1" ht="13.5" thickBot="1">
      <c r="A63" s="326"/>
      <c r="B63" s="952"/>
      <c r="C63" s="26"/>
      <c r="D63" s="962"/>
      <c r="E63" s="946" t="s">
        <v>788</v>
      </c>
      <c r="F63" s="303" t="e">
        <f t="shared" ca="1" si="0"/>
        <v>#N/A</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t="e">
        <f ca="1">ROUND(C57*F64,0)</f>
        <v>#N/A</v>
      </c>
      <c r="D64" s="960" t="s">
        <v>791</v>
      </c>
      <c r="E64" s="946" t="s">
        <v>783</v>
      </c>
      <c r="F64" s="328" t="e">
        <f t="shared" ca="1" si="0"/>
        <v>#N/A</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t="e">
        <f ca="1">ROUND(C56*F65,0)</f>
        <v>#N/A</v>
      </c>
      <c r="D65" s="960" t="s">
        <v>743</v>
      </c>
      <c r="E65" s="946" t="s">
        <v>744</v>
      </c>
      <c r="F65" s="330" t="e">
        <f t="shared" ca="1" si="0"/>
        <v>#N/A</v>
      </c>
      <c r="I65" s="1458" t="s">
        <v>867</v>
      </c>
      <c r="J65" s="1459">
        <v>40</v>
      </c>
      <c r="K65" s="1459">
        <v>30</v>
      </c>
      <c r="L65" s="1459">
        <v>50</v>
      </c>
      <c r="M65" s="1461">
        <v>0.02</v>
      </c>
      <c r="O65" s="1414" t="s">
        <v>403</v>
      </c>
      <c r="P65" s="1415" t="s">
        <v>868</v>
      </c>
      <c r="Q65" s="1416" t="e">
        <f ca="1">C40+J29</f>
        <v>#N/A</v>
      </c>
      <c r="R65" s="1416" t="s">
        <v>818</v>
      </c>
    </row>
    <row r="66" spans="1:18" s="1380" customFormat="1" ht="16.5" thickBot="1">
      <c r="A66" s="978" t="s">
        <v>793</v>
      </c>
      <c r="B66" s="946" t="s">
        <v>728</v>
      </c>
      <c r="C66" s="21" t="e">
        <f ca="1">ROUND(C48*F66,0)</f>
        <v>#N/A</v>
      </c>
      <c r="D66" s="960" t="s">
        <v>794</v>
      </c>
      <c r="E66" s="946" t="s">
        <v>712</v>
      </c>
      <c r="F66" s="312" t="e">
        <f t="shared" ca="1" si="0"/>
        <v>#N/A</v>
      </c>
      <c r="O66" s="1414" t="s">
        <v>404</v>
      </c>
      <c r="P66" s="1415" t="s">
        <v>846</v>
      </c>
      <c r="Q66" s="1416" t="e">
        <f ca="1">L60</f>
        <v>#N/A</v>
      </c>
      <c r="R66" s="1416" t="s">
        <v>869</v>
      </c>
    </row>
    <row r="67" spans="1:18" s="1380" customFormat="1" ht="16.5" thickBot="1">
      <c r="A67" s="953" t="s">
        <v>394</v>
      </c>
      <c r="B67" s="963" t="s">
        <v>752</v>
      </c>
      <c r="C67" s="316" t="e">
        <f ca="1">C48-C58</f>
        <v>#N/A</v>
      </c>
      <c r="D67" s="959" t="s">
        <v>753</v>
      </c>
      <c r="E67" s="964"/>
      <c r="F67" s="965"/>
      <c r="O67" s="1424" t="s">
        <v>405</v>
      </c>
      <c r="P67" s="1415" t="s">
        <v>850</v>
      </c>
      <c r="Q67" s="1462" t="e">
        <f ca="1">L51</f>
        <v>#N/A</v>
      </c>
      <c r="R67" s="1416" t="s">
        <v>870</v>
      </c>
    </row>
    <row r="68" spans="1:18" s="1380" customFormat="1" ht="16.5" thickBot="1">
      <c r="A68" s="943" t="s">
        <v>395</v>
      </c>
      <c r="B68" s="944" t="s">
        <v>774</v>
      </c>
      <c r="C68" s="301" t="e">
        <f ca="1">ROUND(C67*(1-((1+F70)/(1+F68))^F69)/(F68-F70),0)</f>
        <v>#N/A</v>
      </c>
      <c r="D68" s="961" t="s">
        <v>758</v>
      </c>
      <c r="E68" s="946" t="s">
        <v>759</v>
      </c>
      <c r="F68" s="312" t="e">
        <f ca="1">F40</f>
        <v>#N/A</v>
      </c>
      <c r="O68" s="1424" t="s">
        <v>406</v>
      </c>
      <c r="P68" s="1463" t="s">
        <v>871</v>
      </c>
      <c r="Q68" s="1416" t="e">
        <f ca="1">ROUND(Q69-Q70*Q71,0)</f>
        <v>#N/A</v>
      </c>
      <c r="R68" s="1416" t="s">
        <v>414</v>
      </c>
    </row>
    <row r="69" spans="1:18" s="1380" customFormat="1" ht="13.5" thickBot="1">
      <c r="A69" s="947"/>
      <c r="B69" s="948"/>
      <c r="C69" s="306"/>
      <c r="D69" s="966" t="s">
        <v>762</v>
      </c>
      <c r="E69" s="946" t="s">
        <v>763</v>
      </c>
      <c r="F69" s="333" t="e">
        <f ca="1">F41</f>
        <v>#N/A</v>
      </c>
      <c r="O69" s="1424" t="s">
        <v>411</v>
      </c>
      <c r="P69" s="1463" t="s">
        <v>872</v>
      </c>
      <c r="Q69" s="1416" t="e">
        <f ca="1">C39</f>
        <v>#N/A</v>
      </c>
      <c r="R69" s="1416" t="s">
        <v>818</v>
      </c>
    </row>
    <row r="70" spans="1:18" s="1380" customFormat="1" ht="13.5" thickBot="1">
      <c r="A70" s="950"/>
      <c r="B70" s="951"/>
      <c r="C70" s="310"/>
      <c r="D70" s="962"/>
      <c r="E70" s="946" t="s">
        <v>766</v>
      </c>
      <c r="F70" s="1050"/>
      <c r="O70" s="1424" t="s">
        <v>412</v>
      </c>
      <c r="P70" s="1463" t="s">
        <v>873</v>
      </c>
      <c r="Q70" s="1416" t="e">
        <f ca="1">C13</f>
        <v>#N/A</v>
      </c>
      <c r="R70" s="1416" t="s">
        <v>818</v>
      </c>
    </row>
    <row r="71" spans="1:18" s="1380" customFormat="1" ht="13.5" thickBot="1">
      <c r="A71" s="967" t="s">
        <v>396</v>
      </c>
      <c r="B71" s="968" t="s">
        <v>776</v>
      </c>
      <c r="C71" s="336" t="e">
        <f ca="1">ROUND(C68/F71,0)</f>
        <v>#N/A</v>
      </c>
      <c r="D71" s="969" t="s">
        <v>777</v>
      </c>
      <c r="E71" s="970" t="s">
        <v>778</v>
      </c>
      <c r="F71" s="339" t="e">
        <f ca="1">F43</f>
        <v>#N/A</v>
      </c>
      <c r="O71" s="1424" t="s">
        <v>413</v>
      </c>
      <c r="P71" s="1463" t="s">
        <v>874</v>
      </c>
      <c r="Q71" s="1427" t="e">
        <f ca="1">C76</f>
        <v>#N/A</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#N/A</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#N/A</v>
      </c>
      <c r="R74" s="1416" t="s">
        <v>857</v>
      </c>
    </row>
    <row r="75" spans="1:18" ht="13.5" thickBot="1">
      <c r="A75" s="1380"/>
      <c r="B75" s="340" t="s">
        <v>795</v>
      </c>
      <c r="C75" s="341" t="e">
        <f ca="1">ROUND(C13*C76,0)</f>
        <v>#N/A</v>
      </c>
      <c r="D75" s="1380"/>
      <c r="E75" s="1380"/>
      <c r="F75" s="1380"/>
      <c r="K75" s="1398"/>
      <c r="L75" s="1380"/>
      <c r="O75" s="1414" t="s">
        <v>409</v>
      </c>
      <c r="P75" s="1415" t="s">
        <v>838</v>
      </c>
      <c r="Q75" s="1416" t="e">
        <f ca="1">Q65+Q66</f>
        <v>#N/A</v>
      </c>
      <c r="R75" s="1416" t="s">
        <v>410</v>
      </c>
    </row>
    <row r="76" spans="1:18">
      <c r="B76" s="342" t="s">
        <v>796</v>
      </c>
      <c r="C76" s="343" t="e">
        <f ca="1">INDIRECT("'数据-取费表'!j"&amp;$G$1)</f>
        <v>#N/A</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89"/>
      <c r="B4" s="3485" t="s">
        <v>917</v>
      </c>
      <c r="C4" s="3485"/>
      <c r="D4" s="3485"/>
      <c r="E4" s="1489"/>
    </row>
    <row r="5" spans="1:5" ht="16.5" thickTop="1">
      <c r="A5" s="1487"/>
      <c r="B5" s="3483" t="s">
        <v>909</v>
      </c>
      <c r="C5" s="1490" t="s">
        <v>910</v>
      </c>
      <c r="D5" s="846">
        <f ca="1">结果表!H101</f>
        <v>290693</v>
      </c>
      <c r="E5" s="1487"/>
    </row>
    <row r="6" spans="1:5" ht="15.75">
      <c r="A6" s="1487"/>
      <c r="B6" s="3483"/>
      <c r="C6" s="1490" t="s">
        <v>911</v>
      </c>
      <c r="D6" s="846" t="str">
        <f ca="1">NUMBERSTRING(INT(D5*10000),2)&amp;"元整"</f>
        <v>贰拾玖亿零陆佰玖拾叁万元整</v>
      </c>
      <c r="E6" s="1487"/>
    </row>
    <row r="7" spans="1:5" ht="15.75">
      <c r="A7" s="1487"/>
      <c r="B7" s="3488"/>
      <c r="C7" s="1491" t="s">
        <v>912</v>
      </c>
      <c r="D7" s="847">
        <f ca="1">结果表!H102</f>
        <v>43023</v>
      </c>
      <c r="E7" s="1487"/>
    </row>
    <row r="8" spans="1:5" ht="15.75">
      <c r="A8" s="1487"/>
      <c r="B8" s="3489" t="str">
        <f>结果表!E103</f>
        <v>2.估价师知悉的法定优先受偿款</v>
      </c>
      <c r="C8" s="1492" t="s">
        <v>913</v>
      </c>
      <c r="D8" s="847">
        <f>结果表!H103</f>
        <v>0</v>
      </c>
      <c r="E8" s="1487"/>
    </row>
    <row r="9" spans="1:5" ht="15.75">
      <c r="A9" s="1487"/>
      <c r="B9" s="3491"/>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482" t="str">
        <f>结果表!E107</f>
        <v>3.房地产抵押价值</v>
      </c>
      <c r="C13" s="1495" t="s">
        <v>910</v>
      </c>
      <c r="D13" s="849">
        <f ca="1">结果表!H107</f>
        <v>290693</v>
      </c>
      <c r="E13" s="1487"/>
    </row>
    <row r="14" spans="1:5" ht="15.75">
      <c r="A14" s="1487"/>
      <c r="B14" s="3483"/>
      <c r="C14" s="1490" t="s">
        <v>911</v>
      </c>
      <c r="D14" s="846" t="str">
        <f ca="1">NUMBERSTRING(INT(D13*10000),2)&amp;"元整"</f>
        <v>贰拾玖亿零陆佰玖拾叁万元整</v>
      </c>
      <c r="E14" s="1487"/>
    </row>
    <row r="15" spans="1:5" ht="15">
      <c r="A15" s="1487"/>
      <c r="B15" s="3488"/>
      <c r="C15" s="1491" t="s">
        <v>921</v>
      </c>
      <c r="D15" s="855">
        <f ca="1">结果表!H108</f>
        <v>43023</v>
      </c>
      <c r="E15" s="1487"/>
    </row>
    <row r="16" spans="1:5" ht="15">
      <c r="A16" s="1487"/>
      <c r="B16" s="3489" t="str">
        <f>结果表!E109</f>
        <v>——</v>
      </c>
      <c r="C16" s="1495" t="s">
        <v>922</v>
      </c>
      <c r="D16" s="1496" t="str">
        <f>结果表!H109</f>
        <v>——</v>
      </c>
      <c r="E16" s="1487"/>
    </row>
    <row r="17" spans="1:5" ht="15.75">
      <c r="A17" s="1487"/>
      <c r="B17" s="3490"/>
      <c r="C17" s="1490" t="s">
        <v>923</v>
      </c>
      <c r="D17" s="846" t="e">
        <f>NUMBERSTRING(INT(D16*10000),2)&amp;"元整"</f>
        <v>#VALUE!</v>
      </c>
      <c r="E17" s="1487"/>
    </row>
    <row r="18" spans="1:5" ht="15">
      <c r="A18" s="1487"/>
      <c r="B18" s="3491"/>
      <c r="C18" s="1491" t="s">
        <v>912</v>
      </c>
      <c r="D18" s="855" t="str">
        <f>结果表!H110</f>
        <v>——</v>
      </c>
      <c r="E18" s="1487"/>
    </row>
    <row r="19" spans="1:5" ht="15.75">
      <c r="A19" s="1487"/>
      <c r="B19" s="3482" t="str">
        <f>结果表!E111</f>
        <v>——</v>
      </c>
      <c r="C19" s="1495" t="s">
        <v>910</v>
      </c>
      <c r="D19" s="847" t="str">
        <f>结果表!H111</f>
        <v>——</v>
      </c>
      <c r="E19" s="1487"/>
    </row>
    <row r="20" spans="1:5" ht="15.75">
      <c r="A20" s="1487"/>
      <c r="B20" s="3483"/>
      <c r="C20" s="1490" t="s">
        <v>923</v>
      </c>
      <c r="D20" s="846" t="e">
        <f>NUMBERSTRING(INT(D19*10000),2)&amp;"元整"</f>
        <v>#VALUE!</v>
      </c>
      <c r="E20" s="1487"/>
    </row>
    <row r="21" spans="1:5" ht="15.75" thickBot="1">
      <c r="A21" s="1487"/>
      <c r="B21" s="3484"/>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87" t="s">
        <v>2084</v>
      </c>
      <c r="D1" s="3788"/>
      <c r="E1" s="3788"/>
      <c r="F1" s="3788"/>
      <c r="G1" s="3788"/>
      <c r="H1" s="3788"/>
      <c r="I1" s="3788"/>
      <c r="J1" s="3788"/>
      <c r="K1" s="3788"/>
      <c r="L1" s="3788"/>
      <c r="M1" s="3788"/>
      <c r="N1" s="3788"/>
      <c r="O1" s="3788"/>
      <c r="P1" s="3788"/>
      <c r="Q1" s="3788"/>
      <c r="R1" s="3788"/>
      <c r="S1" s="3789"/>
      <c r="T1" s="979" t="s">
        <v>2085</v>
      </c>
    </row>
    <row r="2" spans="1:45" s="655" customFormat="1" ht="38.25">
      <c r="A2" s="980"/>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v>0</v>
      </c>
      <c r="D3" s="658">
        <v>100</v>
      </c>
      <c r="E3" s="658">
        <v>200</v>
      </c>
      <c r="F3" s="1301">
        <v>400</v>
      </c>
      <c r="G3" s="1301">
        <v>800</v>
      </c>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v>100</v>
      </c>
      <c r="D4" s="986">
        <v>98</v>
      </c>
      <c r="E4" s="986">
        <v>96</v>
      </c>
      <c r="F4" s="1305">
        <v>94</v>
      </c>
      <c r="G4" s="1305">
        <v>92</v>
      </c>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5" thickBot="1">
      <c r="A20" s="662" t="s">
        <v>2096</v>
      </c>
      <c r="B20" s="294">
        <f ca="1">IF(D20="——",S22,S22-F20)</f>
        <v>13462</v>
      </c>
      <c r="C20" s="159"/>
      <c r="D20" s="2147" t="s">
        <v>43</v>
      </c>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75">
      <c r="A21" s="662" t="s">
        <v>2098</v>
      </c>
      <c r="B21" s="294">
        <f ca="1">ROUND(B20*10000/B22,0)</f>
        <v>43022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3129.11</v>
      </c>
      <c r="C22" s="3784" t="s">
        <v>27</v>
      </c>
      <c r="D22" s="3785"/>
      <c r="E22" s="3785"/>
      <c r="F22" s="3785"/>
      <c r="G22" s="3785"/>
      <c r="H22" s="3785"/>
      <c r="I22" s="3785"/>
      <c r="J22" s="3785"/>
      <c r="K22" s="3785"/>
      <c r="L22" s="3785"/>
      <c r="M22" s="3785"/>
      <c r="N22" s="3785"/>
      <c r="O22" s="3785"/>
      <c r="P22" s="3785"/>
      <c r="Q22" s="3786"/>
      <c r="R22" s="663">
        <f ca="1">ROUND(S22*10000/B22,0)</f>
        <v>43022</v>
      </c>
      <c r="S22" s="21">
        <f ca="1">SUM(S24:S10000)</f>
        <v>13462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0</v>
      </c>
      <c r="B24" s="665">
        <f>'数据-基础表'!I13</f>
        <v>3129.11</v>
      </c>
      <c r="C24" s="2805">
        <v>1</v>
      </c>
      <c r="D24" s="2806"/>
      <c r="E24" s="2805">
        <v>1</v>
      </c>
      <c r="F24" s="2806"/>
      <c r="G24" s="2805">
        <v>1</v>
      </c>
      <c r="H24" s="2806"/>
      <c r="I24" s="2805">
        <v>1</v>
      </c>
      <c r="J24" s="2806"/>
      <c r="K24" s="2805">
        <v>1</v>
      </c>
      <c r="L24" s="2806"/>
      <c r="M24" s="2805">
        <v>1</v>
      </c>
      <c r="N24" s="2806"/>
      <c r="O24" s="2805">
        <v>1</v>
      </c>
      <c r="P24" s="2806"/>
      <c r="Q24" s="2805">
        <v>1</v>
      </c>
      <c r="R24" s="668">
        <f ca="1">结果表!G20</f>
        <v>43023</v>
      </c>
      <c r="S24" s="666">
        <f t="shared" ref="S24:S54" ca="1" si="11">ROUND(R24*B24/10000,0)</f>
        <v>13462</v>
      </c>
      <c r="T24" s="730">
        <f ca="1">ROUND(R24*B24,0)</f>
        <v>134623700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'数据-基础表'!C14</f>
        <v>0</v>
      </c>
      <c r="B25" s="54">
        <f>'数据-基础表'!I14</f>
        <v>0</v>
      </c>
      <c r="C25" s="21">
        <f>IF(B25="",1,(LOOKUP(B25,$3:$3,$4:$4)-LOOKUP($B$24,$3:$3,$4:$4)+100)/100)</f>
        <v>1.08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46465</v>
      </c>
      <c r="S25" s="316">
        <f t="shared" ca="1" si="11"/>
        <v>0</v>
      </c>
      <c r="T25" s="730">
        <f t="shared" ref="T25:T28" ca="1" si="12">ROUND(R25*B25,0)</f>
        <v>0</v>
      </c>
    </row>
    <row r="26" spans="1:45">
      <c r="A26" s="150">
        <f>'数据-基础表'!C15</f>
        <v>0</v>
      </c>
      <c r="B26" s="54">
        <f>'数据-基础表'!I15</f>
        <v>0</v>
      </c>
      <c r="C26" s="21">
        <f t="shared" ref="C26:C89" si="13">IF(B26="",1,(LOOKUP(B26,$3:$3,$4:$4)-LOOKUP($B$24,$3:$3,$4:$4)+100)/100)</f>
        <v>1.08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46465</v>
      </c>
      <c r="S26" s="316">
        <f t="shared" ca="1" si="11"/>
        <v>0</v>
      </c>
      <c r="T26" s="730">
        <f t="shared" ca="1" si="12"/>
        <v>0</v>
      </c>
    </row>
    <row r="27" spans="1:45">
      <c r="A27" s="150">
        <f>'数据-基础表'!C16</f>
        <v>0</v>
      </c>
      <c r="B27" s="54">
        <f>'数据-基础表'!I16</f>
        <v>0</v>
      </c>
      <c r="C27" s="21">
        <f t="shared" si="13"/>
        <v>1.08</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46465</v>
      </c>
      <c r="S27" s="316">
        <f t="shared" ca="1" si="11"/>
        <v>0</v>
      </c>
      <c r="T27" s="730">
        <f t="shared" ca="1" si="12"/>
        <v>0</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46465</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134623700</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8"/>
      <c r="G1" s="2788"/>
      <c r="H1" s="2788"/>
      <c r="I1" s="2788"/>
      <c r="J1" s="2788"/>
      <c r="K1" s="2788"/>
      <c r="L1" s="2788"/>
      <c r="M1" s="2788"/>
      <c r="N1" s="2788"/>
      <c r="O1" s="2788"/>
      <c r="P1" s="2788"/>
    </row>
    <row r="2" spans="1:16" ht="15.75">
      <c r="A2" s="2141" t="s">
        <v>2073</v>
      </c>
      <c r="B2" s="2598">
        <f ca="1">SUMIF(B6:B13,"&lt;&gt;#ref!",B6:B13)</f>
        <v>145957</v>
      </c>
      <c r="C2" s="2141" t="s">
        <v>2074</v>
      </c>
      <c r="D2" s="2141" t="s">
        <v>2075</v>
      </c>
      <c r="E2" s="2608">
        <f ca="1">SUMIF(E6:E13,"&lt;&gt;#ref!",E6:E13)</f>
        <v>65998.39</v>
      </c>
      <c r="F2" s="2788"/>
      <c r="G2" s="2788"/>
      <c r="H2" s="2788"/>
      <c r="I2" s="2788"/>
      <c r="J2" s="2788"/>
      <c r="K2" s="2788"/>
      <c r="L2" s="2788"/>
      <c r="M2" s="2788"/>
      <c r="N2" s="2788"/>
      <c r="O2" s="2788"/>
      <c r="P2" s="2788"/>
    </row>
    <row r="3" spans="1:16" ht="15.75">
      <c r="A3" s="2141" t="s">
        <v>2076</v>
      </c>
      <c r="B3" s="2598">
        <f ca="1">ROUND(B2*10000/E2,0)</f>
        <v>22115</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4" t="s">
        <v>2077</v>
      </c>
      <c r="B5" s="2606" t="s">
        <v>2078</v>
      </c>
      <c r="C5" s="2142"/>
      <c r="D5" s="2788"/>
      <c r="E5" s="2607" t="s">
        <v>2079</v>
      </c>
      <c r="F5" s="2788"/>
      <c r="G5" s="2788"/>
      <c r="H5" s="2788"/>
      <c r="I5" s="2788"/>
      <c r="J5" s="2788"/>
      <c r="K5" s="2788"/>
      <c r="L5" s="2788"/>
      <c r="M5" s="2788"/>
      <c r="N5" s="2788"/>
      <c r="O5" s="2788"/>
      <c r="P5" s="2788"/>
    </row>
    <row r="6" spans="1:16" ht="15.75">
      <c r="A6" s="2605" t="s">
        <v>2080</v>
      </c>
      <c r="B6" s="2598">
        <f ca="1">SUMIF(INDIRECT("'"&amp;A6&amp;"'"&amp;"!A:A"),"总价",INDIRECT("'"&amp;A6&amp;"'"&amp;"!B:B"))</f>
        <v>145957</v>
      </c>
      <c r="C6" s="2141" t="s">
        <v>2074</v>
      </c>
      <c r="D6" s="2788"/>
      <c r="E6" s="2608">
        <f ca="1">SUMIF(INDIRECT("'"&amp;A6&amp;"'"&amp;"!C:C"),"建筑面积",INDIRECT("'"&amp;A6&amp;"'"&amp;"!D:D"))</f>
        <v>65998.39</v>
      </c>
      <c r="F6" s="2788"/>
      <c r="G6" s="2788"/>
      <c r="H6" s="2788"/>
      <c r="I6" s="2788"/>
      <c r="J6" s="2788"/>
      <c r="K6" s="2788"/>
      <c r="L6" s="2788"/>
      <c r="M6" s="2788"/>
      <c r="N6" s="2788"/>
      <c r="O6" s="2788"/>
      <c r="P6" s="2788"/>
    </row>
    <row r="7" spans="1:16" ht="15.75">
      <c r="A7" s="2605"/>
      <c r="B7" s="2598" t="e">
        <f ca="1">SUMIF(INDIRECT("'"&amp;A7&amp;"'"&amp;"!A:A"),"总价",INDIRECT("'"&amp;A7&amp;"'"&amp;"!B:B"))</f>
        <v>#REF!</v>
      </c>
      <c r="C7" s="2141" t="s">
        <v>2074</v>
      </c>
      <c r="D7" s="2788"/>
      <c r="E7" s="2608" t="e">
        <f t="shared" ref="E7:E13" ca="1" si="0">SUMIF(INDIRECT("'"&amp;A7&amp;"'"&amp;"!C:C"),"建筑面积",INDIRECT("'"&amp;A7&amp;"'"&amp;"!D:D"))</f>
        <v>#REF!</v>
      </c>
      <c r="F7" s="2788"/>
      <c r="G7" s="2788"/>
      <c r="H7" s="2788"/>
      <c r="I7" s="2788"/>
      <c r="J7" s="2788"/>
      <c r="K7" s="2788"/>
      <c r="L7" s="2788"/>
      <c r="M7" s="2788"/>
      <c r="N7" s="2788"/>
      <c r="O7" s="2788"/>
      <c r="P7" s="2788"/>
    </row>
    <row r="8" spans="1:16" ht="15.75">
      <c r="A8" s="2605"/>
      <c r="B8" s="2598" t="e">
        <f t="shared" ref="B8:B13" ca="1" si="1">SUMIF(INDIRECT("'"&amp;A8&amp;"'"&amp;"!A:A"),"总价",INDIRECT("'"&amp;A8&amp;"'"&amp;"!B:B"))</f>
        <v>#REF!</v>
      </c>
      <c r="C8" s="2141" t="s">
        <v>2074</v>
      </c>
      <c r="D8" s="2788"/>
      <c r="E8" s="2608" t="e">
        <f t="shared" ca="1" si="0"/>
        <v>#REF!</v>
      </c>
      <c r="F8" s="2788"/>
      <c r="G8" s="2788"/>
      <c r="H8" s="2788"/>
      <c r="I8" s="2788"/>
      <c r="J8" s="2788"/>
      <c r="K8" s="2788"/>
      <c r="L8" s="2788"/>
      <c r="M8" s="2788"/>
      <c r="N8" s="2788"/>
      <c r="O8" s="2788"/>
      <c r="P8" s="2788"/>
    </row>
    <row r="9" spans="1:16" ht="15.75">
      <c r="A9" s="2605"/>
      <c r="B9" s="2598" t="e">
        <f t="shared" ca="1" si="1"/>
        <v>#REF!</v>
      </c>
      <c r="C9" s="2141" t="s">
        <v>2074</v>
      </c>
      <c r="D9" s="2788"/>
      <c r="E9" s="2608" t="e">
        <f t="shared" ca="1" si="0"/>
        <v>#REF!</v>
      </c>
      <c r="F9" s="2788"/>
      <c r="G9" s="2788"/>
      <c r="H9" s="2788"/>
      <c r="I9" s="2788"/>
      <c r="J9" s="2788"/>
      <c r="K9" s="2788"/>
      <c r="L9" s="2788"/>
      <c r="M9" s="2788"/>
      <c r="N9" s="2788"/>
      <c r="O9" s="2788"/>
      <c r="P9" s="2788"/>
    </row>
    <row r="10" spans="1:16" ht="15.75">
      <c r="A10" s="2605"/>
      <c r="B10" s="2598" t="e">
        <f t="shared" ca="1" si="1"/>
        <v>#REF!</v>
      </c>
      <c r="C10" s="2141" t="s">
        <v>2074</v>
      </c>
      <c r="D10" s="2788"/>
      <c r="E10" s="2608" t="e">
        <f t="shared" ca="1" si="0"/>
        <v>#REF!</v>
      </c>
      <c r="F10" s="2788"/>
      <c r="G10" s="2788"/>
      <c r="H10" s="2788"/>
      <c r="I10" s="2788"/>
      <c r="J10" s="2788"/>
      <c r="K10" s="2788"/>
      <c r="L10" s="2788"/>
      <c r="M10" s="2788"/>
      <c r="N10" s="2788"/>
      <c r="O10" s="2788"/>
      <c r="P10" s="2788"/>
    </row>
    <row r="11" spans="1:16" ht="15.75">
      <c r="A11" s="2605"/>
      <c r="B11" s="2598" t="e">
        <f t="shared" ca="1" si="1"/>
        <v>#REF!</v>
      </c>
      <c r="C11" s="2141" t="s">
        <v>2074</v>
      </c>
      <c r="D11" s="2788"/>
      <c r="E11" s="2608" t="e">
        <f t="shared" ca="1" si="0"/>
        <v>#REF!</v>
      </c>
      <c r="F11" s="2788"/>
      <c r="G11" s="2788"/>
      <c r="H11" s="2788"/>
      <c r="I11" s="2788"/>
      <c r="J11" s="2788"/>
      <c r="K11" s="2788"/>
      <c r="L11" s="2788"/>
      <c r="M11" s="2788"/>
      <c r="N11" s="2788"/>
      <c r="O11" s="2788"/>
      <c r="P11" s="2788"/>
    </row>
    <row r="12" spans="1:16" ht="15.75">
      <c r="A12" s="2605"/>
      <c r="B12" s="2598" t="e">
        <f t="shared" ca="1" si="1"/>
        <v>#REF!</v>
      </c>
      <c r="C12" s="2141" t="s">
        <v>2074</v>
      </c>
      <c r="D12" s="2788"/>
      <c r="E12" s="2608" t="e">
        <f t="shared" ca="1" si="0"/>
        <v>#REF!</v>
      </c>
      <c r="F12" s="2788"/>
      <c r="G12" s="2788"/>
      <c r="H12" s="2788"/>
      <c r="I12" s="2788"/>
      <c r="J12" s="2788"/>
      <c r="K12" s="2788"/>
      <c r="L12" s="2788"/>
      <c r="M12" s="2788"/>
      <c r="N12" s="2788"/>
      <c r="O12" s="2788"/>
      <c r="P12" s="2788"/>
    </row>
    <row r="13" spans="1:16" ht="15.75">
      <c r="A13" s="2605"/>
      <c r="B13" s="2598" t="e">
        <f t="shared" ca="1" si="1"/>
        <v>#REF!</v>
      </c>
      <c r="C13" s="2141" t="s">
        <v>2074</v>
      </c>
      <c r="D13" s="2788"/>
      <c r="E13" s="2608"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2597</v>
      </c>
      <c r="B1" s="3067" t="s">
        <v>2598</v>
      </c>
      <c r="C1" s="3067" t="s">
        <v>2599</v>
      </c>
      <c r="D1" s="3067" t="s">
        <v>2600</v>
      </c>
      <c r="E1" s="3067" t="s">
        <v>2601</v>
      </c>
      <c r="F1" s="3067" t="s">
        <v>2602</v>
      </c>
      <c r="G1" s="3067" t="s">
        <v>2603</v>
      </c>
      <c r="H1" s="3067" t="s">
        <v>2604</v>
      </c>
      <c r="I1" s="3067" t="s">
        <v>2605</v>
      </c>
      <c r="J1" s="3067" t="s">
        <v>2606</v>
      </c>
      <c r="K1" s="3067" t="s">
        <v>2607</v>
      </c>
      <c r="L1" s="3067" t="s">
        <v>2608</v>
      </c>
      <c r="M1" s="3068" t="s">
        <v>2609</v>
      </c>
    </row>
    <row r="2" spans="1:13" ht="19.5" customHeight="1">
      <c r="A2" s="3070" t="s">
        <v>2610</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2611</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2612</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2613</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2614</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2615</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2616</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2617</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2618</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2619</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2620</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2621</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2622</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2623</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2624</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2625</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2626</v>
      </c>
      <c r="B18" s="3092"/>
      <c r="C18" s="3093"/>
      <c r="D18" s="3093"/>
      <c r="E18" s="3092"/>
      <c r="F18" s="3093"/>
      <c r="G18" s="3093"/>
    </row>
    <row r="19" spans="1:13" ht="19.5" customHeight="1" thickBot="1">
      <c r="A19" s="3090" t="s">
        <v>2627</v>
      </c>
      <c r="B19" s="3095" t="s">
        <v>2628</v>
      </c>
      <c r="C19" s="3095" t="s">
        <v>2629</v>
      </c>
      <c r="D19" s="3096"/>
      <c r="E19" s="3090" t="s">
        <v>2630</v>
      </c>
      <c r="F19" s="3097"/>
      <c r="G19" s="3097"/>
    </row>
    <row r="20" spans="1:13" ht="19.5" customHeight="1">
      <c r="A20" s="3797" t="s">
        <v>2610</v>
      </c>
      <c r="B20" s="3790" t="s">
        <v>2631</v>
      </c>
      <c r="C20" s="3098" t="s">
        <v>2442</v>
      </c>
      <c r="D20" s="3099"/>
      <c r="E20" s="3100">
        <v>1</v>
      </c>
      <c r="F20" s="3101" t="s">
        <v>2443</v>
      </c>
      <c r="G20" s="3101"/>
    </row>
    <row r="21" spans="1:13" ht="19.5" customHeight="1">
      <c r="A21" s="3798"/>
      <c r="B21" s="3791"/>
      <c r="C21" s="3102" t="s">
        <v>2444</v>
      </c>
      <c r="D21" s="3103"/>
      <c r="E21" s="3104">
        <v>1</v>
      </c>
      <c r="F21" s="3101" t="s">
        <v>2445</v>
      </c>
      <c r="G21" s="3101"/>
    </row>
    <row r="22" spans="1:13" ht="19.5" customHeight="1">
      <c r="A22" s="3798"/>
      <c r="B22" s="3791"/>
      <c r="C22" s="3102" t="s">
        <v>2446</v>
      </c>
      <c r="D22" s="3103"/>
      <c r="E22" s="3104">
        <v>0.9</v>
      </c>
      <c r="F22" s="3101" t="s">
        <v>2447</v>
      </c>
      <c r="G22" s="3101"/>
    </row>
    <row r="23" spans="1:13" ht="19.5" customHeight="1">
      <c r="A23" s="3798"/>
      <c r="B23" s="3791"/>
      <c r="C23" s="3102" t="s">
        <v>2448</v>
      </c>
      <c r="D23" s="3103"/>
      <c r="E23" s="3104">
        <v>0.9</v>
      </c>
      <c r="F23" s="3101" t="s">
        <v>2449</v>
      </c>
      <c r="G23" s="3101"/>
    </row>
    <row r="24" spans="1:13" ht="19.5" customHeight="1">
      <c r="A24" s="3798"/>
      <c r="B24" s="3791"/>
      <c r="C24" s="3102" t="s">
        <v>2450</v>
      </c>
      <c r="D24" s="3103"/>
      <c r="E24" s="3104">
        <v>0.8</v>
      </c>
      <c r="F24" s="3101" t="s">
        <v>2451</v>
      </c>
      <c r="G24" s="3101"/>
    </row>
    <row r="25" spans="1:13" ht="19.5" customHeight="1" thickBot="1">
      <c r="A25" s="3799"/>
      <c r="B25" s="3792"/>
      <c r="C25" s="3105" t="s">
        <v>2452</v>
      </c>
      <c r="D25" s="3106"/>
      <c r="E25" s="3107">
        <v>0.8</v>
      </c>
      <c r="F25" s="3101" t="s">
        <v>2453</v>
      </c>
      <c r="G25" s="3101"/>
    </row>
    <row r="26" spans="1:13" ht="19.5" customHeight="1" thickBot="1">
      <c r="A26" s="3108" t="s">
        <v>2632</v>
      </c>
      <c r="B26" s="3109" t="s">
        <v>2631</v>
      </c>
      <c r="C26" s="3110" t="s">
        <v>2633</v>
      </c>
      <c r="D26" s="3111"/>
      <c r="E26" s="3112">
        <v>1</v>
      </c>
      <c r="F26" s="3101" t="s">
        <v>2454</v>
      </c>
      <c r="G26" s="3101"/>
    </row>
    <row r="27" spans="1:13" ht="19.5" customHeight="1">
      <c r="A27" s="3793" t="s">
        <v>2634</v>
      </c>
      <c r="B27" s="3790" t="s">
        <v>2615</v>
      </c>
      <c r="C27" s="3098" t="s">
        <v>2455</v>
      </c>
      <c r="D27" s="3099"/>
      <c r="E27" s="3100">
        <v>1</v>
      </c>
      <c r="F27" s="3101" t="s">
        <v>2456</v>
      </c>
      <c r="G27" s="3101"/>
    </row>
    <row r="28" spans="1:13" ht="19.5" customHeight="1">
      <c r="A28" s="3794"/>
      <c r="B28" s="3791"/>
      <c r="C28" s="3102" t="s">
        <v>2457</v>
      </c>
      <c r="D28" s="3103"/>
      <c r="E28" s="3104">
        <v>1</v>
      </c>
      <c r="F28" s="3101" t="s">
        <v>2458</v>
      </c>
      <c r="G28" s="3101"/>
    </row>
    <row r="29" spans="1:13" ht="19.5" customHeight="1">
      <c r="A29" s="3794"/>
      <c r="B29" s="3791"/>
      <c r="C29" s="3102" t="s">
        <v>2459</v>
      </c>
      <c r="D29" s="3103"/>
      <c r="E29" s="3104">
        <v>0.8</v>
      </c>
      <c r="F29" s="3101" t="s">
        <v>2460</v>
      </c>
      <c r="G29" s="3101"/>
    </row>
    <row r="30" spans="1:13" ht="19.5" customHeight="1">
      <c r="A30" s="3794"/>
      <c r="B30" s="3791"/>
      <c r="C30" s="3102" t="s">
        <v>2461</v>
      </c>
      <c r="D30" s="3103"/>
      <c r="E30" s="3104">
        <v>0.8</v>
      </c>
      <c r="F30" s="3101" t="s">
        <v>2462</v>
      </c>
      <c r="G30" s="3101"/>
    </row>
    <row r="31" spans="1:13" ht="19.5" customHeight="1">
      <c r="A31" s="3794"/>
      <c r="B31" s="3791"/>
      <c r="C31" s="3102" t="s">
        <v>2463</v>
      </c>
      <c r="D31" s="3103"/>
      <c r="E31" s="3104">
        <v>0.8</v>
      </c>
      <c r="F31" s="3101" t="s">
        <v>2464</v>
      </c>
      <c r="G31" s="3101"/>
    </row>
    <row r="32" spans="1:13" ht="19.5" customHeight="1">
      <c r="A32" s="3794"/>
      <c r="B32" s="3791"/>
      <c r="C32" s="3102" t="s">
        <v>2465</v>
      </c>
      <c r="D32" s="3103"/>
      <c r="E32" s="3104">
        <v>0.7</v>
      </c>
      <c r="F32" s="3101" t="s">
        <v>2466</v>
      </c>
      <c r="G32" s="3101"/>
    </row>
    <row r="33" spans="1:7" ht="19.5" customHeight="1">
      <c r="A33" s="3794"/>
      <c r="B33" s="3791"/>
      <c r="C33" s="3102" t="s">
        <v>2467</v>
      </c>
      <c r="D33" s="3103"/>
      <c r="E33" s="3104">
        <v>0.8</v>
      </c>
      <c r="F33" s="3101" t="s">
        <v>2468</v>
      </c>
      <c r="G33" s="3101"/>
    </row>
    <row r="34" spans="1:7" ht="19.5" customHeight="1">
      <c r="A34" s="3794"/>
      <c r="B34" s="3791"/>
      <c r="C34" s="3102" t="s">
        <v>2469</v>
      </c>
      <c r="D34" s="3103"/>
      <c r="E34" s="3104">
        <v>0.6</v>
      </c>
      <c r="F34" s="3101" t="s">
        <v>2470</v>
      </c>
      <c r="G34" s="3101"/>
    </row>
    <row r="35" spans="1:7" ht="19.5" customHeight="1">
      <c r="A35" s="3794"/>
      <c r="B35" s="3791"/>
      <c r="C35" s="3102" t="s">
        <v>2471</v>
      </c>
      <c r="D35" s="3103"/>
      <c r="E35" s="3104">
        <v>0.2</v>
      </c>
      <c r="F35" s="3101" t="s">
        <v>2472</v>
      </c>
      <c r="G35" s="3101"/>
    </row>
    <row r="36" spans="1:7" ht="19.5" customHeight="1">
      <c r="A36" s="3794"/>
      <c r="B36" s="3791"/>
      <c r="C36" s="3102" t="s">
        <v>2473</v>
      </c>
      <c r="D36" s="3103"/>
      <c r="E36" s="3104">
        <v>0.2</v>
      </c>
      <c r="F36" s="3101" t="s">
        <v>2474</v>
      </c>
      <c r="G36" s="3101"/>
    </row>
    <row r="37" spans="1:7" ht="19.5" customHeight="1">
      <c r="A37" s="3794"/>
      <c r="B37" s="3796" t="s">
        <v>2635</v>
      </c>
      <c r="C37" s="3102" t="s">
        <v>2475</v>
      </c>
      <c r="D37" s="3103"/>
      <c r="E37" s="3104">
        <v>0.6</v>
      </c>
      <c r="F37" s="3101" t="s">
        <v>2476</v>
      </c>
      <c r="G37" s="3101"/>
    </row>
    <row r="38" spans="1:7" ht="19.5" customHeight="1">
      <c r="A38" s="3794"/>
      <c r="B38" s="3791"/>
      <c r="C38" s="3102" t="s">
        <v>2477</v>
      </c>
      <c r="D38" s="3103"/>
      <c r="E38" s="3104">
        <v>0.6</v>
      </c>
      <c r="F38" s="3101" t="s">
        <v>2478</v>
      </c>
      <c r="G38" s="3101"/>
    </row>
    <row r="39" spans="1:7" ht="19.5" customHeight="1" thickBot="1">
      <c r="A39" s="3795"/>
      <c r="B39" s="3792"/>
      <c r="C39" s="3105" t="s">
        <v>2479</v>
      </c>
      <c r="D39" s="3106"/>
      <c r="E39" s="3107">
        <v>0.6</v>
      </c>
      <c r="F39" s="3101" t="s">
        <v>2480</v>
      </c>
      <c r="G39" s="3101"/>
    </row>
    <row r="40" spans="1:7" ht="19.5" customHeight="1" thickBot="1">
      <c r="A40" s="3108" t="s">
        <v>2612</v>
      </c>
      <c r="B40" s="3109" t="s">
        <v>2612</v>
      </c>
      <c r="C40" s="3110" t="s">
        <v>2636</v>
      </c>
      <c r="D40" s="3111"/>
      <c r="E40" s="3112">
        <v>1</v>
      </c>
      <c r="F40" s="3101" t="s">
        <v>2481</v>
      </c>
      <c r="G40" s="3101"/>
    </row>
    <row r="41" spans="1:7" ht="19.5" customHeight="1">
      <c r="A41" s="3797" t="s">
        <v>2613</v>
      </c>
      <c r="B41" s="3790" t="s">
        <v>2637</v>
      </c>
      <c r="C41" s="3098" t="s">
        <v>2482</v>
      </c>
      <c r="D41" s="3099"/>
      <c r="E41" s="3100">
        <v>1</v>
      </c>
      <c r="F41" s="3101" t="s">
        <v>2483</v>
      </c>
      <c r="G41" s="3101"/>
    </row>
    <row r="42" spans="1:7" ht="19.5" customHeight="1">
      <c r="A42" s="3798"/>
      <c r="B42" s="3791"/>
      <c r="C42" s="3102" t="s">
        <v>2484</v>
      </c>
      <c r="D42" s="3103"/>
      <c r="E42" s="3104">
        <v>1</v>
      </c>
      <c r="F42" s="3101" t="s">
        <v>2485</v>
      </c>
      <c r="G42" s="3101"/>
    </row>
    <row r="43" spans="1:7" ht="19.5" customHeight="1">
      <c r="A43" s="3798"/>
      <c r="B43" s="3800"/>
      <c r="C43" s="3102" t="s">
        <v>2486</v>
      </c>
      <c r="D43" s="3103"/>
      <c r="E43" s="3104">
        <v>1.5</v>
      </c>
      <c r="F43" s="3101" t="s">
        <v>2487</v>
      </c>
      <c r="G43" s="3101"/>
    </row>
    <row r="44" spans="1:7" ht="19.5" customHeight="1">
      <c r="A44" s="3798"/>
      <c r="B44" s="3113" t="s">
        <v>2638</v>
      </c>
      <c r="C44" s="3102" t="s">
        <v>2639</v>
      </c>
      <c r="D44" s="3103"/>
      <c r="E44" s="3104">
        <v>2</v>
      </c>
      <c r="F44" s="3101" t="s">
        <v>2488</v>
      </c>
      <c r="G44" s="3101"/>
    </row>
    <row r="45" spans="1:7" ht="19.5" customHeight="1">
      <c r="A45" s="3798"/>
      <c r="B45" s="3796" t="s">
        <v>2640</v>
      </c>
      <c r="C45" s="3102" t="s">
        <v>2489</v>
      </c>
      <c r="D45" s="3103"/>
      <c r="E45" s="3104">
        <v>1</v>
      </c>
      <c r="F45" s="3101" t="s">
        <v>2490</v>
      </c>
      <c r="G45" s="3101"/>
    </row>
    <row r="46" spans="1:7" ht="19.5" customHeight="1">
      <c r="A46" s="3798"/>
      <c r="B46" s="3791"/>
      <c r="C46" s="3102" t="s">
        <v>2491</v>
      </c>
      <c r="D46" s="3103"/>
      <c r="E46" s="3104">
        <v>1</v>
      </c>
      <c r="F46" s="3101" t="s">
        <v>2492</v>
      </c>
      <c r="G46" s="3101"/>
    </row>
    <row r="47" spans="1:7" ht="19.5" customHeight="1">
      <c r="A47" s="3798"/>
      <c r="B47" s="3791"/>
      <c r="C47" s="3102" t="s">
        <v>2493</v>
      </c>
      <c r="D47" s="3103"/>
      <c r="E47" s="3104">
        <v>1</v>
      </c>
      <c r="F47" s="3101" t="s">
        <v>2494</v>
      </c>
      <c r="G47" s="3101"/>
    </row>
    <row r="48" spans="1:7" ht="19.5" customHeight="1">
      <c r="A48" s="3798"/>
      <c r="B48" s="3791"/>
      <c r="C48" s="3102" t="s">
        <v>2495</v>
      </c>
      <c r="D48" s="3103"/>
      <c r="E48" s="3104">
        <v>1</v>
      </c>
      <c r="F48" s="3101" t="s">
        <v>2496</v>
      </c>
      <c r="G48" s="3101"/>
    </row>
    <row r="49" spans="1:7" ht="19.5" customHeight="1">
      <c r="A49" s="3798"/>
      <c r="B49" s="3791"/>
      <c r="C49" s="3102" t="s">
        <v>2497</v>
      </c>
      <c r="D49" s="3103"/>
      <c r="E49" s="3104">
        <v>1</v>
      </c>
      <c r="F49" s="3101" t="s">
        <v>2498</v>
      </c>
      <c r="G49" s="3101"/>
    </row>
    <row r="50" spans="1:7" ht="19.5" customHeight="1">
      <c r="A50" s="3798"/>
      <c r="B50" s="3791"/>
      <c r="C50" s="3102" t="s">
        <v>2499</v>
      </c>
      <c r="D50" s="3103"/>
      <c r="E50" s="3104">
        <v>1</v>
      </c>
      <c r="F50" s="3101" t="s">
        <v>2500</v>
      </c>
      <c r="G50" s="3101"/>
    </row>
    <row r="51" spans="1:7" ht="19.5" customHeight="1" thickBot="1">
      <c r="A51" s="3799"/>
      <c r="B51" s="3792"/>
      <c r="C51" s="3105" t="s">
        <v>2501</v>
      </c>
      <c r="D51" s="3106"/>
      <c r="E51" s="3107">
        <v>1</v>
      </c>
      <c r="F51" s="3101" t="s">
        <v>2502</v>
      </c>
      <c r="G51" s="3101"/>
    </row>
    <row r="52" spans="1:7" ht="19.5" customHeight="1">
      <c r="A52" s="3114"/>
      <c r="B52" s="3114"/>
      <c r="C52" s="3114"/>
      <c r="D52" s="3114"/>
      <c r="E52" s="3114"/>
      <c r="F52" s="3114"/>
      <c r="G52" s="3114"/>
    </row>
    <row r="54" spans="1:7" ht="19.5" customHeight="1">
      <c r="A54" s="3115"/>
      <c r="B54" s="3087" t="s">
        <v>2641</v>
      </c>
      <c r="C54" s="3087" t="s">
        <v>2641</v>
      </c>
      <c r="D54" s="3087" t="s">
        <v>2641</v>
      </c>
      <c r="E54" s="3090" t="s">
        <v>2641</v>
      </c>
      <c r="F54" s="3090" t="s">
        <v>2642</v>
      </c>
      <c r="G54" s="3090" t="s">
        <v>2643</v>
      </c>
    </row>
    <row r="55" spans="1:7" ht="19.5" customHeight="1">
      <c r="A55" s="3116"/>
      <c r="B55" s="3090" t="s">
        <v>2610</v>
      </c>
      <c r="C55" s="3090" t="s">
        <v>2610</v>
      </c>
      <c r="D55" s="3090" t="s">
        <v>2610</v>
      </c>
      <c r="E55" s="3087" t="s">
        <v>2611</v>
      </c>
      <c r="F55" s="3087" t="s">
        <v>2613</v>
      </c>
      <c r="G55" s="3087" t="s">
        <v>2644</v>
      </c>
    </row>
    <row r="56" spans="1:7" ht="19.5" customHeight="1">
      <c r="A56" s="3117"/>
      <c r="B56" s="3087">
        <v>1</v>
      </c>
      <c r="C56" s="3087">
        <v>2</v>
      </c>
      <c r="D56" s="3087">
        <v>3</v>
      </c>
      <c r="E56" s="3118" t="s">
        <v>2645</v>
      </c>
      <c r="F56" s="3118" t="s">
        <v>2645</v>
      </c>
      <c r="G56" s="3118" t="s">
        <v>2645</v>
      </c>
    </row>
    <row r="57" spans="1:7" ht="19.5" customHeight="1">
      <c r="A57" s="3119" t="s">
        <v>2598</v>
      </c>
      <c r="B57" s="3087">
        <v>0.7</v>
      </c>
      <c r="C57" s="3087">
        <v>0.4</v>
      </c>
      <c r="D57" s="3087">
        <v>0.3</v>
      </c>
      <c r="E57" s="3118">
        <v>0.3</v>
      </c>
      <c r="F57" s="3087">
        <v>0.3</v>
      </c>
      <c r="G57" s="3087">
        <v>0.2</v>
      </c>
    </row>
    <row r="58" spans="1:7" ht="19.5" customHeight="1">
      <c r="A58" s="3119" t="s">
        <v>2599</v>
      </c>
      <c r="B58" s="3087">
        <v>0.7</v>
      </c>
      <c r="C58" s="3087">
        <v>0.4</v>
      </c>
      <c r="D58" s="3087">
        <v>0.3</v>
      </c>
      <c r="E58" s="3087">
        <v>0.3</v>
      </c>
      <c r="F58" s="3087">
        <v>0.3</v>
      </c>
      <c r="G58" s="3087">
        <v>0.2</v>
      </c>
    </row>
    <row r="59" spans="1:7" ht="19.5" customHeight="1">
      <c r="A59" s="3119" t="s">
        <v>2600</v>
      </c>
      <c r="B59" s="3087">
        <v>0.6</v>
      </c>
      <c r="C59" s="3087">
        <v>0.3</v>
      </c>
      <c r="D59" s="3087">
        <v>0.25</v>
      </c>
      <c r="E59" s="3087">
        <v>0.25</v>
      </c>
      <c r="F59" s="3087">
        <v>0.25</v>
      </c>
      <c r="G59" s="3087">
        <v>0.15</v>
      </c>
    </row>
    <row r="60" spans="1:7" ht="19.5" customHeight="1">
      <c r="A60" s="3119" t="s">
        <v>2601</v>
      </c>
      <c r="B60" s="3087">
        <v>0.6</v>
      </c>
      <c r="C60" s="3087">
        <v>0.3</v>
      </c>
      <c r="D60" s="3087">
        <v>0.25</v>
      </c>
      <c r="E60" s="3087">
        <v>0.25</v>
      </c>
      <c r="F60" s="3087">
        <v>0.25</v>
      </c>
      <c r="G60" s="3087">
        <v>0.15</v>
      </c>
    </row>
    <row r="61" spans="1:7" ht="19.5" customHeight="1">
      <c r="A61" s="3119" t="s">
        <v>2602</v>
      </c>
      <c r="B61" s="3087">
        <v>0.6</v>
      </c>
      <c r="C61" s="3087">
        <v>0.3</v>
      </c>
      <c r="D61" s="3087">
        <v>0.25</v>
      </c>
      <c r="E61" s="3087">
        <v>0.25</v>
      </c>
      <c r="F61" s="3087">
        <v>0.25</v>
      </c>
      <c r="G61" s="3087">
        <v>0.15</v>
      </c>
    </row>
    <row r="62" spans="1:7" ht="19.5" customHeight="1">
      <c r="A62" s="3119" t="s">
        <v>2603</v>
      </c>
      <c r="B62" s="3087">
        <v>0.6</v>
      </c>
      <c r="C62" s="3087">
        <v>0.3</v>
      </c>
      <c r="D62" s="3087">
        <v>0.25</v>
      </c>
      <c r="E62" s="3087">
        <v>0.25</v>
      </c>
      <c r="F62" s="3087">
        <v>0.25</v>
      </c>
      <c r="G62" s="3087">
        <v>0.15</v>
      </c>
    </row>
    <row r="63" spans="1:7" ht="19.5" customHeight="1">
      <c r="A63" s="3119" t="s">
        <v>2604</v>
      </c>
      <c r="B63" s="3087">
        <v>0.6</v>
      </c>
      <c r="C63" s="3087">
        <v>0.3</v>
      </c>
      <c r="D63" s="3087">
        <v>0.25</v>
      </c>
      <c r="E63" s="3087">
        <v>0.25</v>
      </c>
      <c r="F63" s="3087">
        <v>0.25</v>
      </c>
      <c r="G63" s="3087">
        <v>0.15</v>
      </c>
    </row>
    <row r="64" spans="1:7" ht="19.5" customHeight="1">
      <c r="A64" s="3119" t="s">
        <v>2605</v>
      </c>
      <c r="B64" s="3087">
        <v>0.5</v>
      </c>
      <c r="C64" s="3087">
        <v>0.2</v>
      </c>
      <c r="D64" s="3087">
        <v>0.2</v>
      </c>
      <c r="E64" s="3087">
        <v>0.2</v>
      </c>
      <c r="F64" s="3087">
        <v>0.2</v>
      </c>
      <c r="G64" s="3087">
        <v>0.1</v>
      </c>
    </row>
    <row r="65" spans="1:7" ht="19.5" customHeight="1">
      <c r="A65" s="3119" t="s">
        <v>2606</v>
      </c>
      <c r="B65" s="3087">
        <v>0.5</v>
      </c>
      <c r="C65" s="3087">
        <v>0.2</v>
      </c>
      <c r="D65" s="3087">
        <v>0.2</v>
      </c>
      <c r="E65" s="3087">
        <v>0.2</v>
      </c>
      <c r="F65" s="3087">
        <v>0.2</v>
      </c>
      <c r="G65" s="3087">
        <v>0.1</v>
      </c>
    </row>
    <row r="66" spans="1:7" ht="19.5" customHeight="1">
      <c r="A66" s="3119" t="s">
        <v>2607</v>
      </c>
      <c r="B66" s="3087">
        <v>0.5</v>
      </c>
      <c r="C66" s="3087">
        <v>0.2</v>
      </c>
      <c r="D66" s="3087">
        <v>0.2</v>
      </c>
      <c r="E66" s="3087">
        <v>0.2</v>
      </c>
      <c r="F66" s="3087">
        <v>0.2</v>
      </c>
      <c r="G66" s="3087">
        <v>0.1</v>
      </c>
    </row>
    <row r="67" spans="1:7" ht="19.5" customHeight="1">
      <c r="A67" s="3119" t="s">
        <v>2608</v>
      </c>
      <c r="B67" s="3087">
        <v>0.5</v>
      </c>
      <c r="C67" s="3087">
        <v>0.2</v>
      </c>
      <c r="D67" s="3087">
        <v>0.2</v>
      </c>
      <c r="E67" s="3087">
        <v>0.2</v>
      </c>
      <c r="F67" s="3087">
        <v>0.2</v>
      </c>
      <c r="G67" s="3087">
        <v>0.1</v>
      </c>
    </row>
    <row r="68" spans="1:7" ht="19.5" customHeight="1">
      <c r="A68" s="3119" t="s">
        <v>2609</v>
      </c>
      <c r="B68" s="3087">
        <v>0.5</v>
      </c>
      <c r="C68" s="3087">
        <v>0.2</v>
      </c>
      <c r="D68" s="3087">
        <v>0.2</v>
      </c>
      <c r="E68" s="3087">
        <v>0.2</v>
      </c>
      <c r="F68" s="3087">
        <v>0.2</v>
      </c>
      <c r="G68" s="3087">
        <v>0.1</v>
      </c>
    </row>
    <row r="70" spans="1:7" ht="19.5" customHeight="1">
      <c r="A70" s="3120"/>
      <c r="B70" s="3121"/>
      <c r="C70" s="3121"/>
      <c r="D70" s="3121" t="s">
        <v>2646</v>
      </c>
      <c r="E70" s="3121"/>
      <c r="F70" s="3121"/>
    </row>
    <row r="71" spans="1:7" ht="19.5" customHeight="1">
      <c r="A71" s="3113" t="s">
        <v>2647</v>
      </c>
      <c r="B71" s="3113" t="s">
        <v>2648</v>
      </c>
      <c r="C71" s="3113" t="s">
        <v>2649</v>
      </c>
      <c r="D71" s="3113" t="s">
        <v>2650</v>
      </c>
      <c r="E71" s="3113" t="s">
        <v>2651</v>
      </c>
      <c r="F71" s="3113" t="s">
        <v>2652</v>
      </c>
    </row>
    <row r="72" spans="1:7" ht="13.5">
      <c r="A72" s="3113"/>
      <c r="B72" s="3113"/>
      <c r="C72" s="3113" t="s">
        <v>2653</v>
      </c>
      <c r="D72" s="3113"/>
      <c r="E72" s="3113" t="s">
        <v>2624</v>
      </c>
      <c r="F72" s="3113" t="s">
        <v>2624</v>
      </c>
    </row>
    <row r="73" spans="1:7" ht="13.5">
      <c r="A73" s="3113">
        <v>1</v>
      </c>
      <c r="B73" s="3796" t="s">
        <v>2654</v>
      </c>
      <c r="C73" s="3087" t="s">
        <v>2655</v>
      </c>
      <c r="D73" s="3087" t="s">
        <v>2656</v>
      </c>
      <c r="E73" s="3113">
        <v>0.2</v>
      </c>
      <c r="F73" s="3113">
        <v>25</v>
      </c>
    </row>
    <row r="74" spans="1:7" ht="24">
      <c r="A74" s="3113">
        <v>2</v>
      </c>
      <c r="B74" s="3791"/>
      <c r="C74" s="3087" t="s">
        <v>2657</v>
      </c>
      <c r="D74" s="3087" t="s">
        <v>2658</v>
      </c>
      <c r="E74" s="3113">
        <v>0.2</v>
      </c>
      <c r="F74" s="3113">
        <v>25</v>
      </c>
    </row>
    <row r="75" spans="1:7" ht="24">
      <c r="A75" s="3113">
        <v>3</v>
      </c>
      <c r="B75" s="3791"/>
      <c r="C75" s="3087" t="s">
        <v>2659</v>
      </c>
      <c r="D75" s="3087" t="s">
        <v>2660</v>
      </c>
      <c r="E75" s="3113">
        <v>0.2</v>
      </c>
      <c r="F75" s="3113">
        <v>25</v>
      </c>
    </row>
    <row r="76" spans="1:7" ht="13.5">
      <c r="A76" s="3113">
        <v>4</v>
      </c>
      <c r="B76" s="3791"/>
      <c r="C76" s="3087" t="s">
        <v>2661</v>
      </c>
      <c r="D76" s="3087" t="s">
        <v>2662</v>
      </c>
      <c r="E76" s="3113">
        <v>0.15</v>
      </c>
      <c r="F76" s="3113">
        <v>20</v>
      </c>
    </row>
    <row r="77" spans="1:7" ht="24">
      <c r="A77" s="3113">
        <v>5</v>
      </c>
      <c r="B77" s="3791"/>
      <c r="C77" s="3087" t="s">
        <v>2663</v>
      </c>
      <c r="D77" s="3087" t="s">
        <v>2664</v>
      </c>
      <c r="E77" s="3113">
        <v>0.15</v>
      </c>
      <c r="F77" s="3113">
        <v>20</v>
      </c>
    </row>
    <row r="78" spans="1:7" ht="24">
      <c r="A78" s="3113">
        <v>6</v>
      </c>
      <c r="B78" s="3791"/>
      <c r="C78" s="3087" t="s">
        <v>2665</v>
      </c>
      <c r="D78" s="3087" t="s">
        <v>2666</v>
      </c>
      <c r="E78" s="3113">
        <v>0.15</v>
      </c>
      <c r="F78" s="3113">
        <v>20</v>
      </c>
    </row>
    <row r="79" spans="1:7" ht="24">
      <c r="A79" s="3113">
        <v>7</v>
      </c>
      <c r="B79" s="3791"/>
      <c r="C79" s="3087" t="s">
        <v>2667</v>
      </c>
      <c r="D79" s="3087" t="s">
        <v>2668</v>
      </c>
      <c r="E79" s="3113">
        <v>0.15</v>
      </c>
      <c r="F79" s="3113">
        <v>20</v>
      </c>
    </row>
    <row r="80" spans="1:7" ht="24">
      <c r="A80" s="3113">
        <v>8</v>
      </c>
      <c r="B80" s="3791"/>
      <c r="C80" s="3087" t="s">
        <v>2669</v>
      </c>
      <c r="D80" s="3087" t="s">
        <v>2670</v>
      </c>
      <c r="E80" s="3113">
        <v>0.1</v>
      </c>
      <c r="F80" s="3113">
        <v>15</v>
      </c>
    </row>
    <row r="81" spans="1:6" ht="24">
      <c r="A81" s="3113">
        <v>9</v>
      </c>
      <c r="B81" s="3791"/>
      <c r="C81" s="3087" t="s">
        <v>2671</v>
      </c>
      <c r="D81" s="3087" t="s">
        <v>2672</v>
      </c>
      <c r="E81" s="3113">
        <v>0.1</v>
      </c>
      <c r="F81" s="3113">
        <v>15</v>
      </c>
    </row>
    <row r="82" spans="1:6" ht="24">
      <c r="A82" s="3113">
        <v>10</v>
      </c>
      <c r="B82" s="3791"/>
      <c r="C82" s="3087" t="s">
        <v>2673</v>
      </c>
      <c r="D82" s="3087" t="s">
        <v>2674</v>
      </c>
      <c r="E82" s="3113">
        <v>0.1</v>
      </c>
      <c r="F82" s="3113">
        <v>15</v>
      </c>
    </row>
    <row r="83" spans="1:6" ht="24">
      <c r="A83" s="3113">
        <v>11</v>
      </c>
      <c r="B83" s="3791"/>
      <c r="C83" s="3087" t="s">
        <v>2675</v>
      </c>
      <c r="D83" s="3087" t="s">
        <v>2676</v>
      </c>
      <c r="E83" s="3113">
        <v>0.1</v>
      </c>
      <c r="F83" s="3113">
        <v>15</v>
      </c>
    </row>
    <row r="84" spans="1:6" ht="24">
      <c r="A84" s="3113">
        <v>12</v>
      </c>
      <c r="B84" s="3791"/>
      <c r="C84" s="3087" t="s">
        <v>2677</v>
      </c>
      <c r="D84" s="3087" t="s">
        <v>2678</v>
      </c>
      <c r="E84" s="3113">
        <v>0.1</v>
      </c>
      <c r="F84" s="3113">
        <v>15</v>
      </c>
    </row>
    <row r="85" spans="1:6" ht="13.5">
      <c r="A85" s="3113">
        <v>13</v>
      </c>
      <c r="B85" s="3791"/>
      <c r="C85" s="3087" t="s">
        <v>2679</v>
      </c>
      <c r="D85" s="3087" t="s">
        <v>2680</v>
      </c>
      <c r="E85" s="3113">
        <v>0.1</v>
      </c>
      <c r="F85" s="3113">
        <v>15</v>
      </c>
    </row>
    <row r="86" spans="1:6" ht="13.5">
      <c r="A86" s="3113">
        <v>14</v>
      </c>
      <c r="B86" s="3791"/>
      <c r="C86" s="3087" t="s">
        <v>2681</v>
      </c>
      <c r="D86" s="3087" t="s">
        <v>2682</v>
      </c>
      <c r="E86" s="3113">
        <v>0.1</v>
      </c>
      <c r="F86" s="3113">
        <v>15</v>
      </c>
    </row>
    <row r="87" spans="1:6" ht="13.5">
      <c r="A87" s="3113">
        <v>15</v>
      </c>
      <c r="B87" s="3791"/>
      <c r="C87" s="3087" t="s">
        <v>2683</v>
      </c>
      <c r="D87" s="3087" t="s">
        <v>2684</v>
      </c>
      <c r="E87" s="3113">
        <v>0.1</v>
      </c>
      <c r="F87" s="3113">
        <v>15</v>
      </c>
    </row>
    <row r="88" spans="1:6" ht="24">
      <c r="A88" s="3113">
        <v>16</v>
      </c>
      <c r="B88" s="3791"/>
      <c r="C88" s="3087" t="s">
        <v>2685</v>
      </c>
      <c r="D88" s="3087" t="s">
        <v>2686</v>
      </c>
      <c r="E88" s="3113">
        <v>0.1</v>
      </c>
      <c r="F88" s="3113">
        <v>15</v>
      </c>
    </row>
    <row r="89" spans="1:6" ht="24">
      <c r="A89" s="3113">
        <v>17</v>
      </c>
      <c r="B89" s="3800"/>
      <c r="C89" s="3087" t="s">
        <v>2687</v>
      </c>
      <c r="D89" s="3087" t="s">
        <v>2688</v>
      </c>
      <c r="E89" s="3113">
        <v>0.1</v>
      </c>
      <c r="F89" s="3113">
        <v>15</v>
      </c>
    </row>
    <row r="90" spans="1:6" ht="13.5">
      <c r="A90" s="3113">
        <v>18</v>
      </c>
      <c r="B90" s="3796" t="s">
        <v>2689</v>
      </c>
      <c r="C90" s="3087" t="s">
        <v>2690</v>
      </c>
      <c r="D90" s="3087" t="s">
        <v>2691</v>
      </c>
      <c r="E90" s="3113">
        <v>0.2</v>
      </c>
      <c r="F90" s="3113">
        <v>25</v>
      </c>
    </row>
    <row r="91" spans="1:6" ht="24">
      <c r="A91" s="3113">
        <v>19</v>
      </c>
      <c r="B91" s="3791"/>
      <c r="C91" s="3087" t="s">
        <v>2692</v>
      </c>
      <c r="D91" s="3087" t="s">
        <v>2693</v>
      </c>
      <c r="E91" s="3113">
        <v>0.2</v>
      </c>
      <c r="F91" s="3113">
        <v>25</v>
      </c>
    </row>
    <row r="92" spans="1:6" ht="13.5">
      <c r="A92" s="3113">
        <v>20</v>
      </c>
      <c r="B92" s="3791"/>
      <c r="C92" s="3087" t="s">
        <v>2694</v>
      </c>
      <c r="D92" s="3087" t="s">
        <v>2695</v>
      </c>
      <c r="E92" s="3113">
        <v>0.15</v>
      </c>
      <c r="F92" s="3113">
        <v>20</v>
      </c>
    </row>
    <row r="93" spans="1:6" ht="13.5">
      <c r="A93" s="3113">
        <v>21</v>
      </c>
      <c r="B93" s="3791"/>
      <c r="C93" s="3087" t="s">
        <v>2696</v>
      </c>
      <c r="D93" s="3087" t="s">
        <v>2697</v>
      </c>
      <c r="E93" s="3113">
        <v>0.15</v>
      </c>
      <c r="F93" s="3113">
        <v>20</v>
      </c>
    </row>
    <row r="94" spans="1:6" ht="13.5">
      <c r="A94" s="3113">
        <v>22</v>
      </c>
      <c r="B94" s="3791"/>
      <c r="C94" s="3087" t="s">
        <v>2698</v>
      </c>
      <c r="D94" s="3087" t="s">
        <v>2699</v>
      </c>
      <c r="E94" s="3113">
        <v>0.15</v>
      </c>
      <c r="F94" s="3113">
        <v>20</v>
      </c>
    </row>
    <row r="95" spans="1:6" ht="36">
      <c r="A95" s="3113">
        <v>23</v>
      </c>
      <c r="B95" s="3791"/>
      <c r="C95" s="3087" t="s">
        <v>2700</v>
      </c>
      <c r="D95" s="3087" t="s">
        <v>2701</v>
      </c>
      <c r="E95" s="3113">
        <v>0.15</v>
      </c>
      <c r="F95" s="3113">
        <v>20</v>
      </c>
    </row>
    <row r="96" spans="1:6" ht="13.5">
      <c r="A96" s="3113">
        <v>24</v>
      </c>
      <c r="B96" s="3791"/>
      <c r="C96" s="3087" t="s">
        <v>2702</v>
      </c>
      <c r="D96" s="3087" t="s">
        <v>2703</v>
      </c>
      <c r="E96" s="3113">
        <v>0.1</v>
      </c>
      <c r="F96" s="3113">
        <v>15</v>
      </c>
    </row>
    <row r="97" spans="1:6" ht="13.5">
      <c r="A97" s="3113">
        <v>25</v>
      </c>
      <c r="B97" s="3791"/>
      <c r="C97" s="3087" t="s">
        <v>2704</v>
      </c>
      <c r="D97" s="3087" t="s">
        <v>2705</v>
      </c>
      <c r="E97" s="3113">
        <v>0.1</v>
      </c>
      <c r="F97" s="3113">
        <v>15</v>
      </c>
    </row>
    <row r="98" spans="1:6" ht="24">
      <c r="A98" s="3113">
        <v>26</v>
      </c>
      <c r="B98" s="3791"/>
      <c r="C98" s="3087" t="s">
        <v>2706</v>
      </c>
      <c r="D98" s="3087" t="s">
        <v>2707</v>
      </c>
      <c r="E98" s="3113">
        <v>0.1</v>
      </c>
      <c r="F98" s="3113">
        <v>15</v>
      </c>
    </row>
    <row r="99" spans="1:6" ht="24">
      <c r="A99" s="3113">
        <v>27</v>
      </c>
      <c r="B99" s="3791"/>
      <c r="C99" s="3087" t="s">
        <v>2708</v>
      </c>
      <c r="D99" s="3087" t="s">
        <v>2709</v>
      </c>
      <c r="E99" s="3113">
        <v>0.1</v>
      </c>
      <c r="F99" s="3113">
        <v>15</v>
      </c>
    </row>
    <row r="100" spans="1:6" ht="13.5">
      <c r="A100" s="3113">
        <v>28</v>
      </c>
      <c r="B100" s="3791"/>
      <c r="C100" s="3087" t="s">
        <v>2710</v>
      </c>
      <c r="D100" s="3087" t="s">
        <v>2711</v>
      </c>
      <c r="E100" s="3113">
        <v>0.1</v>
      </c>
      <c r="F100" s="3113">
        <v>15</v>
      </c>
    </row>
    <row r="101" spans="1:6" ht="13.5">
      <c r="A101" s="3113">
        <v>29</v>
      </c>
      <c r="B101" s="3791"/>
      <c r="C101" s="3087" t="s">
        <v>2712</v>
      </c>
      <c r="D101" s="3087" t="s">
        <v>2713</v>
      </c>
      <c r="E101" s="3113">
        <v>0.1</v>
      </c>
      <c r="F101" s="3113">
        <v>15</v>
      </c>
    </row>
    <row r="102" spans="1:6" ht="13.5">
      <c r="A102" s="3113">
        <v>30</v>
      </c>
      <c r="B102" s="3791"/>
      <c r="C102" s="3087" t="s">
        <v>2714</v>
      </c>
      <c r="D102" s="3087" t="s">
        <v>2715</v>
      </c>
      <c r="E102" s="3113">
        <v>0.1</v>
      </c>
      <c r="F102" s="3113">
        <v>15</v>
      </c>
    </row>
    <row r="103" spans="1:6" ht="24">
      <c r="A103" s="3113">
        <v>31</v>
      </c>
      <c r="B103" s="3791"/>
      <c r="C103" s="3087" t="s">
        <v>2716</v>
      </c>
      <c r="D103" s="3087" t="s">
        <v>2717</v>
      </c>
      <c r="E103" s="3113">
        <v>0.1</v>
      </c>
      <c r="F103" s="3113">
        <v>15</v>
      </c>
    </row>
    <row r="104" spans="1:6" ht="24">
      <c r="A104" s="3113">
        <v>32</v>
      </c>
      <c r="B104" s="3791"/>
      <c r="C104" s="3087" t="s">
        <v>2718</v>
      </c>
      <c r="D104" s="3087" t="s">
        <v>2719</v>
      </c>
      <c r="E104" s="3113">
        <v>0.1</v>
      </c>
      <c r="F104" s="3113">
        <v>15</v>
      </c>
    </row>
    <row r="105" spans="1:6" ht="24">
      <c r="A105" s="3113">
        <v>33</v>
      </c>
      <c r="B105" s="3791"/>
      <c r="C105" s="3087" t="s">
        <v>2720</v>
      </c>
      <c r="D105" s="3087" t="s">
        <v>2721</v>
      </c>
      <c r="E105" s="3113">
        <v>0.1</v>
      </c>
      <c r="F105" s="3113">
        <v>15</v>
      </c>
    </row>
    <row r="106" spans="1:6" ht="24">
      <c r="A106" s="3113">
        <v>34</v>
      </c>
      <c r="B106" s="3800"/>
      <c r="C106" s="3087" t="s">
        <v>2722</v>
      </c>
      <c r="D106" s="3087" t="s">
        <v>2723</v>
      </c>
      <c r="E106" s="3113">
        <v>0.1</v>
      </c>
      <c r="F106" s="3113">
        <v>15</v>
      </c>
    </row>
    <row r="107" spans="1:6" ht="24">
      <c r="A107" s="3113">
        <v>35</v>
      </c>
      <c r="B107" s="3796" t="s">
        <v>2724</v>
      </c>
      <c r="C107" s="3113" t="s">
        <v>2725</v>
      </c>
      <c r="D107" s="3087" t="s">
        <v>2726</v>
      </c>
      <c r="E107" s="3113">
        <v>0.15</v>
      </c>
      <c r="F107" s="3113">
        <v>20</v>
      </c>
    </row>
    <row r="108" spans="1:6" ht="13.5">
      <c r="A108" s="3113">
        <v>36</v>
      </c>
      <c r="B108" s="3791"/>
      <c r="C108" s="3113" t="s">
        <v>2727</v>
      </c>
      <c r="D108" s="3087" t="s">
        <v>2728</v>
      </c>
      <c r="E108" s="3113">
        <v>0.15</v>
      </c>
      <c r="F108" s="3113">
        <v>20</v>
      </c>
    </row>
    <row r="109" spans="1:6" ht="13.5">
      <c r="A109" s="3113">
        <v>37</v>
      </c>
      <c r="B109" s="3791"/>
      <c r="C109" s="3113" t="s">
        <v>2729</v>
      </c>
      <c r="D109" s="3087" t="s">
        <v>2730</v>
      </c>
      <c r="E109" s="3113">
        <v>0.15</v>
      </c>
      <c r="F109" s="3113">
        <v>20</v>
      </c>
    </row>
    <row r="110" spans="1:6" ht="13.5">
      <c r="A110" s="3113">
        <v>38</v>
      </c>
      <c r="B110" s="3791"/>
      <c r="C110" s="3113" t="s">
        <v>2731</v>
      </c>
      <c r="D110" s="3087" t="s">
        <v>2732</v>
      </c>
      <c r="E110" s="3113">
        <v>0.1</v>
      </c>
      <c r="F110" s="3113">
        <v>15</v>
      </c>
    </row>
    <row r="111" spans="1:6" ht="24">
      <c r="A111" s="3113">
        <v>39</v>
      </c>
      <c r="B111" s="3791"/>
      <c r="C111" s="3113" t="s">
        <v>2733</v>
      </c>
      <c r="D111" s="3087" t="s">
        <v>2734</v>
      </c>
      <c r="E111" s="3113">
        <v>0.1</v>
      </c>
      <c r="F111" s="3113">
        <v>15</v>
      </c>
    </row>
    <row r="112" spans="1:6" ht="24">
      <c r="A112" s="3113">
        <v>40</v>
      </c>
      <c r="B112" s="3800"/>
      <c r="C112" s="3113" t="s">
        <v>2735</v>
      </c>
      <c r="D112" s="3087" t="s">
        <v>2736</v>
      </c>
      <c r="E112" s="3113">
        <v>0.1</v>
      </c>
      <c r="F112" s="3113">
        <v>15</v>
      </c>
    </row>
    <row r="113" spans="1:6" ht="13.5">
      <c r="A113" s="3113">
        <v>41</v>
      </c>
      <c r="B113" s="3801" t="s">
        <v>2737</v>
      </c>
      <c r="C113" s="3113" t="s">
        <v>2738</v>
      </c>
      <c r="D113" s="3087" t="s">
        <v>2739</v>
      </c>
      <c r="E113" s="3113">
        <v>0.1</v>
      </c>
      <c r="F113" s="3113">
        <v>15</v>
      </c>
    </row>
    <row r="114" spans="1:6" ht="13.5">
      <c r="A114" s="3113">
        <v>42</v>
      </c>
      <c r="B114" s="3801"/>
      <c r="C114" s="3113" t="s">
        <v>2740</v>
      </c>
      <c r="D114" s="3087" t="s">
        <v>2741</v>
      </c>
      <c r="E114" s="3113">
        <v>0.1</v>
      </c>
      <c r="F114" s="3113">
        <v>15</v>
      </c>
    </row>
    <row r="115" spans="1:6" ht="24">
      <c r="A115" s="3113">
        <v>43</v>
      </c>
      <c r="B115" s="3801"/>
      <c r="C115" s="3113" t="s">
        <v>2742</v>
      </c>
      <c r="D115" s="3087" t="s">
        <v>2743</v>
      </c>
      <c r="E115" s="3113">
        <v>0.1</v>
      </c>
      <c r="F115" s="3113">
        <v>15</v>
      </c>
    </row>
    <row r="116" spans="1:6" ht="13.5">
      <c r="A116" s="3113">
        <v>44</v>
      </c>
      <c r="B116" s="3796" t="s">
        <v>2744</v>
      </c>
      <c r="C116" s="3113" t="s">
        <v>2745</v>
      </c>
      <c r="D116" s="3087" t="s">
        <v>2746</v>
      </c>
      <c r="E116" s="3113">
        <v>0.1</v>
      </c>
      <c r="F116" s="3113">
        <v>15</v>
      </c>
    </row>
    <row r="117" spans="1:6" ht="24">
      <c r="A117" s="3113">
        <v>45</v>
      </c>
      <c r="B117" s="3800"/>
      <c r="C117" s="3087" t="s">
        <v>2747</v>
      </c>
      <c r="D117" s="3087" t="s">
        <v>2748</v>
      </c>
      <c r="E117" s="3113">
        <v>0.1</v>
      </c>
      <c r="F117" s="3113">
        <v>15</v>
      </c>
    </row>
    <row r="118" spans="1:6" ht="24">
      <c r="A118" s="3113">
        <v>46</v>
      </c>
      <c r="B118" s="3796" t="s">
        <v>2749</v>
      </c>
      <c r="C118" s="3113" t="s">
        <v>2750</v>
      </c>
      <c r="D118" s="3087" t="s">
        <v>2751</v>
      </c>
      <c r="E118" s="3113">
        <v>0.1</v>
      </c>
      <c r="F118" s="3113">
        <v>15</v>
      </c>
    </row>
    <row r="119" spans="1:6" ht="24">
      <c r="A119" s="3113">
        <v>47</v>
      </c>
      <c r="B119" s="3800"/>
      <c r="C119" s="3113" t="s">
        <v>2752</v>
      </c>
      <c r="D119" s="3087" t="s">
        <v>2753</v>
      </c>
      <c r="E119" s="3113">
        <v>0.1</v>
      </c>
      <c r="F119" s="3113">
        <v>15</v>
      </c>
    </row>
    <row r="120" spans="1:6" ht="13.5">
      <c r="A120" s="3113">
        <v>48</v>
      </c>
      <c r="B120" s="3796" t="s">
        <v>2754</v>
      </c>
      <c r="C120" s="3113" t="s">
        <v>2755</v>
      </c>
      <c r="D120" s="3087" t="s">
        <v>2756</v>
      </c>
      <c r="E120" s="3113">
        <v>0.1</v>
      </c>
      <c r="F120" s="3113">
        <v>15</v>
      </c>
    </row>
    <row r="121" spans="1:6" ht="13.5">
      <c r="A121" s="3113">
        <v>49</v>
      </c>
      <c r="B121" s="3800"/>
      <c r="C121" s="3113" t="s">
        <v>2757</v>
      </c>
      <c r="D121" s="3087" t="s">
        <v>2758</v>
      </c>
      <c r="E121" s="3113">
        <v>0.1</v>
      </c>
      <c r="F121" s="3113">
        <v>15</v>
      </c>
    </row>
    <row r="122" spans="1:6" ht="24">
      <c r="A122" s="3113">
        <v>50</v>
      </c>
      <c r="B122" s="3801" t="s">
        <v>2759</v>
      </c>
      <c r="C122" s="3113" t="s">
        <v>2760</v>
      </c>
      <c r="D122" s="3087" t="s">
        <v>2761</v>
      </c>
      <c r="E122" s="3113">
        <v>0.1</v>
      </c>
      <c r="F122" s="3113">
        <v>15</v>
      </c>
    </row>
    <row r="123" spans="1:6" ht="24">
      <c r="A123" s="3113">
        <v>51</v>
      </c>
      <c r="B123" s="3801"/>
      <c r="C123" s="3113" t="s">
        <v>2762</v>
      </c>
      <c r="D123" s="3087" t="s">
        <v>2763</v>
      </c>
      <c r="E123" s="3113">
        <v>0.1</v>
      </c>
      <c r="F123" s="3113">
        <v>15</v>
      </c>
    </row>
    <row r="124" spans="1:6" ht="24">
      <c r="A124" s="3113">
        <v>52</v>
      </c>
      <c r="B124" s="3801" t="s">
        <v>2764</v>
      </c>
      <c r="C124" s="3113" t="s">
        <v>2765</v>
      </c>
      <c r="D124" s="3087" t="s">
        <v>2766</v>
      </c>
      <c r="E124" s="3113">
        <v>0.1</v>
      </c>
      <c r="F124" s="3113">
        <v>15</v>
      </c>
    </row>
    <row r="125" spans="1:6" ht="24">
      <c r="A125" s="3113">
        <v>53</v>
      </c>
      <c r="B125" s="3801"/>
      <c r="C125" s="3113" t="s">
        <v>2767</v>
      </c>
      <c r="D125" s="3087" t="s">
        <v>2768</v>
      </c>
      <c r="E125" s="3113">
        <v>0.1</v>
      </c>
      <c r="F125" s="3113">
        <v>15</v>
      </c>
    </row>
    <row r="126" spans="1:6" ht="13.5">
      <c r="A126" s="3113">
        <v>54</v>
      </c>
      <c r="B126" s="3113" t="s">
        <v>2769</v>
      </c>
      <c r="C126" s="3113" t="s">
        <v>2770</v>
      </c>
      <c r="D126" s="3087" t="s">
        <v>2771</v>
      </c>
      <c r="E126" s="3113">
        <v>0.1</v>
      </c>
      <c r="F126" s="3113">
        <v>15</v>
      </c>
    </row>
    <row r="127" spans="1:6" ht="13.5">
      <c r="A127" s="3113">
        <v>55</v>
      </c>
      <c r="B127" s="3801" t="s">
        <v>2772</v>
      </c>
      <c r="C127" s="3113" t="s">
        <v>2773</v>
      </c>
      <c r="D127" s="3087" t="s">
        <v>2774</v>
      </c>
      <c r="E127" s="3113">
        <v>0.1</v>
      </c>
      <c r="F127" s="3113">
        <v>15</v>
      </c>
    </row>
    <row r="128" spans="1:6" ht="13.5">
      <c r="A128" s="3113">
        <v>56</v>
      </c>
      <c r="B128" s="3801"/>
      <c r="C128" s="3113" t="s">
        <v>2775</v>
      </c>
      <c r="D128" s="3087" t="s">
        <v>2776</v>
      </c>
      <c r="E128" s="3113">
        <v>0.1</v>
      </c>
      <c r="F128" s="3113">
        <v>15</v>
      </c>
    </row>
    <row r="129" spans="1:6" ht="24">
      <c r="A129" s="3113">
        <v>57</v>
      </c>
      <c r="B129" s="3801"/>
      <c r="C129" s="3113" t="s">
        <v>2777</v>
      </c>
      <c r="D129" s="3087" t="s">
        <v>2778</v>
      </c>
      <c r="E129" s="3113">
        <v>0.1</v>
      </c>
      <c r="F129" s="3113">
        <v>15</v>
      </c>
    </row>
    <row r="130" spans="1:6" ht="24">
      <c r="A130" s="3113">
        <v>58</v>
      </c>
      <c r="B130" s="3801" t="s">
        <v>2779</v>
      </c>
      <c r="C130" s="3113" t="s">
        <v>2780</v>
      </c>
      <c r="D130" s="3087" t="s">
        <v>2781</v>
      </c>
      <c r="E130" s="3113">
        <v>0.1</v>
      </c>
      <c r="F130" s="3113">
        <v>15</v>
      </c>
    </row>
    <row r="131" spans="1:6" ht="13.5">
      <c r="A131" s="3113">
        <v>59</v>
      </c>
      <c r="B131" s="3801"/>
      <c r="C131" s="3113" t="s">
        <v>2782</v>
      </c>
      <c r="D131" s="3087" t="s">
        <v>2783</v>
      </c>
      <c r="E131" s="3113">
        <v>0.1</v>
      </c>
      <c r="F131" s="3113">
        <v>15</v>
      </c>
    </row>
    <row r="132" spans="1:6" ht="13.5">
      <c r="A132" s="3113">
        <v>60</v>
      </c>
      <c r="B132" s="3796" t="s">
        <v>2784</v>
      </c>
      <c r="C132" s="3113" t="s">
        <v>2785</v>
      </c>
      <c r="D132" s="3087" t="s">
        <v>2786</v>
      </c>
      <c r="E132" s="3113">
        <v>0.1</v>
      </c>
      <c r="F132" s="3113">
        <v>15</v>
      </c>
    </row>
    <row r="133" spans="1:6" ht="13.5">
      <c r="A133" s="3113">
        <v>61</v>
      </c>
      <c r="B133" s="3800"/>
      <c r="C133" s="3113" t="s">
        <v>2787</v>
      </c>
      <c r="D133" s="3087" t="s">
        <v>2788</v>
      </c>
      <c r="E133" s="3113">
        <v>0.1</v>
      </c>
      <c r="F133" s="3113">
        <v>15</v>
      </c>
    </row>
    <row r="134" spans="1:6" ht="24">
      <c r="A134" s="3113">
        <v>62</v>
      </c>
      <c r="B134" s="3113" t="s">
        <v>2789</v>
      </c>
      <c r="C134" s="3113" t="s">
        <v>2790</v>
      </c>
      <c r="D134" s="3087" t="s">
        <v>2791</v>
      </c>
      <c r="E134" s="3113">
        <v>0.1</v>
      </c>
      <c r="F134" s="3113">
        <v>15</v>
      </c>
    </row>
    <row r="135" spans="1:6" ht="13.5">
      <c r="A135" s="3113">
        <v>63</v>
      </c>
      <c r="B135" s="3801" t="s">
        <v>2792</v>
      </c>
      <c r="C135" s="3113" t="s">
        <v>2793</v>
      </c>
      <c r="D135" s="3087" t="s">
        <v>2794</v>
      </c>
      <c r="E135" s="3113">
        <v>0.1</v>
      </c>
      <c r="F135" s="3113">
        <v>15</v>
      </c>
    </row>
    <row r="136" spans="1:6" ht="13.5">
      <c r="A136" s="3113">
        <v>64</v>
      </c>
      <c r="B136" s="3801"/>
      <c r="C136" s="3113" t="s">
        <v>2795</v>
      </c>
      <c r="D136" s="3087" t="s">
        <v>2796</v>
      </c>
      <c r="E136" s="3113">
        <v>0.1</v>
      </c>
      <c r="F136" s="3113">
        <v>15</v>
      </c>
    </row>
    <row r="137" spans="1:6" ht="13.5">
      <c r="A137" s="3113">
        <v>65</v>
      </c>
      <c r="B137" s="3113" t="s">
        <v>2797</v>
      </c>
      <c r="C137" s="3113" t="s">
        <v>2798</v>
      </c>
      <c r="D137" s="3087" t="s">
        <v>2799</v>
      </c>
      <c r="E137" s="3113">
        <v>0.1</v>
      </c>
      <c r="F137" s="3113">
        <v>15</v>
      </c>
    </row>
    <row r="138" spans="1:6" ht="13.5">
      <c r="A138" s="3113"/>
      <c r="B138" s="3113"/>
      <c r="C138" s="3113"/>
      <c r="D138" s="3113"/>
      <c r="E138" s="3113" t="s">
        <v>2800</v>
      </c>
      <c r="F138" s="3113"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2801</v>
      </c>
      <c r="B1" s="3122"/>
      <c r="C1" s="3122"/>
      <c r="D1" s="3122"/>
      <c r="E1" s="3122"/>
      <c r="F1" s="3122"/>
      <c r="G1" s="3122"/>
      <c r="H1" s="3122"/>
      <c r="I1" s="3122"/>
      <c r="J1" s="3122"/>
      <c r="K1" s="3122"/>
      <c r="L1" s="3122"/>
      <c r="M1" s="3122"/>
      <c r="N1" s="745"/>
    </row>
    <row r="2" spans="1:20">
      <c r="A2" s="3123" t="s">
        <v>2802</v>
      </c>
      <c r="B2" s="3124" t="s">
        <v>2598</v>
      </c>
      <c r="C2" s="3124" t="s">
        <v>2599</v>
      </c>
      <c r="D2" s="3124" t="s">
        <v>2600</v>
      </c>
      <c r="E2" s="3124" t="s">
        <v>2601</v>
      </c>
      <c r="F2" s="3124" t="s">
        <v>2602</v>
      </c>
      <c r="G2" s="3124" t="s">
        <v>2603</v>
      </c>
      <c r="H2" s="3125" t="s">
        <v>2604</v>
      </c>
      <c r="I2" s="3125" t="s">
        <v>2605</v>
      </c>
      <c r="J2" s="3126" t="s">
        <v>2606</v>
      </c>
      <c r="K2" s="3126" t="s">
        <v>2607</v>
      </c>
      <c r="L2" s="3126" t="s">
        <v>2608</v>
      </c>
      <c r="M2" s="3127" t="s">
        <v>2609</v>
      </c>
      <c r="Q2" s="3137" t="s">
        <v>2807</v>
      </c>
      <c r="R2" s="3137" t="s">
        <v>2808</v>
      </c>
      <c r="S2" s="3137" t="s">
        <v>2809</v>
      </c>
      <c r="T2" s="3137" t="s">
        <v>2810</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2803</v>
      </c>
      <c r="B93" s="3122"/>
      <c r="C93" s="3122"/>
      <c r="D93" s="3122"/>
      <c r="E93" s="3122"/>
      <c r="F93" s="3122"/>
      <c r="G93" s="3122"/>
      <c r="H93" s="3122"/>
      <c r="I93" s="3122"/>
      <c r="J93" s="3122"/>
      <c r="K93" s="3122"/>
      <c r="L93" s="3122"/>
      <c r="M93" s="3122"/>
    </row>
    <row r="94" spans="1:20">
      <c r="A94" s="3123" t="s">
        <v>2802</v>
      </c>
      <c r="B94" s="3124" t="s">
        <v>2598</v>
      </c>
      <c r="C94" s="3124" t="s">
        <v>2599</v>
      </c>
      <c r="D94" s="3124" t="s">
        <v>2600</v>
      </c>
      <c r="E94" s="3124" t="s">
        <v>2601</v>
      </c>
      <c r="F94" s="3124" t="s">
        <v>2602</v>
      </c>
      <c r="G94" s="3124" t="s">
        <v>2603</v>
      </c>
      <c r="H94" s="3125" t="s">
        <v>2604</v>
      </c>
      <c r="I94" s="3125" t="s">
        <v>2605</v>
      </c>
      <c r="J94" s="3126" t="s">
        <v>2606</v>
      </c>
      <c r="K94" s="3126" t="s">
        <v>2607</v>
      </c>
      <c r="L94" s="3126" t="s">
        <v>2608</v>
      </c>
      <c r="M94" s="3127" t="s">
        <v>2609</v>
      </c>
      <c r="N94" s="746">
        <f>SUMPRODUCT((A95:A184=ROUNDDOWN(基准地价修正!G3,1))*(B94:M94=基准地价修正!G2)*(B95:M184))</f>
        <v>0.95779999999999998</v>
      </c>
      <c r="Q94" s="3137" t="s">
        <v>2807</v>
      </c>
      <c r="R94" s="3137" t="s">
        <v>2808</v>
      </c>
      <c r="S94" s="3137" t="s">
        <v>2809</v>
      </c>
      <c r="T94" s="3137" t="s">
        <v>2810</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2804</v>
      </c>
      <c r="B185" s="3122"/>
      <c r="C185" s="3122"/>
      <c r="D185" s="3122"/>
      <c r="E185" s="3122"/>
      <c r="F185" s="3122"/>
      <c r="G185" s="3122"/>
      <c r="H185" s="3122"/>
      <c r="I185" s="3122"/>
      <c r="J185" s="3122"/>
      <c r="K185" s="3122"/>
      <c r="L185" s="3122"/>
      <c r="M185" s="3122"/>
    </row>
    <row r="186" spans="1:20">
      <c r="A186" s="3123" t="s">
        <v>2802</v>
      </c>
      <c r="B186" s="3124" t="s">
        <v>2598</v>
      </c>
      <c r="C186" s="3124" t="s">
        <v>2599</v>
      </c>
      <c r="D186" s="3124" t="s">
        <v>2600</v>
      </c>
      <c r="E186" s="3124" t="s">
        <v>2601</v>
      </c>
      <c r="F186" s="3124" t="s">
        <v>2602</v>
      </c>
      <c r="G186" s="3124" t="s">
        <v>2603</v>
      </c>
      <c r="H186" s="3125" t="s">
        <v>2604</v>
      </c>
      <c r="I186" s="3125" t="s">
        <v>2605</v>
      </c>
      <c r="J186" s="3126" t="s">
        <v>2606</v>
      </c>
      <c r="K186" s="3126" t="s">
        <v>2607</v>
      </c>
      <c r="L186" s="3126" t="s">
        <v>2608</v>
      </c>
      <c r="M186" s="3127" t="s">
        <v>2609</v>
      </c>
      <c r="Q186" s="3137" t="s">
        <v>2807</v>
      </c>
      <c r="R186" s="3137" t="s">
        <v>2808</v>
      </c>
      <c r="S186" s="3137" t="s">
        <v>2809</v>
      </c>
      <c r="T186" s="3137" t="s">
        <v>2810</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2805</v>
      </c>
      <c r="B277" s="3122"/>
      <c r="C277" s="3122"/>
      <c r="D277" s="3122"/>
      <c r="E277" s="3122"/>
      <c r="F277" s="3122"/>
      <c r="G277" s="3122"/>
      <c r="H277" s="3122"/>
      <c r="I277" s="3122"/>
      <c r="J277" s="3122"/>
      <c r="K277" s="3122"/>
      <c r="L277" s="3122"/>
      <c r="M277" s="3122"/>
    </row>
    <row r="278" spans="1:21">
      <c r="A278" s="3123" t="s">
        <v>2802</v>
      </c>
      <c r="B278" s="3124" t="s">
        <v>2598</v>
      </c>
      <c r="C278" s="3124" t="s">
        <v>2599</v>
      </c>
      <c r="D278" s="3124" t="s">
        <v>2600</v>
      </c>
      <c r="E278" s="3124" t="s">
        <v>2601</v>
      </c>
      <c r="F278" s="3124" t="s">
        <v>2602</v>
      </c>
      <c r="G278" s="3124" t="s">
        <v>2603</v>
      </c>
      <c r="H278" s="3125" t="s">
        <v>2604</v>
      </c>
      <c r="I278" s="3125" t="s">
        <v>2605</v>
      </c>
      <c r="J278" s="3126" t="s">
        <v>2606</v>
      </c>
      <c r="K278" s="3126" t="s">
        <v>2607</v>
      </c>
      <c r="L278" s="3126" t="s">
        <v>2608</v>
      </c>
      <c r="M278" s="3127" t="s">
        <v>2609</v>
      </c>
      <c r="Q278" s="3137" t="s">
        <v>2807</v>
      </c>
      <c r="R278" s="3137" t="s">
        <v>2808</v>
      </c>
      <c r="S278" s="3137" t="s">
        <v>2811</v>
      </c>
      <c r="T278" s="3137" t="s">
        <v>2812</v>
      </c>
      <c r="U278" s="3137" t="s">
        <v>2810</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2806</v>
      </c>
      <c r="B369" s="3135"/>
      <c r="C369" s="3135"/>
      <c r="D369" s="3135"/>
      <c r="E369" s="3135"/>
      <c r="F369" s="3135"/>
      <c r="G369" s="3135"/>
      <c r="H369" s="3135"/>
      <c r="I369" s="3135"/>
      <c r="J369" s="3135"/>
      <c r="K369" s="3135"/>
      <c r="L369" s="3135"/>
      <c r="M369" s="3135"/>
    </row>
    <row r="370" spans="1:20">
      <c r="A370" s="3123" t="s">
        <v>2802</v>
      </c>
      <c r="B370" s="3124" t="s">
        <v>2598</v>
      </c>
      <c r="C370" s="3124" t="s">
        <v>2599</v>
      </c>
      <c r="D370" s="3124" t="s">
        <v>2600</v>
      </c>
      <c r="E370" s="3124" t="s">
        <v>2601</v>
      </c>
      <c r="F370" s="3124" t="s">
        <v>2602</v>
      </c>
      <c r="G370" s="3124" t="s">
        <v>2603</v>
      </c>
      <c r="H370" s="3125" t="s">
        <v>2604</v>
      </c>
      <c r="I370" s="3125" t="s">
        <v>2605</v>
      </c>
      <c r="J370" s="3126" t="s">
        <v>2606</v>
      </c>
      <c r="K370" s="3126" t="s">
        <v>2607</v>
      </c>
      <c r="L370" s="3126" t="s">
        <v>2608</v>
      </c>
      <c r="M370" s="3127" t="s">
        <v>2609</v>
      </c>
      <c r="N370" s="746">
        <f>SUMPRODUCT((A371:A460=ROUNDDOWN(基准地价修正!G3,1))*(B370:M370=基准地价修正!G2)*(B371:M460))</f>
        <v>0.90720000000000001</v>
      </c>
      <c r="Q370" s="3137" t="s">
        <v>2807</v>
      </c>
      <c r="R370" s="3137" t="s">
        <v>2808</v>
      </c>
      <c r="S370" s="3137" t="s">
        <v>2809</v>
      </c>
      <c r="T370" s="3137" t="s">
        <v>2810</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79269</v>
      </c>
      <c r="C2" s="2" t="s">
        <v>106</v>
      </c>
      <c r="D2" s="199"/>
      <c r="E2" s="199"/>
      <c r="F2" s="199"/>
      <c r="G2" s="199"/>
    </row>
    <row r="3" spans="1:7" s="200" customFormat="1" ht="18" customHeight="1" thickBot="1">
      <c r="A3" s="203" t="s">
        <v>58</v>
      </c>
      <c r="B3" s="204">
        <f ca="1">ROUND(B2*10000/'数据-汇总表'!E3,0)</f>
        <v>11732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1284</v>
      </c>
      <c r="D10" s="841">
        <f>'数据-汇总表'!E6</f>
        <v>67567.27</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1351</v>
      </c>
      <c r="D19" s="845">
        <f>'数据-汇总表'!E3</f>
        <v>67567.27</v>
      </c>
      <c r="E19" s="211">
        <f>'数据-取费表'!B31</f>
        <v>200</v>
      </c>
      <c r="F19" s="231"/>
      <c r="G19" s="1" t="s">
        <v>436</v>
      </c>
    </row>
    <row r="20" spans="1:7" s="214" customFormat="1" ht="13.5" customHeight="1">
      <c r="A20" s="773" t="s">
        <v>419</v>
      </c>
      <c r="B20" s="210" t="s">
        <v>77</v>
      </c>
      <c r="C20" s="232">
        <f>ROUND((C5+C19)*F20,0)</f>
        <v>439</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1557</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95</v>
      </c>
      <c r="D24" s="238"/>
      <c r="E24" s="238"/>
      <c r="F24" s="239"/>
      <c r="G24" s="240" t="s">
        <v>82</v>
      </c>
    </row>
    <row r="25" spans="1:7" s="214" customFormat="1" ht="24">
      <c r="A25" s="776" t="s">
        <v>348</v>
      </c>
      <c r="B25" s="215" t="s">
        <v>420</v>
      </c>
      <c r="C25" s="1101">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3136</v>
      </c>
      <c r="D27" s="235">
        <f>C29</f>
        <v>2.8E-3</v>
      </c>
      <c r="E27" s="236" t="s">
        <v>99</v>
      </c>
      <c r="F27" s="246">
        <f>'数据-取费表'!Q16</f>
        <v>0.14000000000000001</v>
      </c>
      <c r="G27" s="247" t="s">
        <v>431</v>
      </c>
    </row>
    <row r="28" spans="1:7" s="214" customFormat="1" ht="13.5" customHeight="1">
      <c r="A28" s="776" t="s">
        <v>349</v>
      </c>
      <c r="B28" s="248" t="s">
        <v>424</v>
      </c>
      <c r="C28" s="249">
        <f>ROUND((C5+C19+C20)*F27*'数据-取费表'!B21/'数据-取费表'!B20,0)</f>
        <v>3136</v>
      </c>
      <c r="D28" s="235"/>
      <c r="E28" s="236"/>
      <c r="F28" s="246"/>
      <c r="G28" s="247"/>
    </row>
    <row r="29" spans="1:7" s="214" customFormat="1" ht="13.5" customHeight="1">
      <c r="A29" s="776" t="s">
        <v>347</v>
      </c>
      <c r="B29" s="248" t="s">
        <v>425</v>
      </c>
      <c r="C29" s="238">
        <f>ROUND(C21*F27*'数据-取费表'!B21/'数据-取费表'!B20,4)</f>
        <v>2.8E-3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43715</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40540</v>
      </c>
      <c r="D34" s="217"/>
      <c r="E34" s="220"/>
      <c r="F34" s="257">
        <f>IF('数据-取费表'!B24=0,1,'数据-取费表'!N16)</f>
        <v>1</v>
      </c>
      <c r="G34" s="219" t="s">
        <v>89</v>
      </c>
    </row>
    <row r="35" spans="1:7" ht="13.5" customHeight="1">
      <c r="A35" s="776" t="s">
        <v>351</v>
      </c>
      <c r="B35" s="215" t="s">
        <v>33</v>
      </c>
      <c r="C35" s="220">
        <f>ROUND(C34*F35,0)</f>
        <v>1216</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1351</v>
      </c>
      <c r="D37" s="217">
        <f>'数据-汇总表'!E3</f>
        <v>67567.27</v>
      </c>
      <c r="E37" s="249">
        <f>'数据-取费表'!B35</f>
        <v>200</v>
      </c>
      <c r="F37" s="259"/>
      <c r="G37" s="261" t="s">
        <v>92</v>
      </c>
    </row>
    <row r="38" spans="1:7" ht="13.5" customHeight="1">
      <c r="A38" s="776" t="s">
        <v>354</v>
      </c>
      <c r="B38" s="215" t="s">
        <v>36</v>
      </c>
      <c r="C38" s="220">
        <f>ROUND(C34*F38,0)</f>
        <v>608</v>
      </c>
      <c r="D38" s="220"/>
      <c r="E38" s="220"/>
      <c r="F38" s="259">
        <f>'数据-取费表'!B36</f>
        <v>1.4999999999999999E-2</v>
      </c>
      <c r="G38" s="219" t="s">
        <v>90</v>
      </c>
    </row>
    <row r="39" spans="1:7" s="214" customFormat="1" ht="13.5" customHeight="1">
      <c r="A39" s="773" t="s">
        <v>338</v>
      </c>
      <c r="B39" s="210" t="s">
        <v>77</v>
      </c>
      <c r="C39" s="232">
        <f>ROUND(C33*F20,0)</f>
        <v>874</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1538</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1508</v>
      </c>
      <c r="D42" s="238"/>
      <c r="E42" s="238"/>
      <c r="F42" s="239"/>
      <c r="G42" s="3734" t="s">
        <v>94</v>
      </c>
    </row>
    <row r="43" spans="1:7" ht="13.5" customHeight="1">
      <c r="A43" s="776" t="s">
        <v>347</v>
      </c>
      <c r="B43" s="215" t="s">
        <v>426</v>
      </c>
      <c r="C43" s="238">
        <f ca="1">ROUND(IF('数据-取费表'!B22&lt;=1,C39*F22*'数据-取费表'!B21/2,C39*(POWER((1+F22),'数据-取费表'!B21/2)-1)),0)</f>
        <v>30</v>
      </c>
      <c r="D43" s="238"/>
      <c r="E43" s="238"/>
      <c r="F43" s="239"/>
      <c r="G43" s="3735"/>
    </row>
    <row r="44" spans="1:7" ht="13.5" customHeight="1">
      <c r="A44" s="776" t="s">
        <v>348</v>
      </c>
      <c r="B44" s="215" t="s">
        <v>428</v>
      </c>
      <c r="C44" s="238">
        <f ca="1">ROUND(IF('数据-取费表'!B22&lt;=1,C40*F22*'数据-取费表'!B21/2,C40*(POWER((1+F22),'数据-取费表'!B21/2)-1)),4)</f>
        <v>6.9999999999999999E-4</v>
      </c>
      <c r="D44" s="238"/>
      <c r="E44" s="238"/>
      <c r="F44" s="239"/>
      <c r="G44" s="3736"/>
    </row>
    <row r="45" spans="1:7" s="214" customFormat="1" ht="13.5" customHeight="1">
      <c r="A45" s="773" t="s">
        <v>341</v>
      </c>
      <c r="B45" s="244" t="s">
        <v>85</v>
      </c>
      <c r="C45" s="245">
        <f>C46</f>
        <v>6242</v>
      </c>
      <c r="D45" s="235">
        <f>C47</f>
        <v>2.8E-3</v>
      </c>
      <c r="E45" s="236" t="s">
        <v>102</v>
      </c>
      <c r="F45" s="246"/>
      <c r="G45" s="247" t="s">
        <v>434</v>
      </c>
    </row>
    <row r="46" spans="1:7" s="214" customFormat="1" ht="13.5" customHeight="1">
      <c r="A46" s="776" t="s">
        <v>349</v>
      </c>
      <c r="B46" s="248" t="s">
        <v>427</v>
      </c>
      <c r="C46" s="249">
        <f>ROUND((C33+C39)*F27,0)</f>
        <v>6242</v>
      </c>
      <c r="D46" s="263"/>
      <c r="E46" s="236"/>
      <c r="F46" s="246"/>
      <c r="G46" s="247"/>
    </row>
    <row r="47" spans="1:7" s="214" customFormat="1" ht="13.5" customHeight="1">
      <c r="A47" s="776" t="s">
        <v>347</v>
      </c>
      <c r="B47" s="248" t="s">
        <v>429</v>
      </c>
      <c r="C47" s="238">
        <f>ROUND(C40*F27,4)</f>
        <v>2.8E-3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56728</v>
      </c>
      <c r="D49" s="232"/>
      <c r="E49" s="232"/>
      <c r="F49" s="264"/>
      <c r="G49" s="234" t="s">
        <v>435</v>
      </c>
    </row>
    <row r="50" spans="1:7" s="258" customFormat="1" ht="24">
      <c r="A50" s="773" t="s">
        <v>344</v>
      </c>
      <c r="B50" s="210" t="s">
        <v>97</v>
      </c>
      <c r="C50" s="232"/>
      <c r="D50" s="232"/>
      <c r="E50" s="232"/>
      <c r="F50" s="264">
        <f>IF('数据-取费表'!B24=0,'数据-取费表'!N16,1)</f>
        <v>0.88</v>
      </c>
      <c r="G50" s="247" t="s">
        <v>98</v>
      </c>
    </row>
    <row r="51" spans="1:7" ht="16.5" customHeight="1">
      <c r="A51" s="773" t="s">
        <v>345</v>
      </c>
      <c r="B51" s="210" t="s">
        <v>105</v>
      </c>
      <c r="C51" s="232">
        <f ca="1">ROUND(C49*F50,0)</f>
        <v>49921</v>
      </c>
      <c r="D51" s="232"/>
      <c r="E51" s="232"/>
      <c r="F51" s="264"/>
      <c r="G51" s="234" t="s">
        <v>37</v>
      </c>
    </row>
    <row r="52" spans="1:7" s="208" customFormat="1" ht="16.5" thickBot="1">
      <c r="A52" s="265" t="s">
        <v>38</v>
      </c>
      <c r="B52" s="266"/>
      <c r="C52" s="267">
        <f ca="1">C31+C51</f>
        <v>79269</v>
      </c>
      <c r="D52" s="266"/>
      <c r="E52" s="266"/>
      <c r="F52" s="266"/>
      <c r="G52" s="268"/>
    </row>
    <row r="55" spans="1:7" ht="15">
      <c r="B55" s="270" t="s">
        <v>39</v>
      </c>
      <c r="C55" s="271"/>
    </row>
    <row r="56" spans="1:7">
      <c r="B56" s="273" t="s">
        <v>40</v>
      </c>
      <c r="C56" s="274">
        <f ca="1">ROUND(C51/C52,3)</f>
        <v>0.63</v>
      </c>
    </row>
    <row r="57" spans="1:7">
      <c r="B57" s="273" t="s">
        <v>41</v>
      </c>
      <c r="C57" s="275">
        <f ca="1">1-C56</f>
        <v>0.37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04" t="s">
        <v>2842</v>
      </c>
      <c r="B1" s="3804"/>
      <c r="C1" s="3804"/>
      <c r="D1" s="3804"/>
      <c r="E1" s="3804"/>
      <c r="F1" s="3804"/>
      <c r="G1" s="3805"/>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02" t="s">
        <v>2869</v>
      </c>
      <c r="B3" s="3225"/>
      <c r="C3" s="3226" t="s">
        <v>2814</v>
      </c>
      <c r="D3" s="3226" t="s">
        <v>2870</v>
      </c>
      <c r="E3" s="3226" t="s">
        <v>2816</v>
      </c>
      <c r="F3" s="3226" t="s">
        <v>2871</v>
      </c>
      <c r="G3" s="3226" t="s">
        <v>2634</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03"/>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06" t="s">
        <v>3184</v>
      </c>
      <c r="B1" s="3806"/>
    </row>
    <row r="2" spans="1:7" ht="14.25" thickBot="1">
      <c r="A2" s="3250"/>
      <c r="B2" s="3250"/>
    </row>
    <row r="3" spans="1:7" ht="14.25" thickBot="1">
      <c r="A3" s="3250"/>
      <c r="B3" s="3250"/>
      <c r="C3" s="3251" t="s">
        <v>2814</v>
      </c>
      <c r="D3" s="3251" t="s">
        <v>2870</v>
      </c>
      <c r="E3" s="3251" t="s">
        <v>2816</v>
      </c>
      <c r="F3" s="3251" t="s">
        <v>2871</v>
      </c>
      <c r="G3" s="3251" t="s">
        <v>2634</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07" t="s">
        <v>3235</v>
      </c>
      <c r="B1" s="3807"/>
      <c r="C1" s="3807"/>
      <c r="D1" s="3807"/>
      <c r="E1" s="3807"/>
      <c r="F1" s="3808"/>
    </row>
    <row r="2" spans="1:6">
      <c r="A2" s="3286" t="s">
        <v>3236</v>
      </c>
      <c r="B2" s="3287"/>
      <c r="C2" s="3287"/>
      <c r="D2" s="3287"/>
      <c r="E2" s="3287"/>
      <c r="F2" s="3287"/>
    </row>
    <row r="3" spans="1:6">
      <c r="A3" s="3286" t="s">
        <v>3237</v>
      </c>
      <c r="B3" s="3287"/>
      <c r="C3" s="3287"/>
      <c r="D3" s="3287"/>
      <c r="E3" s="3287"/>
      <c r="F3" s="3288" t="s">
        <v>3238</v>
      </c>
    </row>
    <row r="4" spans="1:6">
      <c r="A4" s="3289" t="s">
        <v>672</v>
      </c>
      <c r="B4" s="3289" t="s">
        <v>673</v>
      </c>
      <c r="C4" s="3289" t="s">
        <v>21</v>
      </c>
      <c r="D4" s="3289" t="s">
        <v>674</v>
      </c>
      <c r="E4" s="3289" t="s">
        <v>3</v>
      </c>
      <c r="F4" s="3289" t="s">
        <v>3239</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45279</v>
      </c>
      <c r="B1" s="3205" t="s">
        <v>3373</v>
      </c>
      <c r="C1" s="3206"/>
      <c r="D1" s="3206"/>
      <c r="E1" s="3206"/>
      <c r="F1" s="3206"/>
      <c r="G1" s="3206"/>
      <c r="H1" s="3206"/>
      <c r="I1" s="3206"/>
      <c r="J1" s="3160"/>
      <c r="K1" s="3206" t="s">
        <v>454</v>
      </c>
      <c r="L1" s="3206"/>
      <c r="M1" s="3206"/>
      <c r="N1" s="3206"/>
      <c r="O1" s="3206"/>
      <c r="P1" s="3206"/>
      <c r="Q1" s="3160"/>
      <c r="R1" s="3809" t="s">
        <v>456</v>
      </c>
      <c r="S1" s="3810"/>
      <c r="T1" s="3810"/>
      <c r="U1" s="3810"/>
      <c r="V1" s="3810"/>
      <c r="W1" s="3810"/>
      <c r="X1" s="3160"/>
      <c r="Y1" s="3809" t="s">
        <v>457</v>
      </c>
      <c r="Z1" s="3810"/>
      <c r="AA1" s="3810"/>
      <c r="AB1" s="3810"/>
      <c r="AC1" s="3810"/>
      <c r="AD1" s="3810"/>
    </row>
    <row r="2" spans="1:30" s="3138" customFormat="1" ht="14.25" thickBot="1">
      <c r="B2" s="3139"/>
      <c r="C2" s="3140"/>
      <c r="D2" s="3141" t="s">
        <v>2813</v>
      </c>
      <c r="E2" s="3142" t="s">
        <v>2814</v>
      </c>
      <c r="F2" s="3142" t="s">
        <v>2815</v>
      </c>
      <c r="G2" s="3142" t="s">
        <v>2816</v>
      </c>
      <c r="H2" s="3142" t="s">
        <v>2817</v>
      </c>
      <c r="I2" s="3142" t="s">
        <v>2634</v>
      </c>
      <c r="J2" s="3143"/>
      <c r="K2" s="3141" t="s">
        <v>2813</v>
      </c>
      <c r="L2" s="3142" t="s">
        <v>2814</v>
      </c>
      <c r="M2" s="3142" t="s">
        <v>2815</v>
      </c>
      <c r="N2" s="3142" t="s">
        <v>2816</v>
      </c>
      <c r="O2" s="3142" t="s">
        <v>2818</v>
      </c>
      <c r="P2" s="3142" t="s">
        <v>2634</v>
      </c>
      <c r="Q2" s="3143"/>
      <c r="R2" s="3141" t="s">
        <v>2813</v>
      </c>
      <c r="S2" s="3142" t="s">
        <v>2814</v>
      </c>
      <c r="T2" s="3142" t="s">
        <v>2815</v>
      </c>
      <c r="U2" s="3142" t="s">
        <v>2819</v>
      </c>
      <c r="V2" s="3142" t="s">
        <v>2820</v>
      </c>
      <c r="W2" s="3142" t="s">
        <v>2634</v>
      </c>
      <c r="X2" s="3143"/>
      <c r="Y2" s="3141" t="s">
        <v>2813</v>
      </c>
      <c r="Z2" s="3142" t="s">
        <v>2814</v>
      </c>
      <c r="AA2" s="3142" t="s">
        <v>2815</v>
      </c>
      <c r="AB2" s="3142" t="s">
        <v>2821</v>
      </c>
      <c r="AC2" s="3142" t="s">
        <v>2820</v>
      </c>
      <c r="AD2" s="3142" t="s">
        <v>2634</v>
      </c>
    </row>
    <row r="3" spans="1:30" s="3156" customFormat="1" ht="12.75">
      <c r="A3" s="3144" t="s">
        <v>2822</v>
      </c>
      <c r="B3" s="3145"/>
      <c r="C3" s="3146"/>
      <c r="D3" s="3146">
        <f>ROUND(AVERAGEIF(D4:D18,"&lt;&gt;0"),2)</f>
        <v>0.78</v>
      </c>
      <c r="E3" s="3146">
        <f t="shared" ref="E3:H3" si="0">ROUND(AVERAGEIF(E4:E18,"&lt;&gt;0"),2)</f>
        <v>0.41</v>
      </c>
      <c r="F3" s="3146">
        <f t="shared" si="0"/>
        <v>0.23</v>
      </c>
      <c r="G3" s="3146">
        <f t="shared" si="0"/>
        <v>0.84</v>
      </c>
      <c r="H3" s="3146">
        <f t="shared" si="0"/>
        <v>0.63</v>
      </c>
      <c r="I3" s="3146">
        <f>F3</f>
        <v>0.23</v>
      </c>
      <c r="J3" s="3147"/>
      <c r="K3" s="3148">
        <f>ROUND(AVERAGEIF(K4:K18,"&lt;&gt;0"),4)</f>
        <v>7.7999999999999996E-3</v>
      </c>
      <c r="L3" s="3149">
        <f t="shared" ref="L3:O3" si="1">ROUND(AVERAGEIF(L4:L18,"&lt;&gt;0"),4)</f>
        <v>4.1000000000000003E-3</v>
      </c>
      <c r="M3" s="3149">
        <f t="shared" si="1"/>
        <v>2.3E-3</v>
      </c>
      <c r="N3" s="3149">
        <f t="shared" si="1"/>
        <v>8.3999999999999995E-3</v>
      </c>
      <c r="O3" s="3149">
        <f t="shared" si="1"/>
        <v>6.3E-3</v>
      </c>
      <c r="P3" s="3149">
        <f>M3</f>
        <v>2.3E-3</v>
      </c>
      <c r="Q3" s="3147"/>
      <c r="R3" s="3150">
        <f>ROUND(SUMPRODUCT(PRODUCT(1+K4:K18)),4)</f>
        <v>1.0888</v>
      </c>
      <c r="S3" s="3151">
        <f t="shared" ref="S3:V3" si="2">ROUND(SUMPRODUCT(PRODUCT(1+L4:L18)),4)</f>
        <v>1.0463</v>
      </c>
      <c r="T3" s="3151">
        <f t="shared" si="2"/>
        <v>1.0257000000000001</v>
      </c>
      <c r="U3" s="3151">
        <f t="shared" si="2"/>
        <v>1.0961000000000001</v>
      </c>
      <c r="V3" s="3151">
        <f t="shared" si="2"/>
        <v>1.0713999999999999</v>
      </c>
      <c r="W3" s="3150">
        <f>T3</f>
        <v>1.0257000000000001</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1" t="s">
        <v>3377</v>
      </c>
      <c r="B5" s="3172">
        <v>2023</v>
      </c>
      <c r="C5" s="3173">
        <v>4</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1" t="s">
        <v>3378</v>
      </c>
      <c r="B6" s="3172">
        <v>2023</v>
      </c>
      <c r="C6" s="3173">
        <v>3</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 t="shared" ref="W6" si="14">T6</f>
        <v>1.0282</v>
      </c>
      <c r="X6" s="3176"/>
      <c r="Y6" s="3179"/>
      <c r="Z6" s="3179"/>
      <c r="AA6" s="3179"/>
      <c r="AB6" s="3179"/>
      <c r="AC6" s="3179"/>
      <c r="AD6" s="3179"/>
    </row>
    <row r="7" spans="1:30" s="3180" customFormat="1" ht="12.75">
      <c r="A7" s="2201" t="s">
        <v>3379</v>
      </c>
      <c r="B7" s="3172">
        <v>2023</v>
      </c>
      <c r="C7" s="3173">
        <v>3</v>
      </c>
      <c r="D7" s="3174">
        <v>0</v>
      </c>
      <c r="E7" s="3174">
        <v>0</v>
      </c>
      <c r="F7" s="3174">
        <v>0</v>
      </c>
      <c r="G7" s="3174">
        <v>0</v>
      </c>
      <c r="H7" s="3191">
        <v>0</v>
      </c>
      <c r="I7" s="3175">
        <v>0</v>
      </c>
      <c r="J7" s="3176"/>
      <c r="K7" s="3177">
        <f t="shared" si="5"/>
        <v>0</v>
      </c>
      <c r="L7" s="3167">
        <f t="shared" si="5"/>
        <v>0</v>
      </c>
      <c r="M7" s="3167">
        <f t="shared" si="5"/>
        <v>0</v>
      </c>
      <c r="N7" s="3167">
        <f t="shared" si="5"/>
        <v>0</v>
      </c>
      <c r="O7" s="3167">
        <f t="shared" si="5"/>
        <v>0</v>
      </c>
      <c r="P7" s="3167">
        <f t="shared" ref="P7" si="15">M7</f>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 t="shared" ref="W7" si="16">T7</f>
        <v>1.0282</v>
      </c>
      <c r="X7" s="3176"/>
      <c r="Y7" s="3179"/>
      <c r="Z7" s="3179"/>
      <c r="AA7" s="3179"/>
      <c r="AB7" s="3179"/>
      <c r="AC7" s="3179"/>
      <c r="AD7" s="3179"/>
    </row>
    <row r="8" spans="1:30" s="3190" customFormat="1" ht="12.75">
      <c r="A8" s="3181" t="s">
        <v>3371</v>
      </c>
      <c r="B8" s="3182">
        <v>2023</v>
      </c>
      <c r="C8" s="3183">
        <v>3</v>
      </c>
      <c r="D8" s="3184">
        <v>0.25</v>
      </c>
      <c r="E8" s="3184">
        <v>0.5</v>
      </c>
      <c r="F8" s="3184">
        <v>0.31</v>
      </c>
      <c r="G8" s="3184">
        <v>0.21</v>
      </c>
      <c r="H8" s="3185">
        <v>0.43</v>
      </c>
      <c r="I8" s="3186">
        <f t="shared" si="4"/>
        <v>0.31</v>
      </c>
      <c r="J8" s="3187"/>
      <c r="K8" s="3188">
        <f t="shared" ref="K8:K10" si="17">D8/100</f>
        <v>2.5000000000000001E-3</v>
      </c>
      <c r="L8" s="3189">
        <f t="shared" ref="L8:L10" si="18">E8/100</f>
        <v>5.0000000000000001E-3</v>
      </c>
      <c r="M8" s="3189">
        <f t="shared" ref="M8:M10" si="19">F8/100</f>
        <v>3.0999999999999999E-3</v>
      </c>
      <c r="N8" s="3189">
        <f t="shared" ref="N8:N10" si="20">G8/100</f>
        <v>2.0999999999999999E-3</v>
      </c>
      <c r="O8" s="3189">
        <f t="shared" ref="O8:O10" si="21">H8/100</f>
        <v>4.3E-3</v>
      </c>
      <c r="P8" s="3189">
        <f t="shared" ref="P8:P10" si="22">M8</f>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 t="shared" ref="W8:W9" si="23">T8</f>
        <v>1.0282</v>
      </c>
      <c r="X8" s="3187"/>
      <c r="Y8" s="3189"/>
      <c r="Z8" s="3189"/>
      <c r="AA8" s="3189"/>
      <c r="AB8" s="3189"/>
      <c r="AC8" s="3189"/>
      <c r="AD8" s="3189"/>
    </row>
    <row r="9" spans="1:30" s="3180" customFormat="1" ht="12.75">
      <c r="A9" s="3171" t="s">
        <v>3372</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3370</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3369</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3365</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3356</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2823</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2824</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2825</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2826</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2827</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2" t="s">
        <v>3367</v>
      </c>
    </row>
    <row r="21" spans="1:30" s="3004" customFormat="1">
      <c r="I21" s="3203" t="s">
        <v>2828</v>
      </c>
    </row>
    <row r="22" spans="1:30" s="3004" customFormat="1"/>
    <row r="23" spans="1:30" s="3204" customFormat="1" ht="12.75">
      <c r="B23" s="3205" t="s">
        <v>3374</v>
      </c>
      <c r="C23" s="3206"/>
      <c r="D23" s="3206"/>
      <c r="E23" s="3206"/>
      <c r="F23" s="3206"/>
      <c r="G23" s="3206"/>
      <c r="H23" s="3206"/>
      <c r="I23" s="3206"/>
      <c r="J23" s="3160"/>
      <c r="K23" s="3206" t="s">
        <v>2829</v>
      </c>
      <c r="L23" s="3206"/>
      <c r="M23" s="3206"/>
      <c r="N23" s="3206"/>
      <c r="O23" s="3206"/>
      <c r="P23" s="3206"/>
      <c r="Q23" s="3160"/>
      <c r="R23" s="3809" t="s">
        <v>2830</v>
      </c>
      <c r="S23" s="3810"/>
      <c r="T23" s="3810"/>
      <c r="U23" s="3810"/>
      <c r="V23" s="3810"/>
      <c r="W23" s="3810"/>
      <c r="X23" s="3160"/>
      <c r="Y23" s="3809" t="s">
        <v>2831</v>
      </c>
      <c r="Z23" s="3810"/>
      <c r="AA23" s="3810"/>
      <c r="AB23" s="3810"/>
      <c r="AC23" s="3810"/>
      <c r="AD23" s="3810"/>
    </row>
    <row r="24" spans="1:30" s="3138" customFormat="1" ht="14.25" thickBot="1">
      <c r="B24" s="3139"/>
      <c r="C24" s="3140"/>
      <c r="D24" s="3141" t="s">
        <v>2832</v>
      </c>
      <c r="E24" s="3142" t="s">
        <v>2833</v>
      </c>
      <c r="F24" s="3142" t="s">
        <v>2834</v>
      </c>
      <c r="G24" s="3142" t="s">
        <v>2835</v>
      </c>
      <c r="H24" s="3142"/>
      <c r="I24" s="3142" t="s">
        <v>2836</v>
      </c>
      <c r="J24" s="3143"/>
      <c r="K24" s="3141" t="s">
        <v>2832</v>
      </c>
      <c r="L24" s="3142" t="s">
        <v>2833</v>
      </c>
      <c r="M24" s="3142" t="s">
        <v>2834</v>
      </c>
      <c r="N24" s="3142" t="s">
        <v>2835</v>
      </c>
      <c r="O24" s="3142"/>
      <c r="P24" s="3142" t="s">
        <v>2836</v>
      </c>
      <c r="Q24" s="3143"/>
      <c r="R24" s="3141" t="s">
        <v>2832</v>
      </c>
      <c r="S24" s="3142" t="s">
        <v>2833</v>
      </c>
      <c r="T24" s="3142" t="s">
        <v>2834</v>
      </c>
      <c r="U24" s="3142" t="s">
        <v>2835</v>
      </c>
      <c r="V24" s="3142"/>
      <c r="W24" s="3142" t="s">
        <v>2836</v>
      </c>
      <c r="X24" s="3143"/>
      <c r="Y24" s="3141" t="s">
        <v>2832</v>
      </c>
      <c r="Z24" s="3142" t="s">
        <v>2833</v>
      </c>
      <c r="AA24" s="3142" t="s">
        <v>2834</v>
      </c>
      <c r="AB24" s="3142" t="s">
        <v>2835</v>
      </c>
      <c r="AC24" s="3142"/>
      <c r="AD24" s="3142" t="s">
        <v>2836</v>
      </c>
    </row>
    <row r="25" spans="1:30" s="3156" customFormat="1" ht="12.75">
      <c r="A25" s="3144" t="s">
        <v>2837</v>
      </c>
      <c r="B25" s="3145"/>
      <c r="C25" s="3146"/>
      <c r="D25" s="3146"/>
      <c r="E25" s="3146">
        <f t="shared" ref="E25:G25" si="32">ROUND(AVERAGEIF(E26:E40,"&lt;&gt;0"),2)</f>
        <v>0.42</v>
      </c>
      <c r="F25" s="3146">
        <f t="shared" si="32"/>
        <v>0.3</v>
      </c>
      <c r="G25" s="3146">
        <f t="shared" si="32"/>
        <v>0.73</v>
      </c>
      <c r="H25" s="3146"/>
      <c r="I25" s="3146">
        <f>F25</f>
        <v>0.3</v>
      </c>
      <c r="J25" s="3147"/>
      <c r="K25" s="3148"/>
      <c r="L25" s="3149">
        <f t="shared" ref="L25:N25" si="33">ROUND(AVERAGEIF(L26:L40,"&lt;&gt;0"),4)</f>
        <v>4.1999999999999997E-3</v>
      </c>
      <c r="M25" s="3149">
        <f t="shared" si="33"/>
        <v>3.0000000000000001E-3</v>
      </c>
      <c r="N25" s="3149">
        <f t="shared" si="33"/>
        <v>7.3000000000000001E-3</v>
      </c>
      <c r="O25" s="3149"/>
      <c r="P25" s="3149">
        <f>M25</f>
        <v>3.0000000000000001E-3</v>
      </c>
      <c r="Q25" s="3147"/>
      <c r="R25" s="3150"/>
      <c r="S25" s="3151">
        <f>ROUND(SUMPRODUCT(PRODUCT(1+L26:L40)),4)</f>
        <v>1.0468</v>
      </c>
      <c r="T25" s="3151">
        <f t="shared" ref="T25:U25" si="34">ROUND(SUMPRODUCT(PRODUCT(1+M26:M40)),4)</f>
        <v>1.0337000000000001</v>
      </c>
      <c r="U25" s="3151">
        <f t="shared" si="34"/>
        <v>1.0828</v>
      </c>
      <c r="V25" s="3151"/>
      <c r="W25" s="3150">
        <f>T25</f>
        <v>1.0337000000000001</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1" t="s">
        <v>3377</v>
      </c>
      <c r="B27" s="3172">
        <v>2023</v>
      </c>
      <c r="C27" s="3173">
        <v>4</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1" t="s">
        <v>3378</v>
      </c>
      <c r="B28" s="3172">
        <v>2023</v>
      </c>
      <c r="C28" s="3173">
        <v>3</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ref="W28" si="43">T28</f>
        <v>1.0286999999999999</v>
      </c>
      <c r="X28" s="3176"/>
      <c r="Y28" s="3179"/>
      <c r="Z28" s="3207"/>
      <c r="AA28" s="3209"/>
      <c r="AB28" s="3179"/>
      <c r="AC28" s="3208"/>
      <c r="AD28" s="3179"/>
    </row>
    <row r="29" spans="1:30" s="3180" customFormat="1" ht="12.75">
      <c r="A29" s="2201" t="s">
        <v>3379</v>
      </c>
      <c r="B29" s="3172">
        <v>2023</v>
      </c>
      <c r="C29" s="3173">
        <v>3</v>
      </c>
      <c r="D29" s="3174"/>
      <c r="E29" s="3174">
        <v>0</v>
      </c>
      <c r="F29" s="3174">
        <v>0</v>
      </c>
      <c r="G29" s="3174">
        <v>0</v>
      </c>
      <c r="H29" s="3174"/>
      <c r="I29" s="3175">
        <f t="shared" si="38"/>
        <v>0</v>
      </c>
      <c r="J29" s="3176"/>
      <c r="K29" s="3177"/>
      <c r="L29" s="3167">
        <f t="shared" si="37"/>
        <v>0</v>
      </c>
      <c r="M29" s="3167">
        <f t="shared" si="37"/>
        <v>0</v>
      </c>
      <c r="N29" s="3167">
        <f t="shared" si="37"/>
        <v>0</v>
      </c>
      <c r="O29" s="3167"/>
      <c r="P29" s="3167">
        <f t="shared" ref="P29" si="44">M29</f>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ref="W29" si="45">T29</f>
        <v>1.0286999999999999</v>
      </c>
      <c r="X29" s="3176"/>
      <c r="Y29" s="3179"/>
      <c r="Z29" s="3207"/>
      <c r="AA29" s="3209"/>
      <c r="AB29" s="3179"/>
      <c r="AC29" s="3208"/>
      <c r="AD29" s="3179"/>
    </row>
    <row r="30" spans="1:30" s="3190" customFormat="1" ht="12.75">
      <c r="A30" s="3181" t="s">
        <v>3375</v>
      </c>
      <c r="B30" s="3182">
        <v>2023</v>
      </c>
      <c r="C30" s="3183">
        <v>3</v>
      </c>
      <c r="D30" s="3184"/>
      <c r="E30" s="3184">
        <v>0.35</v>
      </c>
      <c r="F30" s="3184">
        <v>0.17</v>
      </c>
      <c r="G30" s="3184">
        <v>0.52</v>
      </c>
      <c r="H30" s="3185"/>
      <c r="I30" s="3186">
        <f t="shared" si="36"/>
        <v>0.17</v>
      </c>
      <c r="J30" s="3187"/>
      <c r="K30" s="3188"/>
      <c r="L30" s="3189">
        <f t="shared" ref="L30:L32" si="46">E30/100</f>
        <v>3.4999999999999996E-3</v>
      </c>
      <c r="M30" s="3189">
        <f t="shared" ref="M30:M32" si="47">F30/100</f>
        <v>1.7000000000000001E-3</v>
      </c>
      <c r="N30" s="3189">
        <f t="shared" ref="N30:N32" si="48">G30/100</f>
        <v>5.1999999999999998E-3</v>
      </c>
      <c r="O30" s="3189"/>
      <c r="P30" s="3189">
        <f t="shared" ref="P30:P32" si="49">M30</f>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ref="W30:W32" si="50">T30</f>
        <v>1.0286999999999999</v>
      </c>
      <c r="X30" s="3187"/>
      <c r="Y30" s="3189"/>
      <c r="Z30" s="3210"/>
      <c r="AA30" s="3211"/>
      <c r="AB30" s="3189"/>
      <c r="AC30" s="3212"/>
      <c r="AD30" s="3189"/>
    </row>
    <row r="31" spans="1:30" s="3180" customFormat="1" ht="12.75">
      <c r="A31" s="3171" t="s">
        <v>3376</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3370</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3369</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3366</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3356</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2838</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2839</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2840</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2841</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2827</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2" t="s">
        <v>3368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0">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0">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0">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0">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1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
      <c r="A3" s="3494"/>
      <c r="B3" s="3494"/>
      <c r="C3" s="3494"/>
      <c r="D3" s="850" t="s">
        <v>925</v>
      </c>
      <c r="E3" s="850" t="s">
        <v>931</v>
      </c>
      <c r="F3" s="850" t="s">
        <v>925</v>
      </c>
      <c r="G3" s="850" t="s">
        <v>926</v>
      </c>
      <c r="H3" s="850" t="s">
        <v>925</v>
      </c>
      <c r="I3" s="850" t="s">
        <v>926</v>
      </c>
    </row>
    <row r="4" spans="1:9" ht="45">
      <c r="A4" s="1501" t="str">
        <f>项目基本情况!S2</f>
        <v>北京市丰台区青塔西路58号院22号楼3层301-306/203-205房地产</v>
      </c>
      <c r="B4" s="850">
        <f>项目基本情况!C17</f>
        <v>67567.27</v>
      </c>
      <c r="C4" s="850">
        <f>项目基本情况!C18</f>
        <v>9678.19</v>
      </c>
      <c r="D4" s="850" t="e">
        <f ca="1">结果表!D118</f>
        <v>#N/A</v>
      </c>
      <c r="E4" s="850" t="e">
        <f ca="1">结果表!E118</f>
        <v>#N/A</v>
      </c>
      <c r="F4" s="850" t="e">
        <f ca="1">结果表!F118</f>
        <v>#N/A</v>
      </c>
      <c r="G4" s="850" t="e">
        <f ca="1">结果表!G118</f>
        <v>#N/A</v>
      </c>
      <c r="H4" s="850">
        <f ca="1">结果表!H118</f>
        <v>290693</v>
      </c>
      <c r="I4" s="850">
        <f ca="1">结果表!I118</f>
        <v>43023</v>
      </c>
    </row>
    <row r="5" spans="1:9" ht="30" customHeight="1">
      <c r="A5" s="3494" t="s">
        <v>927</v>
      </c>
      <c r="B5" s="3494"/>
      <c r="C5" s="3494"/>
      <c r="D5" s="3494" t="e">
        <f ca="1">结果表!D119</f>
        <v>#N/A</v>
      </c>
      <c r="E5" s="3494"/>
      <c r="F5" s="3494" t="e">
        <f ca="1">结果表!F119</f>
        <v>#N/A</v>
      </c>
      <c r="G5" s="3494"/>
      <c r="H5" s="3494" t="str">
        <f ca="1">结果表!H119</f>
        <v>贰拾玖亿零陆佰玖拾叁万元整</v>
      </c>
      <c r="I5" s="3494"/>
    </row>
    <row r="6" spans="1:9" ht="15.75">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75">
      <c r="A8" s="3495" t="str">
        <f>结果表!A122</f>
        <v>房地产抵押价值</v>
      </c>
      <c r="B8" s="3495"/>
      <c r="C8" s="3495"/>
      <c r="D8" s="3495">
        <f ca="1">结果表!D122</f>
        <v>290693</v>
      </c>
      <c r="E8" s="3495"/>
      <c r="F8" s="3495"/>
      <c r="G8" s="3495"/>
      <c r="H8" s="3495"/>
      <c r="I8" s="3495"/>
    </row>
    <row r="9" spans="1:9" ht="15">
      <c r="A9" s="3494" t="s">
        <v>927</v>
      </c>
      <c r="B9" s="3494"/>
      <c r="C9" s="3494"/>
      <c r="D9" s="3494" t="str">
        <f ca="1">结果表!D123</f>
        <v>贰拾玖亿零陆佰玖拾叁万元整</v>
      </c>
      <c r="E9" s="3494"/>
      <c r="F9" s="3494"/>
      <c r="G9" s="3494"/>
      <c r="H9" s="3494"/>
      <c r="I9" s="3494"/>
    </row>
    <row r="10" spans="1:9" ht="15.75">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75">
      <c r="A12" s="3495" t="str">
        <f>结果表!A126</f>
        <v/>
      </c>
      <c r="B12" s="3495"/>
      <c r="C12" s="3495"/>
      <c r="D12" s="3495" t="str">
        <f>结果表!D126</f>
        <v>——</v>
      </c>
      <c r="E12" s="3495"/>
      <c r="F12" s="3495"/>
      <c r="G12" s="3495"/>
      <c r="H12" s="3495"/>
      <c r="I12" s="3495"/>
    </row>
    <row r="13" spans="1:9" ht="15.75" thickBot="1">
      <c r="A13" s="3499" t="s">
        <v>927</v>
      </c>
      <c r="B13" s="3499"/>
      <c r="C13" s="3499"/>
      <c r="D13" s="3499" t="e">
        <f>结果表!D127</f>
        <v>#VALUE!</v>
      </c>
      <c r="E13" s="3499"/>
      <c r="F13" s="3499"/>
      <c r="G13" s="3499"/>
      <c r="H13" s="3499"/>
      <c r="I13" s="3499"/>
    </row>
    <row r="14" spans="1:9" ht="15" thickTop="1">
      <c r="A14" s="3500" t="s">
        <v>932</v>
      </c>
      <c r="B14" s="3500"/>
      <c r="C14" s="3500"/>
      <c r="D14" s="3500"/>
      <c r="E14" s="3500"/>
      <c r="F14" s="3500"/>
      <c r="G14" s="3500"/>
      <c r="H14" s="3500"/>
      <c r="I14" s="3500"/>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45279</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6">
        <v>45159</v>
      </c>
      <c r="D13" s="2817">
        <v>3.45</v>
      </c>
      <c r="E13" s="2817">
        <f>D13</f>
        <v>3.45</v>
      </c>
      <c r="F13" s="2817">
        <f>D13</f>
        <v>3.45</v>
      </c>
      <c r="G13" s="2817">
        <f>D13</f>
        <v>3.45</v>
      </c>
      <c r="H13" s="2817">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1"/>
      <c r="C14" s="2813">
        <v>45097</v>
      </c>
      <c r="D14" s="2812">
        <v>3.55</v>
      </c>
      <c r="E14" s="2812">
        <f>D14</f>
        <v>3.55</v>
      </c>
      <c r="F14" s="2812">
        <f>D14</f>
        <v>3.55</v>
      </c>
      <c r="G14" s="2812">
        <f>D14</f>
        <v>3.55</v>
      </c>
      <c r="H14" s="2812">
        <v>4.2</v>
      </c>
      <c r="I14" s="2817"/>
      <c r="J14" s="2817"/>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1"/>
      <c r="C15" s="2813">
        <v>44795</v>
      </c>
      <c r="D15" s="2812">
        <v>3.65</v>
      </c>
      <c r="E15" s="2812">
        <v>3.65</v>
      </c>
      <c r="F15" s="2812">
        <v>3.65</v>
      </c>
      <c r="G15" s="2812">
        <v>3.65</v>
      </c>
      <c r="H15" s="2812">
        <v>4.3</v>
      </c>
      <c r="I15" s="2817"/>
      <c r="J15" s="2817"/>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1"/>
      <c r="C16" s="2813">
        <v>44701</v>
      </c>
      <c r="D16" s="2812">
        <v>3.7</v>
      </c>
      <c r="E16" s="2812">
        <f>D16</f>
        <v>3.7</v>
      </c>
      <c r="F16" s="2812">
        <f>D16</f>
        <v>3.7</v>
      </c>
      <c r="G16" s="2812">
        <f>D16</f>
        <v>3.7</v>
      </c>
      <c r="H16" s="2812">
        <v>4.45</v>
      </c>
      <c r="I16" s="2817"/>
      <c r="J16" s="2817"/>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1"/>
      <c r="C17" s="2813">
        <v>44581</v>
      </c>
      <c r="D17" s="2812">
        <v>3.7</v>
      </c>
      <c r="E17" s="2812">
        <f>D17</f>
        <v>3.7</v>
      </c>
      <c r="F17" s="2812">
        <f>D17</f>
        <v>3.7</v>
      </c>
      <c r="G17" s="2812">
        <f>D17</f>
        <v>3.7</v>
      </c>
      <c r="H17" s="2812">
        <v>4.5999999999999996</v>
      </c>
      <c r="I17" s="2817"/>
      <c r="J17" s="2817"/>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0"/>
      <c r="B19" s="2812"/>
      <c r="C19" s="2813">
        <v>43941</v>
      </c>
      <c r="D19" s="2812">
        <v>3.85</v>
      </c>
      <c r="E19" s="2812">
        <v>3.85</v>
      </c>
      <c r="F19" s="2812">
        <v>3.85</v>
      </c>
      <c r="G19" s="2812">
        <v>3.85</v>
      </c>
      <c r="H19" s="2812">
        <v>4.6500000000000004</v>
      </c>
      <c r="I19" s="2812"/>
      <c r="J19" s="2812"/>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3">
        <v>43881</v>
      </c>
      <c r="D20" s="2812">
        <v>4.05</v>
      </c>
      <c r="E20" s="2812">
        <v>4.05</v>
      </c>
      <c r="F20" s="2812">
        <v>4.05</v>
      </c>
      <c r="G20" s="2812">
        <v>4.05</v>
      </c>
      <c r="H20" s="2812">
        <v>4.75</v>
      </c>
      <c r="I20" s="2812"/>
      <c r="J20" s="2812"/>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3">
        <v>43789</v>
      </c>
      <c r="D21" s="2812">
        <v>4.1500000000000004</v>
      </c>
      <c r="E21" s="2812">
        <v>4.1500000000000004</v>
      </c>
      <c r="F21" s="2812">
        <v>4.1500000000000004</v>
      </c>
      <c r="G21" s="2812">
        <v>4.1500000000000004</v>
      </c>
      <c r="H21" s="2812">
        <v>4.8</v>
      </c>
      <c r="I21" s="2812"/>
      <c r="J21" s="2812"/>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2"/>
      <c r="C22" s="2813">
        <v>43728</v>
      </c>
      <c r="D22" s="2812">
        <v>4.2</v>
      </c>
      <c r="E22" s="2812">
        <v>4.2</v>
      </c>
      <c r="F22" s="2812">
        <v>4.2</v>
      </c>
      <c r="G22" s="2812">
        <v>4.2</v>
      </c>
      <c r="H22" s="2812">
        <v>4.8499999999999996</v>
      </c>
      <c r="I22" s="2812"/>
      <c r="J22" s="2812"/>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8"/>
      <c r="B23" s="2811" t="s">
        <v>2312</v>
      </c>
      <c r="C23" s="2814">
        <v>43697</v>
      </c>
      <c r="D23" s="2815">
        <v>4.25</v>
      </c>
      <c r="E23" s="2815">
        <v>4.25</v>
      </c>
      <c r="F23" s="2815">
        <v>4.25</v>
      </c>
      <c r="G23" s="2815">
        <v>4.25</v>
      </c>
      <c r="H23" s="2815">
        <v>4.8499999999999996</v>
      </c>
      <c r="I23" s="2815"/>
      <c r="J23" s="2815"/>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9"/>
      <c r="C24" s="2820">
        <v>42301</v>
      </c>
      <c r="D24" s="2821">
        <v>4.3499999999999996</v>
      </c>
      <c r="E24" s="2821">
        <v>4.3499999999999996</v>
      </c>
      <c r="F24" s="2821">
        <v>4.75</v>
      </c>
      <c r="G24" s="2821">
        <v>4.75</v>
      </c>
      <c r="H24" s="2821">
        <v>4.9000000000000004</v>
      </c>
      <c r="I24" s="2821"/>
      <c r="J24" s="2821"/>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3.5"/>
  <cols>
    <col min="4" max="4" width="9.5" bestFit="1" customWidth="1"/>
    <col min="5" max="5" width="10.5" bestFit="1" customWidth="1"/>
  </cols>
  <sheetData>
    <row r="1" spans="1:9">
      <c r="F1" s="3457" t="s">
        <v>3444</v>
      </c>
    </row>
    <row r="2" spans="1:9">
      <c r="A2">
        <v>1</v>
      </c>
      <c r="B2" s="3457" t="s">
        <v>3445</v>
      </c>
      <c r="C2">
        <v>62</v>
      </c>
      <c r="D2" s="3456">
        <v>44713</v>
      </c>
      <c r="E2" s="3456">
        <v>45808</v>
      </c>
      <c r="F2">
        <v>95000</v>
      </c>
      <c r="G2">
        <v>100000</v>
      </c>
      <c r="H2" s="3457" t="s">
        <v>3446</v>
      </c>
      <c r="I2" s="3458">
        <f>F2/C2/365</f>
        <v>4.1979673000441888</v>
      </c>
    </row>
    <row r="3" spans="1:9">
      <c r="B3" s="3457" t="s">
        <v>3445</v>
      </c>
      <c r="C3">
        <v>62</v>
      </c>
      <c r="D3" s="3456">
        <v>44713</v>
      </c>
      <c r="E3" s="3456">
        <v>45808</v>
      </c>
      <c r="F3">
        <v>95000</v>
      </c>
      <c r="G3">
        <v>100000</v>
      </c>
      <c r="H3" s="3457" t="s">
        <v>3446</v>
      </c>
      <c r="I3" s="3458">
        <f t="shared" ref="I3:I9" si="0">F3/C3/365</f>
        <v>4.1979673000441888</v>
      </c>
    </row>
    <row r="4" spans="1:9">
      <c r="B4" s="3457" t="s">
        <v>3447</v>
      </c>
      <c r="C4">
        <v>62</v>
      </c>
      <c r="D4" s="3456">
        <v>44713</v>
      </c>
      <c r="E4" s="3456">
        <v>45808</v>
      </c>
      <c r="F4">
        <v>95000</v>
      </c>
      <c r="G4">
        <v>100000</v>
      </c>
      <c r="H4" s="3457" t="s">
        <v>3446</v>
      </c>
      <c r="I4" s="3458">
        <f t="shared" si="0"/>
        <v>4.1979673000441888</v>
      </c>
    </row>
    <row r="5" spans="1:9">
      <c r="B5" s="3457" t="s">
        <v>3447</v>
      </c>
      <c r="C5">
        <v>62</v>
      </c>
      <c r="D5" s="3456">
        <v>44713</v>
      </c>
      <c r="E5" s="3456">
        <v>45808</v>
      </c>
      <c r="F5">
        <v>95000</v>
      </c>
      <c r="G5">
        <v>100000</v>
      </c>
      <c r="H5" s="3457" t="s">
        <v>3446</v>
      </c>
      <c r="I5" s="3458">
        <f t="shared" si="0"/>
        <v>4.1979673000441888</v>
      </c>
    </row>
    <row r="6" spans="1:9">
      <c r="B6" s="3457" t="s">
        <v>3454</v>
      </c>
      <c r="C6">
        <v>62</v>
      </c>
      <c r="D6" s="3456">
        <v>44713</v>
      </c>
      <c r="E6" s="3456">
        <v>45808</v>
      </c>
      <c r="F6">
        <v>95000</v>
      </c>
      <c r="G6">
        <v>100000</v>
      </c>
      <c r="H6" s="3457" t="s">
        <v>3446</v>
      </c>
      <c r="I6" s="3458">
        <f t="shared" si="0"/>
        <v>4.1979673000441888</v>
      </c>
    </row>
    <row r="7" spans="1:9">
      <c r="B7" s="3457" t="s">
        <v>3454</v>
      </c>
      <c r="C7">
        <v>62</v>
      </c>
      <c r="D7" s="3456">
        <v>44713</v>
      </c>
      <c r="E7" s="3456">
        <v>45808</v>
      </c>
      <c r="F7">
        <v>95000</v>
      </c>
      <c r="G7">
        <v>100000</v>
      </c>
      <c r="H7" s="3457" t="s">
        <v>3446</v>
      </c>
      <c r="I7" s="3458">
        <f t="shared" si="0"/>
        <v>4.1979673000441888</v>
      </c>
    </row>
    <row r="8" spans="1:9">
      <c r="B8" s="3457" t="s">
        <v>3455</v>
      </c>
      <c r="C8">
        <v>82</v>
      </c>
      <c r="D8" s="3456">
        <v>44713</v>
      </c>
      <c r="E8" s="3456">
        <v>45808</v>
      </c>
      <c r="F8">
        <v>105000</v>
      </c>
      <c r="G8">
        <v>110000</v>
      </c>
      <c r="H8" s="3457" t="s">
        <v>3446</v>
      </c>
      <c r="I8" s="3458">
        <f t="shared" si="0"/>
        <v>3.5081857667891749</v>
      </c>
    </row>
    <row r="9" spans="1:9">
      <c r="B9" s="3457" t="s">
        <v>3455</v>
      </c>
      <c r="C9">
        <v>42</v>
      </c>
      <c r="D9" s="3456">
        <v>44713</v>
      </c>
      <c r="E9" s="3456">
        <v>45808</v>
      </c>
      <c r="F9">
        <v>75000</v>
      </c>
      <c r="G9">
        <v>80000</v>
      </c>
      <c r="H9" s="3457" t="s">
        <v>3446</v>
      </c>
      <c r="I9" s="3458">
        <f t="shared" si="0"/>
        <v>4.8923679060665366</v>
      </c>
    </row>
    <row r="10" spans="1:9">
      <c r="B10" s="3457" t="s">
        <v>3456</v>
      </c>
      <c r="C10">
        <v>42</v>
      </c>
      <c r="D10" s="3456">
        <v>44713</v>
      </c>
      <c r="E10" s="3456">
        <v>45808</v>
      </c>
      <c r="F10">
        <v>75000</v>
      </c>
      <c r="G10">
        <v>80000</v>
      </c>
      <c r="H10" s="3457" t="s">
        <v>3446</v>
      </c>
      <c r="I10" s="3458">
        <f t="shared" ref="I10:I12" si="1">F10/C10/365</f>
        <v>4.8923679060665366</v>
      </c>
    </row>
    <row r="11" spans="1:9">
      <c r="B11" s="3457" t="s">
        <v>3456</v>
      </c>
      <c r="C11">
        <v>82</v>
      </c>
      <c r="D11" s="3456">
        <v>44713</v>
      </c>
      <c r="E11" s="3456">
        <v>45808</v>
      </c>
      <c r="F11">
        <v>105000</v>
      </c>
      <c r="G11">
        <v>110000</v>
      </c>
      <c r="H11" s="3457" t="s">
        <v>3446</v>
      </c>
      <c r="I11" s="3458">
        <f t="shared" si="1"/>
        <v>3.5081857667891749</v>
      </c>
    </row>
    <row r="12" spans="1:9">
      <c r="C12">
        <f>SUM(C2:C11)</f>
        <v>620</v>
      </c>
      <c r="F12">
        <f>SUM(F2:F11)</f>
        <v>930000</v>
      </c>
      <c r="I12" s="3458">
        <f t="shared" si="1"/>
        <v>4.1095890410958908</v>
      </c>
    </row>
    <row r="17" spans="4:7" ht="14.25" thickBot="1"/>
    <row r="18" spans="4:7" ht="27" thickBot="1">
      <c r="D18" s="3460" t="s">
        <v>3457</v>
      </c>
      <c r="E18" s="3461" t="s">
        <v>3458</v>
      </c>
      <c r="F18" s="3461" t="s">
        <v>3459</v>
      </c>
      <c r="G18" s="3461" t="s">
        <v>3460</v>
      </c>
    </row>
    <row r="19" spans="4:7" ht="14.25" thickBot="1">
      <c r="D19" s="3462">
        <f>'数据-基础表'!C13</f>
        <v>0</v>
      </c>
      <c r="E19" s="3463">
        <f>'数据-基础表'!I13</f>
        <v>3129.11</v>
      </c>
      <c r="F19" s="3463">
        <f ca="1">典型户型修正!R24</f>
        <v>43023</v>
      </c>
      <c r="G19" s="3463">
        <f ca="1">典型户型修正!T24</f>
        <v>134623700</v>
      </c>
    </row>
    <row r="20" spans="4:7" ht="14.25" thickBot="1">
      <c r="D20" s="3462">
        <f>'数据-基础表'!C14</f>
        <v>0</v>
      </c>
      <c r="E20" s="3463">
        <f>'数据-基础表'!I14</f>
        <v>0</v>
      </c>
      <c r="F20" s="3463">
        <f ca="1">典型户型修正!R25</f>
        <v>46465</v>
      </c>
      <c r="G20" s="3463">
        <f ca="1">典型户型修正!T25</f>
        <v>0</v>
      </c>
    </row>
    <row r="21" spans="4:7" ht="14.25" thickBot="1">
      <c r="D21" s="3462">
        <f>'数据-基础表'!C15</f>
        <v>0</v>
      </c>
      <c r="E21" s="3463">
        <f>'数据-基础表'!I15</f>
        <v>0</v>
      </c>
      <c r="F21" s="3463">
        <f ca="1">典型户型修正!R26</f>
        <v>46465</v>
      </c>
      <c r="G21" s="3463">
        <f ca="1">典型户型修正!T26</f>
        <v>0</v>
      </c>
    </row>
    <row r="22" spans="4:7" ht="14.25" thickBot="1">
      <c r="D22" s="3462">
        <f>'数据-基础表'!C16</f>
        <v>0</v>
      </c>
      <c r="E22" s="3463">
        <f>'数据-基础表'!I16</f>
        <v>0</v>
      </c>
      <c r="F22" s="3463">
        <f ca="1">典型户型修正!R27</f>
        <v>46465</v>
      </c>
      <c r="G22" s="3463">
        <f ca="1">典型户型修正!T27</f>
        <v>0</v>
      </c>
    </row>
    <row r="23" spans="4:7" ht="14.25" thickBot="1">
      <c r="D23" s="3462">
        <f>'数据-基础表'!C17</f>
        <v>0</v>
      </c>
      <c r="E23" s="3463">
        <f>'数据-基础表'!I17</f>
        <v>0</v>
      </c>
      <c r="F23" s="3463">
        <f ca="1">典型户型修正!R28</f>
        <v>46465</v>
      </c>
      <c r="G23" s="3463">
        <f ca="1">典型户型修正!T28</f>
        <v>0</v>
      </c>
    </row>
    <row r="24" spans="4:7" ht="14.25" thickBot="1">
      <c r="D24" s="3462"/>
      <c r="E24" s="3463"/>
      <c r="F24" s="3463"/>
      <c r="G24" s="3463"/>
    </row>
    <row r="25" spans="4:7" ht="14.25" thickBot="1">
      <c r="D25" s="3462"/>
      <c r="E25" s="3463"/>
      <c r="F25" s="3463"/>
      <c r="G25" s="3463"/>
    </row>
    <row r="26" spans="4:7" ht="14.25" thickBot="1">
      <c r="D26" s="3462"/>
      <c r="E26" s="3463"/>
      <c r="F26" s="3463"/>
      <c r="G26" s="3463"/>
    </row>
  </sheetData>
  <phoneticPr fontId="135"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1" t="s">
        <v>949</v>
      </c>
      <c r="B1" s="3501"/>
      <c r="C1" s="3501"/>
      <c r="D1" s="3501"/>
    </row>
    <row r="2" spans="1:4" ht="18">
      <c r="A2" s="3502" t="s">
        <v>933</v>
      </c>
      <c r="B2" s="3502"/>
      <c r="C2" s="3502"/>
      <c r="D2" s="3502"/>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02" t="s">
        <v>939</v>
      </c>
      <c r="B6" s="3502"/>
      <c r="C6" s="3502"/>
      <c r="D6" s="3502"/>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03" t="s">
        <v>942</v>
      </c>
      <c r="B11" s="3504"/>
      <c r="C11" s="3504"/>
      <c r="D11" s="3504"/>
    </row>
    <row r="12" spans="1:4" ht="15.75">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8"/>
      <c r="C21" s="3508"/>
      <c r="D21" s="3508"/>
    </row>
    <row r="22" spans="1:4" ht="18.75" customHeight="1">
      <c r="A22" s="3509" t="s">
        <v>945</v>
      </c>
      <c r="B22" s="3509"/>
      <c r="C22" s="3509"/>
      <c r="D22" s="350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15" t="s">
        <v>956</v>
      </c>
      <c r="B15" s="3510" t="s">
        <v>109</v>
      </c>
      <c r="C15" s="3511"/>
    </row>
    <row r="16" spans="1:7" ht="13.5">
      <c r="A16" s="3516"/>
      <c r="B16" s="3510" t="s">
        <v>42</v>
      </c>
      <c r="C16" s="3511"/>
    </row>
    <row r="17" spans="1:3" ht="13.5">
      <c r="A17" s="3516"/>
      <c r="B17" s="3513" t="s">
        <v>957</v>
      </c>
      <c r="C17" s="1528" t="s">
        <v>956</v>
      </c>
    </row>
    <row r="18" spans="1:3" ht="13.5">
      <c r="A18" s="3516"/>
      <c r="B18" s="3513"/>
      <c r="C18" s="1528" t="s">
        <v>958</v>
      </c>
    </row>
    <row r="19" spans="1:3" ht="13.5">
      <c r="A19" s="3516"/>
      <c r="B19" s="3513"/>
      <c r="C19" s="1528" t="s">
        <v>959</v>
      </c>
    </row>
    <row r="20" spans="1:3" ht="13.5">
      <c r="A20" s="3517"/>
      <c r="B20" s="3512" t="s">
        <v>960</v>
      </c>
      <c r="C20" s="3511"/>
    </row>
    <row r="21" spans="1:3" ht="13.5">
      <c r="A21" s="1529" t="s">
        <v>961</v>
      </c>
      <c r="B21" s="1530"/>
      <c r="C21" s="1531"/>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28" t="s">
        <v>967</v>
      </c>
    </row>
    <row r="26" spans="1:3" ht="13.5">
      <c r="A26" s="3514"/>
      <c r="B26" s="3513"/>
      <c r="C26" s="1528" t="s">
        <v>968</v>
      </c>
    </row>
    <row r="27" spans="1:3" ht="13.5">
      <c r="A27" s="3514"/>
      <c r="B27" s="3513"/>
      <c r="C27" s="1528" t="s">
        <v>969</v>
      </c>
    </row>
    <row r="28" spans="1:3" ht="13.5">
      <c r="A28" s="3514"/>
      <c r="B28" s="3513"/>
      <c r="C28" s="1528" t="s">
        <v>970</v>
      </c>
    </row>
    <row r="29" spans="1:3" ht="13.5">
      <c r="A29" s="3514"/>
      <c r="B29" s="3513"/>
      <c r="C29" s="1528" t="s">
        <v>971</v>
      </c>
    </row>
    <row r="30" spans="1:3" ht="13.5">
      <c r="A30" s="3514"/>
      <c r="B30" s="3513"/>
      <c r="C30" s="1528" t="s">
        <v>972</v>
      </c>
    </row>
    <row r="31" spans="1:3" ht="13.5">
      <c r="A31" s="3514"/>
      <c r="B31" s="3513"/>
      <c r="C31" s="1528" t="s">
        <v>973</v>
      </c>
    </row>
    <row r="32" spans="1:3" ht="13.5">
      <c r="A32" s="3514"/>
      <c r="B32" s="3513"/>
      <c r="C32" s="1528" t="s">
        <v>974</v>
      </c>
    </row>
    <row r="33" spans="1:3" ht="13.5">
      <c r="A33" s="3514"/>
      <c r="B33" s="351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45286</v>
      </c>
      <c r="C2" s="2336" t="s">
        <v>2139</v>
      </c>
      <c r="D2" s="2336"/>
      <c r="E2" s="2336"/>
      <c r="F2" s="2332"/>
      <c r="G2" s="2332"/>
      <c r="H2" s="2332"/>
    </row>
    <row r="3" spans="1:8" ht="24" customHeight="1">
      <c r="A3" s="2337" t="s">
        <v>2140</v>
      </c>
      <c r="B3" s="2338" t="s">
        <v>2141</v>
      </c>
      <c r="C3" s="2338" t="s">
        <v>2142</v>
      </c>
      <c r="D3" s="2339" t="s">
        <v>2143</v>
      </c>
      <c r="E3" s="2340" t="s">
        <v>2144</v>
      </c>
      <c r="F3" s="1300" t="s">
        <v>2145</v>
      </c>
      <c r="G3" s="2338" t="s">
        <v>2142</v>
      </c>
      <c r="H3" s="2339" t="s">
        <v>2146</v>
      </c>
    </row>
    <row r="4" spans="1:8" ht="24" customHeight="1">
      <c r="A4" s="1300" t="s">
        <v>2147</v>
      </c>
      <c r="B4" s="1300">
        <f ca="1">IF(C4&lt;B2,"已过期",1119970066)</f>
        <v>1119970066</v>
      </c>
      <c r="C4" s="2341">
        <v>45937</v>
      </c>
      <c r="D4" s="2342" t="str">
        <f ca="1">A4&amp;"（注册号："&amp;B4&amp;"）"</f>
        <v>梁津（注册号：1119970066）</v>
      </c>
      <c r="E4" s="2343" t="s">
        <v>2147</v>
      </c>
      <c r="F4" s="1300">
        <f ca="1">IF(G4&lt;B2,"已过期",96010014)</f>
        <v>96010014</v>
      </c>
      <c r="G4" s="2344">
        <v>47118</v>
      </c>
      <c r="H4" s="2345" t="str">
        <f ca="1">E4&amp;"（注册号："&amp;F4&amp;"）"</f>
        <v>梁津（注册号：96010014）</v>
      </c>
    </row>
    <row r="5" spans="1:8" ht="24" customHeight="1">
      <c r="A5" s="1300" t="s">
        <v>2148</v>
      </c>
      <c r="B5" s="1300">
        <f ca="1">IF(C5&lt;B2,"已过期",1119970111)</f>
        <v>1119970111</v>
      </c>
      <c r="C5" s="2341">
        <v>45937</v>
      </c>
      <c r="D5" s="2342" t="str">
        <f t="shared" ref="D5:D15" ca="1" si="0">A5&amp;"（注册号："&amp;B5&amp;"）"</f>
        <v>叶凌（注册号：1119970111）</v>
      </c>
      <c r="E5" s="2343" t="s">
        <v>2148</v>
      </c>
      <c r="F5" s="1300">
        <f ca="1">IF(G5&lt;B2,"已过期",94010078)</f>
        <v>94010078</v>
      </c>
      <c r="G5" s="2344">
        <v>46387</v>
      </c>
      <c r="H5" s="2345" t="str">
        <f t="shared" ref="H5:H16" ca="1" si="1">E5&amp;"（注册号："&amp;F5&amp;"）"</f>
        <v>叶凌（注册号：94010078）</v>
      </c>
    </row>
    <row r="6" spans="1:8" ht="24" customHeight="1">
      <c r="A6" s="1300" t="s">
        <v>2149</v>
      </c>
      <c r="B6" s="1300">
        <f ca="1">IF(C6&lt;B2,"已过期",1120050019)</f>
        <v>1120050019</v>
      </c>
      <c r="C6" s="2341">
        <v>45410</v>
      </c>
      <c r="D6" s="2342" t="str">
        <f t="shared" ca="1" si="0"/>
        <v>王鹏（注册号：1120050019）</v>
      </c>
      <c r="E6" s="2343" t="s">
        <v>2149</v>
      </c>
      <c r="F6" s="1300">
        <f ca="1">IF(G6&lt;B2,"已过期",2002110030)</f>
        <v>2002110030</v>
      </c>
      <c r="G6" s="2344">
        <v>46387</v>
      </c>
      <c r="H6" s="2345" t="str">
        <f t="shared" ca="1" si="1"/>
        <v>王鹏（注册号：2002110030）</v>
      </c>
    </row>
    <row r="7" spans="1:8" ht="24" customHeight="1">
      <c r="A7" s="1300" t="s">
        <v>2150</v>
      </c>
      <c r="B7" s="1300">
        <f ca="1">IF(C7&lt;B2,"已过期",1120000080)</f>
        <v>1120000080</v>
      </c>
      <c r="C7" s="2341">
        <v>45937</v>
      </c>
      <c r="D7" s="2342" t="str">
        <f t="shared" ca="1" si="0"/>
        <v>欧红伟（注册号：1120000080）</v>
      </c>
      <c r="E7" s="2343" t="s">
        <v>2150</v>
      </c>
      <c r="F7" s="1300">
        <f ca="1">IF(G7&lt;B2,"已过期",2000110082)</f>
        <v>2000110082</v>
      </c>
      <c r="G7" s="2344">
        <v>46387</v>
      </c>
      <c r="H7" s="2345" t="str">
        <f t="shared" ca="1" si="1"/>
        <v>欧红伟（注册号：2000110082）</v>
      </c>
    </row>
    <row r="8" spans="1:8" ht="24" customHeight="1">
      <c r="A8" s="1300" t="s">
        <v>2151</v>
      </c>
      <c r="B8" s="1300">
        <f ca="1">IF(C8&lt;B2,"已过期",1419970001)</f>
        <v>1419970001</v>
      </c>
      <c r="C8" s="2341">
        <v>45937</v>
      </c>
      <c r="D8" s="2342" t="str">
        <f t="shared" ca="1" si="0"/>
        <v>吴薇（注册号：1419970001）</v>
      </c>
      <c r="E8" s="2343" t="s">
        <v>2151</v>
      </c>
      <c r="F8" s="1300">
        <f ca="1">IF(G8&lt;B2,"已过期",2002110125)</f>
        <v>2002110125</v>
      </c>
      <c r="G8" s="2344">
        <v>47118</v>
      </c>
      <c r="H8" s="2345" t="str">
        <f t="shared" ca="1" si="1"/>
        <v>吴薇（注册号：2002110125）</v>
      </c>
    </row>
    <row r="9" spans="1:8" ht="24" customHeight="1">
      <c r="A9" s="1300" t="s">
        <v>2152</v>
      </c>
      <c r="B9" s="1300">
        <f ca="1">IF(C9&lt;B2,"已过期",1120060040)</f>
        <v>1120060040</v>
      </c>
      <c r="C9" s="2346">
        <v>45592</v>
      </c>
      <c r="D9" s="2342" t="str">
        <f t="shared" ca="1" si="0"/>
        <v>陈颖（注册号：1120060040）</v>
      </c>
      <c r="E9" s="2343" t="s">
        <v>2152</v>
      </c>
      <c r="F9" s="1300">
        <f ca="1">IF(G9&lt;B2,"已过期",2004110096)</f>
        <v>2004110096</v>
      </c>
      <c r="G9" s="2344">
        <v>47118</v>
      </c>
      <c r="H9" s="2345" t="str">
        <f t="shared" ca="1" si="1"/>
        <v>陈颖（注册号：2004110096）</v>
      </c>
    </row>
    <row r="10" spans="1:8" ht="24" customHeight="1">
      <c r="A10" s="1300" t="s">
        <v>2153</v>
      </c>
      <c r="B10" s="1300">
        <f ca="1">IF(C10&lt;B2,"已过期",1120100036)</f>
        <v>1120100036</v>
      </c>
      <c r="C10" s="2346">
        <v>45752</v>
      </c>
      <c r="D10" s="2342" t="str">
        <f t="shared" ca="1" si="0"/>
        <v>崔锴（注册号：1120100036）</v>
      </c>
      <c r="E10" s="2343" t="s">
        <v>2153</v>
      </c>
      <c r="F10" s="1300">
        <f ca="1">IF(G10&lt;B2,"已过期",2010110070)</f>
        <v>2010110070</v>
      </c>
      <c r="G10" s="2344">
        <v>47907</v>
      </c>
      <c r="H10" s="2345" t="str">
        <f t="shared" ca="1" si="1"/>
        <v>崔锴（注册号：2010110070）</v>
      </c>
    </row>
    <row r="11" spans="1:8" ht="24" customHeight="1">
      <c r="A11" s="1300" t="s">
        <v>2154</v>
      </c>
      <c r="B11" s="1300">
        <f ca="1">IF(C11&lt;B2,"已过期",1120070131)</f>
        <v>1120070131</v>
      </c>
      <c r="C11" s="2341">
        <v>45937</v>
      </c>
      <c r="D11" s="2342" t="str">
        <f t="shared" ca="1" si="0"/>
        <v>郑燚（注册号：1120070131）</v>
      </c>
      <c r="E11" s="2343" t="s">
        <v>2154</v>
      </c>
      <c r="F11" s="1300">
        <f ca="1">IF(G11&lt;B2,"已过期",2014110011)</f>
        <v>2014110011</v>
      </c>
      <c r="G11" s="2344">
        <v>49302</v>
      </c>
      <c r="H11" s="2345" t="str">
        <f t="shared" ca="1" si="1"/>
        <v>郑燚（注册号：2014110011）</v>
      </c>
    </row>
    <row r="12" spans="1:8" ht="24" customHeight="1">
      <c r="A12" s="1300" t="s">
        <v>2155</v>
      </c>
      <c r="B12" s="1300">
        <f ca="1">IF(C12&lt;B2,"已过期",1120040230)</f>
        <v>1120040230</v>
      </c>
      <c r="C12" s="2346">
        <v>45937</v>
      </c>
      <c r="D12" s="2342" t="str">
        <f t="shared" ca="1" si="0"/>
        <v>苏海（注册号：1120040230）</v>
      </c>
      <c r="E12" s="2343" t="s">
        <v>2155</v>
      </c>
      <c r="F12" s="1300">
        <f ca="1">IF(G12&lt;B2,"已过期",98030020)</f>
        <v>98030020</v>
      </c>
      <c r="G12" s="2344">
        <v>47118</v>
      </c>
      <c r="H12" s="2345" t="str">
        <f t="shared" ca="1" si="1"/>
        <v>苏海（注册号：98030020）</v>
      </c>
    </row>
    <row r="13" spans="1:8" ht="24" customHeight="1">
      <c r="A13" s="1300" t="s">
        <v>2156</v>
      </c>
      <c r="B13" s="1300">
        <f ca="1">IF(C13&lt;B2,"已过期",1120020033)</f>
        <v>1120020033</v>
      </c>
      <c r="C13" s="2341">
        <v>45375</v>
      </c>
      <c r="D13" s="2342" t="str">
        <f t="shared" ca="1" si="0"/>
        <v>刘敬东（注册号：1120020033）</v>
      </c>
      <c r="E13" s="2343" t="s">
        <v>2156</v>
      </c>
      <c r="F13" s="1300">
        <f ca="1">IF(G13&lt;B2,"已过期",2000110137)</f>
        <v>2000110137</v>
      </c>
      <c r="G13" s="2344">
        <v>46387</v>
      </c>
      <c r="H13" s="2345" t="str">
        <f t="shared" ca="1" si="1"/>
        <v>刘敬东（注册号：2000110137）</v>
      </c>
    </row>
    <row r="14" spans="1:8" ht="24" customHeight="1">
      <c r="A14" s="1300" t="s">
        <v>2157</v>
      </c>
      <c r="B14" s="1300" t="str">
        <f ca="1">IF(C14&lt;B2,"已过期",1119980106)</f>
        <v>已过期</v>
      </c>
      <c r="C14" s="2346">
        <v>44969</v>
      </c>
      <c r="D14" s="2342" t="str">
        <f t="shared" ca="1" si="0"/>
        <v>刘俊财（注册号：已过期）</v>
      </c>
      <c r="E14" s="2343" t="s">
        <v>2157</v>
      </c>
      <c r="F14" s="1300">
        <f ca="1">IF(G14&lt;B2,"已过期",96010063)</f>
        <v>96010063</v>
      </c>
      <c r="G14" s="2344">
        <v>47483</v>
      </c>
      <c r="H14" s="2345" t="str">
        <f t="shared" ca="1" si="1"/>
        <v>刘俊财（注册号：96010063）</v>
      </c>
    </row>
    <row r="15" spans="1:8" ht="24" customHeight="1">
      <c r="A15" s="1300" t="s">
        <v>2440</v>
      </c>
      <c r="B15" s="1300">
        <v>1120210056</v>
      </c>
      <c r="C15" s="2346">
        <v>45410</v>
      </c>
      <c r="D15" s="2342" t="str">
        <f t="shared" si="0"/>
        <v>宁小鳗（注册号：1120210056）</v>
      </c>
      <c r="E15" s="2343" t="s">
        <v>2158</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39"/>
      <c r="E18" s="3520" t="s">
        <v>2161</v>
      </c>
      <c r="F18" s="3519"/>
      <c r="G18" s="3519"/>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基准地价修正</vt:lpstr>
      <vt:lpstr>成本法</vt:lpstr>
      <vt:lpstr>比较法-商业</vt:lpstr>
      <vt:lpstr>比较案例</vt:lpstr>
      <vt:lpstr>比较法-租金</vt:lpstr>
      <vt:lpstr>成本法 (元)</vt:lpstr>
      <vt:lpstr>假设开发法</vt:lpstr>
      <vt:lpstr>收益法-酒店模型</vt:lpstr>
      <vt:lpstr>收益法（汇总）</vt:lpstr>
      <vt:lpstr>收益法</vt:lpstr>
      <vt:lpstr>收益法办</vt:lpstr>
      <vt:lpstr>收益法仓</vt:lpstr>
      <vt:lpstr>收益法车</vt:lpstr>
      <vt:lpstr>比较法-住宅</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收益法仓!Print_Area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2023-12-26T06:44:20Z</dcterms:modified>
</cp:coreProperties>
</file>