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8" yWindow="-48" windowWidth="15396" windowHeight="12492" tabRatio="899" firstSheet="13" activeTab="3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10" sheetId="9" r:id="rId18"/>
    <sheet name="成本法" sheetId="68" state="hidden" r:id="rId19"/>
    <sheet name="成本法 (元)" sheetId="69" state="hidden" r:id="rId20"/>
    <sheet name="假设开发法" sheetId="12" state="hidden" r:id="rId21"/>
    <sheet name="收益法" sheetId="15" state="hidden" r:id="rId22"/>
    <sheet name="中指信息" sheetId="82" r:id="rId23"/>
    <sheet name="信息+案例" sheetId="80" r:id="rId24"/>
    <sheet name="收益法 (元)110" sheetId="67" state="hidden" r:id="rId25"/>
    <sheet name="收益法-酒店模型" sheetId="77" state="hidden" r:id="rId26"/>
    <sheet name="收益法（汇总）" sheetId="70" state="hidden" r:id="rId27"/>
    <sheet name="比较法-住宅" sheetId="21" state="hidden" r:id="rId28"/>
    <sheet name="比较法-商业110" sheetId="33" state="hidden" r:id="rId29"/>
    <sheet name="结果表104" sheetId="85" r:id="rId30"/>
    <sheet name="收益法 (元)104" sheetId="84" r:id="rId31"/>
    <sheet name="比较法-商业104" sheetId="83"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r:id="rId45"/>
    <sheet name="因素修正幅度" sheetId="65" state="hidden" r:id="rId46"/>
    <sheet name="区片价（范围）" sheetId="75" state="hidden" r:id="rId47"/>
    <sheet name="地价-分区" sheetId="79" r:id="rId48"/>
    <sheet name="地价" sheetId="71" r:id="rId49"/>
    <sheet name="存贷款利率" sheetId="73"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'比较法-商业104'!$A$1:$L$49</definedName>
    <definedName name="_xlnm._FilterDatabase" localSheetId="28" hidden="1">'比较法-商业110'!$A$1:$L$49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'比较法-商业104'!$A$1:$K$54,'比较法-商业104'!$A$57:$M$131</definedName>
    <definedName name="_xlnm.Print_Area" localSheetId="28">'比较法-商业110'!$A$1:$K$54,'比较法-商业110'!$A$57:$M$131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29">结果表104!$A$1:$I$127</definedName>
    <definedName name="_xlnm.Print_Area" localSheetId="17">结果表110!$A$1:$I$127</definedName>
    <definedName name="_xlnm.Print_Area" localSheetId="21">收益法!$A$1:$F$43,收益法!$H$3:$M$29,收益法!$A$46:$F$71,收益法!$I$46:$N$65</definedName>
    <definedName name="_xlnm.Print_Area" localSheetId="30">'收益法 (元)104'!$A$1:$F$43,'收益法 (元)104'!$H$3:$M$29,'收益法 (元)104'!$A$45:$F$71,'收益法 (元)104'!$I$46:$N$65</definedName>
    <definedName name="_xlnm.Print_Area" localSheetId="24">'收益法 (元)110'!$A$1:$F$43,'收益法 (元)110'!$H$3:$M$29,'收益法 (元)110'!$A$45:$F$71,'收益法 (元)110'!$I$46:$N$65</definedName>
    <definedName name="_xlnm.Print_Area" localSheetId="26">'收益法（汇总）'!$A$1:$F$13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1">'比较法-商业104'!$B$116:$M$116</definedName>
    <definedName name="商业层高">'比较法-商业110'!$B$116:$M$116</definedName>
    <definedName name="商业成新度" localSheetId="31">'比较法-商业104'!$B$109:$M$109</definedName>
    <definedName name="商业成新度">'比较法-商业110'!$B$109:$M$109</definedName>
    <definedName name="商业繁华度">定义!$L$1:$L$6</definedName>
    <definedName name="商业公共部分装修" localSheetId="31">'比较法-商业104'!$B$107:$M$107</definedName>
    <definedName name="商业公共部分装修">'比较法-商业110'!$B$107:$M$107</definedName>
    <definedName name="商业基础设施水平" localSheetId="31">'比较法-商业104'!$B$112:$M$112</definedName>
    <definedName name="商业基础设施水平">'比较法-商业110'!$B$112:$M$112</definedName>
    <definedName name="商业建筑结构" localSheetId="31">'比较法-商业104'!$B$105:$M$105</definedName>
    <definedName name="商业建筑结构">'比较法-商业110'!$B$105:$M$105</definedName>
    <definedName name="商业交易情况" localSheetId="31">'比较法-商业104'!$A$61:$M$61</definedName>
    <definedName name="商业交易情况">'比较法-商业110'!$A$61:$M$61</definedName>
    <definedName name="商业街名称">修正!$C$71:$C$138</definedName>
    <definedName name="商业进深比" localSheetId="31">'比较法-商业104'!$B$120:$M$120</definedName>
    <definedName name="商业进深比">'比较法-商业110'!$B$120:$M$120</definedName>
    <definedName name="商业类型" localSheetId="31">'比较法-商业104'!$B$100:$M$100</definedName>
    <definedName name="商业类型">'比较法-商业110'!$B$100:$M$100</definedName>
    <definedName name="商业临街状况" localSheetId="31">'比较法-商业104'!$B$86:$M$86</definedName>
    <definedName name="商业临街状况">'比较法-商业110'!$B$86:$M$86</definedName>
    <definedName name="商业楼层" localSheetId="31">'比较法-商业104'!$B$92:$M$92</definedName>
    <definedName name="商业楼层">'比较法-商业110'!$B$92:$M$92</definedName>
    <definedName name="商业内部装修" localSheetId="31">'比较法-商业104'!$B$122:$M$122</definedName>
    <definedName name="商业内部装修">'比较法-商业110'!$B$122:$M$122</definedName>
    <definedName name="商业人流量" localSheetId="31">'比较法-商业104'!$B$90:$M$90</definedName>
    <definedName name="商业人流量">'比较法-商业110'!$B$90:$M$90</definedName>
    <definedName name="商业业态" localSheetId="31">'比较法-商业104'!$B$114:$M$114</definedName>
    <definedName name="商业业态">'比较法-商业110'!$B$114:$M$114</definedName>
    <definedName name="商业用途" localSheetId="31">'比较法-商业104'!$B$63:$M$63</definedName>
    <definedName name="商业用途">'比较法-商业110'!$B$63:$M$63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34" i="74" l="1"/>
  <c r="K25" i="83"/>
  <c r="K30" i="80"/>
  <c r="K29" i="80"/>
  <c r="N25" i="33"/>
  <c r="K31" i="80" s="1"/>
  <c r="T12" i="80"/>
  <c r="U12" i="80"/>
  <c r="T14" i="80"/>
  <c r="Q21" i="80"/>
  <c r="Q14" i="80"/>
  <c r="Q13" i="80"/>
  <c r="K42" i="83" l="1"/>
  <c r="I103" i="83"/>
  <c r="E103" i="83"/>
  <c r="F103" i="83"/>
  <c r="G103" i="83"/>
  <c r="H103" i="83"/>
  <c r="D103" i="83"/>
  <c r="G33" i="83"/>
  <c r="K43" i="83"/>
  <c r="K38" i="83"/>
  <c r="K34" i="83"/>
  <c r="K32" i="83"/>
  <c r="K27" i="83"/>
  <c r="K23" i="83"/>
  <c r="K21" i="83"/>
  <c r="K15" i="83"/>
  <c r="K17" i="83"/>
  <c r="K19" i="83"/>
  <c r="D89" i="33"/>
  <c r="E89" i="33"/>
  <c r="F89" i="33" s="1"/>
  <c r="G89" i="33" s="1"/>
  <c r="D89" i="83"/>
  <c r="E86" i="83"/>
  <c r="D86" i="83"/>
  <c r="C86" i="83"/>
  <c r="M31" i="80"/>
  <c r="M30" i="80"/>
  <c r="G36" i="83"/>
  <c r="F93" i="83"/>
  <c r="F92" i="83"/>
  <c r="E92" i="83"/>
  <c r="D92" i="83"/>
  <c r="C92" i="83"/>
  <c r="N27" i="33"/>
  <c r="N26" i="33"/>
  <c r="O24" i="33" l="1"/>
  <c r="K32" i="80"/>
  <c r="L29" i="80" s="1"/>
  <c r="O27" i="33"/>
  <c r="E93" i="83" s="1"/>
  <c r="K33" i="80"/>
  <c r="L33" i="80" s="1"/>
  <c r="O23" i="33"/>
  <c r="C93" i="83" s="1"/>
  <c r="N44" i="33"/>
  <c r="I47" i="33" s="1"/>
  <c r="I47" i="83" s="1"/>
  <c r="N43" i="33"/>
  <c r="G47" i="33" s="1"/>
  <c r="G47" i="83" s="1"/>
  <c r="D93" i="83"/>
  <c r="E89" i="83"/>
  <c r="M32" i="80"/>
  <c r="U6" i="1" s="1"/>
  <c r="U7" i="1" s="1"/>
  <c r="N42" i="33"/>
  <c r="E47" i="33" s="1"/>
  <c r="E47" i="83" s="1"/>
  <c r="L30" i="80"/>
  <c r="A120" i="85"/>
  <c r="E111" i="85"/>
  <c r="H112" i="85" s="1"/>
  <c r="E109" i="85"/>
  <c r="A124" i="85" s="1"/>
  <c r="E107" i="85"/>
  <c r="A122" i="85" s="1"/>
  <c r="H106" i="85"/>
  <c r="H105" i="85"/>
  <c r="H104" i="85"/>
  <c r="H103" i="85"/>
  <c r="D120" i="85" s="1"/>
  <c r="D101" i="85"/>
  <c r="C101" i="85"/>
  <c r="C91" i="85"/>
  <c r="E90" i="85"/>
  <c r="D89" i="85"/>
  <c r="C89" i="85" s="1"/>
  <c r="C87" i="85" s="1"/>
  <c r="H77" i="85"/>
  <c r="D77" i="85"/>
  <c r="C76" i="85"/>
  <c r="F59" i="85"/>
  <c r="O55" i="85" s="1"/>
  <c r="E59" i="85"/>
  <c r="N55" i="85" s="1"/>
  <c r="F56" i="85"/>
  <c r="O54" i="85" s="1"/>
  <c r="K55" i="85"/>
  <c r="J55" i="85"/>
  <c r="I55" i="85"/>
  <c r="F55" i="85"/>
  <c r="N54" i="85"/>
  <c r="O53" i="85"/>
  <c r="N53" i="85"/>
  <c r="K49" i="85"/>
  <c r="E48" i="85"/>
  <c r="N52" i="85" s="1"/>
  <c r="D48" i="85"/>
  <c r="M52" i="85" s="1"/>
  <c r="C35" i="85"/>
  <c r="G118" i="85" s="1"/>
  <c r="C34" i="85"/>
  <c r="E118" i="85" s="1"/>
  <c r="F33" i="85"/>
  <c r="D27" i="85"/>
  <c r="C25" i="85"/>
  <c r="C24" i="85"/>
  <c r="D17" i="85"/>
  <c r="C17" i="85"/>
  <c r="C18" i="85" s="1"/>
  <c r="D18" i="85" s="1"/>
  <c r="L4" i="85"/>
  <c r="K4" i="85"/>
  <c r="H1" i="85"/>
  <c r="P65" i="80"/>
  <c r="R64" i="80"/>
  <c r="R63" i="80"/>
  <c r="R65" i="80" s="1"/>
  <c r="Q65" i="80" s="1"/>
  <c r="H109" i="85" l="1"/>
  <c r="D124" i="85" s="1"/>
  <c r="D125" i="85" s="1"/>
  <c r="G89" i="83"/>
  <c r="F89" i="83"/>
  <c r="D121" i="85"/>
  <c r="K120" i="85"/>
  <c r="C92" i="85"/>
  <c r="C94" i="85"/>
  <c r="H111" i="85"/>
  <c r="D126" i="85" s="1"/>
  <c r="D127" i="85" s="1"/>
  <c r="A126" i="85"/>
  <c r="Q72" i="84"/>
  <c r="Q59" i="84"/>
  <c r="K59" i="84"/>
  <c r="P74" i="84" s="1"/>
  <c r="F59" i="84"/>
  <c r="Q58" i="84"/>
  <c r="Q51" i="84"/>
  <c r="J50" i="84"/>
  <c r="J49" i="84"/>
  <c r="M47" i="84"/>
  <c r="D46" i="84"/>
  <c r="F33" i="84"/>
  <c r="F61" i="84" s="1"/>
  <c r="F31" i="84"/>
  <c r="F24" i="84"/>
  <c r="F23" i="84"/>
  <c r="D24" i="84" s="1"/>
  <c r="F21" i="84"/>
  <c r="F20" i="84"/>
  <c r="M19" i="84"/>
  <c r="F18" i="84"/>
  <c r="M17" i="84"/>
  <c r="F17" i="84"/>
  <c r="F15" i="84"/>
  <c r="B130" i="83"/>
  <c r="B128" i="83"/>
  <c r="B126" i="83"/>
  <c r="D125" i="83"/>
  <c r="E125" i="83" s="1"/>
  <c r="F125" i="83" s="1"/>
  <c r="G125" i="83" s="1"/>
  <c r="D123" i="83"/>
  <c r="E123" i="83" s="1"/>
  <c r="D121" i="83"/>
  <c r="E121" i="83" s="1"/>
  <c r="F121" i="83" s="1"/>
  <c r="G121" i="83" s="1"/>
  <c r="H121" i="83" s="1"/>
  <c r="I121" i="83" s="1"/>
  <c r="J121" i="83" s="1"/>
  <c r="K121" i="83" s="1"/>
  <c r="L121" i="83" s="1"/>
  <c r="M121"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I113" i="83" s="1"/>
  <c r="J113" i="83" s="1"/>
  <c r="K113" i="83" s="1"/>
  <c r="L113" i="83" s="1"/>
  <c r="M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B96" i="83"/>
  <c r="B94" i="83"/>
  <c r="B92" i="83"/>
  <c r="D91" i="83"/>
  <c r="E91" i="83" s="1"/>
  <c r="B90" i="83"/>
  <c r="B88" i="83"/>
  <c r="D87" i="83"/>
  <c r="E87" i="83" s="1"/>
  <c r="F87" i="83" s="1"/>
  <c r="G87" i="83" s="1"/>
  <c r="H87" i="83" s="1"/>
  <c r="I87" i="83" s="1"/>
  <c r="J87" i="83" s="1"/>
  <c r="K87" i="83" s="1"/>
  <c r="L87" i="83" s="1"/>
  <c r="M87" i="83" s="1"/>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I54" i="83"/>
  <c r="J54" i="83" s="1"/>
  <c r="G54" i="83"/>
  <c r="H54" i="83" s="1"/>
  <c r="E54" i="83"/>
  <c r="F54" i="83" s="1"/>
  <c r="P49" i="83"/>
  <c r="P48" i="83"/>
  <c r="K48" i="83"/>
  <c r="V47" i="83"/>
  <c r="T47" i="83"/>
  <c r="R47" i="83"/>
  <c r="P47" i="83"/>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Q42" i="83"/>
  <c r="Z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N38" i="83"/>
  <c r="J38" i="83"/>
  <c r="AC38" i="83" s="1"/>
  <c r="H38" i="83"/>
  <c r="AB38" i="83" s="1"/>
  <c r="F38" i="83"/>
  <c r="AA38" i="83" s="1"/>
  <c r="Q37" i="83"/>
  <c r="Z37" i="83" s="1"/>
  <c r="J37" i="83"/>
  <c r="AC37" i="83" s="1"/>
  <c r="H37" i="83"/>
  <c r="AB37" i="83" s="1"/>
  <c r="F37" i="83"/>
  <c r="AA37" i="83" s="1"/>
  <c r="Q36" i="83"/>
  <c r="Z36" i="83" s="1"/>
  <c r="I36" i="83"/>
  <c r="Q35" i="83"/>
  <c r="Z35" i="83" s="1"/>
  <c r="J35" i="83"/>
  <c r="AC35" i="83" s="1"/>
  <c r="H35" i="83"/>
  <c r="AB35" i="83" s="1"/>
  <c r="F35" i="83"/>
  <c r="AA35" i="83" s="1"/>
  <c r="Q34" i="83"/>
  <c r="Z34" i="83" s="1"/>
  <c r="J34" i="83"/>
  <c r="AC34" i="83" s="1"/>
  <c r="H34" i="83"/>
  <c r="AB34" i="83" s="1"/>
  <c r="F34" i="83"/>
  <c r="AA34" i="83" s="1"/>
  <c r="Q33" i="83"/>
  <c r="Z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U29" i="83" s="1"/>
  <c r="F29" i="83"/>
  <c r="AA29" i="83" s="1"/>
  <c r="Q28" i="83"/>
  <c r="Z28" i="83" s="1"/>
  <c r="H28" i="83"/>
  <c r="AB28" i="83" s="1"/>
  <c r="Z27" i="83"/>
  <c r="Q27" i="83"/>
  <c r="Q26" i="83"/>
  <c r="Z26" i="83" s="1"/>
  <c r="J26" i="83"/>
  <c r="AC26" i="83" s="1"/>
  <c r="H26" i="83"/>
  <c r="AB26" i="83" s="1"/>
  <c r="F26" i="83"/>
  <c r="AA26" i="83" s="1"/>
  <c r="Q25" i="83"/>
  <c r="Z25" i="83" s="1"/>
  <c r="F25" i="83"/>
  <c r="AA25" i="83" s="1"/>
  <c r="Q23" i="83"/>
  <c r="Z23" i="83" s="1"/>
  <c r="J23" i="83"/>
  <c r="H23" i="83"/>
  <c r="AB23" i="83" s="1"/>
  <c r="F23" i="83"/>
  <c r="S23" i="83" s="1"/>
  <c r="C23" i="83"/>
  <c r="I22" i="83"/>
  <c r="J21" i="83" s="1"/>
  <c r="G22" i="83"/>
  <c r="H21" i="83" s="1"/>
  <c r="AB21" i="83" s="1"/>
  <c r="E22" i="83"/>
  <c r="Q21" i="83"/>
  <c r="Z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S8" i="83" s="1"/>
  <c r="E5" i="83"/>
  <c r="D2" i="83"/>
  <c r="H110" i="85" l="1"/>
  <c r="H25" i="83"/>
  <c r="AB25" i="83" s="1"/>
  <c r="J25" i="83"/>
  <c r="AC25" i="83" s="1"/>
  <c r="F43" i="83"/>
  <c r="AA43" i="83" s="1"/>
  <c r="H43" i="83"/>
  <c r="AB43" i="83" s="1"/>
  <c r="J43" i="83"/>
  <c r="AC43" i="83" s="1"/>
  <c r="AA23" i="83"/>
  <c r="F123" i="83"/>
  <c r="J42" i="83"/>
  <c r="AC42" i="83" s="1"/>
  <c r="H42" i="83"/>
  <c r="AB42" i="83" s="1"/>
  <c r="W8" i="83"/>
  <c r="P61" i="84"/>
  <c r="D22" i="84"/>
  <c r="D23" i="84"/>
  <c r="AC21" i="83"/>
  <c r="W21" i="83"/>
  <c r="U8" i="83"/>
  <c r="S10" i="83"/>
  <c r="U11" i="83"/>
  <c r="W12" i="83"/>
  <c r="S14" i="83"/>
  <c r="S15" i="83"/>
  <c r="S17" i="83"/>
  <c r="S19" i="83"/>
  <c r="S21" i="83"/>
  <c r="U23" i="83"/>
  <c r="W26" i="83"/>
  <c r="AB29" i="83"/>
  <c r="U10" i="83"/>
  <c r="W11" i="83"/>
  <c r="S13" i="83"/>
  <c r="U14" i="83"/>
  <c r="U15" i="83"/>
  <c r="U17" i="83"/>
  <c r="U19" i="83"/>
  <c r="U21" i="83"/>
  <c r="AC23" i="83"/>
  <c r="W23" i="83"/>
  <c r="W30" i="83"/>
  <c r="S9" i="83"/>
  <c r="W10" i="83"/>
  <c r="S12" i="83"/>
  <c r="U13" i="83"/>
  <c r="W14" i="83"/>
  <c r="W15" i="83"/>
  <c r="W17" i="83"/>
  <c r="W19" i="83"/>
  <c r="AA8" i="83"/>
  <c r="U9" i="83"/>
  <c r="W9" i="83"/>
  <c r="S11" i="83"/>
  <c r="U12" i="83"/>
  <c r="W13" i="83"/>
  <c r="J27" i="83"/>
  <c r="H27" i="83"/>
  <c r="F91" i="83"/>
  <c r="G91" i="83" s="1"/>
  <c r="H91" i="83" s="1"/>
  <c r="I91" i="83" s="1"/>
  <c r="J91" i="83" s="1"/>
  <c r="K91" i="83" s="1"/>
  <c r="L91" i="83" s="1"/>
  <c r="M91" i="83" s="1"/>
  <c r="F27" i="83"/>
  <c r="S32" i="83"/>
  <c r="U34" i="83"/>
  <c r="W35" i="83"/>
  <c r="S37" i="83"/>
  <c r="S38" i="83"/>
  <c r="U39" i="83"/>
  <c r="W40" i="83"/>
  <c r="W44" i="83"/>
  <c r="S46" i="83"/>
  <c r="U28" i="83"/>
  <c r="W29" i="83"/>
  <c r="S31" i="83"/>
  <c r="U32" i="83"/>
  <c r="W34" i="83"/>
  <c r="U37" i="83"/>
  <c r="U38" i="83"/>
  <c r="W39" i="83"/>
  <c r="S41" i="83"/>
  <c r="W43" i="83"/>
  <c r="S45" i="83"/>
  <c r="U46" i="83"/>
  <c r="S26" i="83"/>
  <c r="S30" i="83"/>
  <c r="U31" i="83"/>
  <c r="W32" i="83"/>
  <c r="S35" i="83"/>
  <c r="W37" i="83"/>
  <c r="W38" i="83"/>
  <c r="S40" i="83"/>
  <c r="U41" i="83"/>
  <c r="S44" i="83"/>
  <c r="U45" i="83"/>
  <c r="W46" i="83"/>
  <c r="S25" i="83"/>
  <c r="U26" i="83"/>
  <c r="S29" i="83"/>
  <c r="U30" i="83"/>
  <c r="W31" i="83"/>
  <c r="S34" i="83"/>
  <c r="U35" i="83"/>
  <c r="S39" i="83"/>
  <c r="U40" i="83"/>
  <c r="W41" i="83"/>
  <c r="S43" i="83"/>
  <c r="U44" i="83"/>
  <c r="W45" i="83"/>
  <c r="M67" i="80"/>
  <c r="M68" i="80" s="1"/>
  <c r="W25" i="83" l="1"/>
  <c r="U25" i="83"/>
  <c r="U43" i="83"/>
  <c r="W42" i="83"/>
  <c r="U42" i="83"/>
  <c r="G123" i="83"/>
  <c r="H123" i="83" s="1"/>
  <c r="I123" i="83" s="1"/>
  <c r="J123" i="83" s="1"/>
  <c r="K123" i="83" s="1"/>
  <c r="L123" i="83" s="1"/>
  <c r="M123" i="83" s="1"/>
  <c r="F42" i="83"/>
  <c r="AB27" i="83"/>
  <c r="U27" i="83"/>
  <c r="AC27" i="83"/>
  <c r="W27" i="83"/>
  <c r="AA27" i="83"/>
  <c r="S27" i="83"/>
  <c r="I36" i="33"/>
  <c r="N38" i="33"/>
  <c r="O40" i="80"/>
  <c r="M99" i="80"/>
  <c r="N99" i="80" s="1"/>
  <c r="L24" i="1"/>
  <c r="AA42" i="83" l="1"/>
  <c r="S42" i="83"/>
  <c r="D4" i="31"/>
  <c r="E4" i="31" s="1"/>
  <c r="Q10" i="80" l="1"/>
  <c r="P27" i="80"/>
  <c r="P25" i="80"/>
  <c r="F20" i="6"/>
  <c r="C20" i="6"/>
  <c r="F19" i="6"/>
  <c r="C19" i="6"/>
  <c r="J28" i="83" l="1"/>
  <c r="F28" i="83"/>
  <c r="O22" i="1"/>
  <c r="Q20" i="80"/>
  <c r="D104" i="83" l="1"/>
  <c r="AA28" i="83"/>
  <c r="S28" i="83"/>
  <c r="AC28" i="83"/>
  <c r="W28" i="83"/>
  <c r="I22" i="33"/>
  <c r="G22" i="33"/>
  <c r="E22" i="33"/>
  <c r="E104" i="83" l="1"/>
  <c r="F104" i="33"/>
  <c r="E5" i="33"/>
  <c r="W9" i="80"/>
  <c r="Z9" i="80" s="1"/>
  <c r="W8" i="80"/>
  <c r="Z8" i="80" s="1"/>
  <c r="X19" i="80"/>
  <c r="W19" i="80"/>
  <c r="G104" i="33" l="1"/>
  <c r="F104" i="83"/>
  <c r="Z11" i="80"/>
  <c r="Z19" i="80"/>
  <c r="W18" i="80"/>
  <c r="H104" i="33" l="1"/>
  <c r="G104" i="83"/>
  <c r="W20" i="80"/>
  <c r="Z18" i="80"/>
  <c r="Z21" i="80" s="1"/>
  <c r="J49" i="67"/>
  <c r="AM7" i="1"/>
  <c r="AL7" i="1"/>
  <c r="AK7" i="1"/>
  <c r="W7" i="1"/>
  <c r="V7" i="1"/>
  <c r="Q7" i="1"/>
  <c r="L7" i="1"/>
  <c r="J7" i="1"/>
  <c r="I7" i="1"/>
  <c r="H7" i="1"/>
  <c r="L22" i="1"/>
  <c r="N6" i="1" s="1"/>
  <c r="B59" i="1"/>
  <c r="B3" i="4"/>
  <c r="C36" i="83" l="1"/>
  <c r="C36" i="33"/>
  <c r="E36" i="33" s="1"/>
  <c r="N7" i="1"/>
  <c r="Y6" i="1"/>
  <c r="Y7" i="1" s="1"/>
  <c r="I104" i="33"/>
  <c r="I104" i="83" s="1"/>
  <c r="H104" i="83"/>
  <c r="AB28" i="79"/>
  <c r="AA28" i="79"/>
  <c r="Z28" i="79"/>
  <c r="N28" i="79"/>
  <c r="M28" i="79"/>
  <c r="P28" i="79" s="1"/>
  <c r="L28" i="79"/>
  <c r="I28" i="79"/>
  <c r="AD28" i="79" s="1"/>
  <c r="AC5" i="79"/>
  <c r="AB5" i="79"/>
  <c r="AA5" i="79"/>
  <c r="AD5" i="79" s="1"/>
  <c r="Z5" i="79"/>
  <c r="Y5" i="79"/>
  <c r="O5" i="79"/>
  <c r="N5" i="79"/>
  <c r="M5" i="79"/>
  <c r="P5" i="79" s="1"/>
  <c r="L5" i="79"/>
  <c r="K5" i="79"/>
  <c r="I5" i="79"/>
  <c r="J36" i="83" l="1"/>
  <c r="H36" i="83"/>
  <c r="E36" i="83"/>
  <c r="F36" i="83" s="1"/>
  <c r="I8" i="79"/>
  <c r="S36" i="83" l="1"/>
  <c r="AA36" i="83"/>
  <c r="U36" i="83"/>
  <c r="AB36" i="83"/>
  <c r="AC36" i="83"/>
  <c r="W36" i="83"/>
  <c r="I31" i="79"/>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B39" i="79"/>
  <c r="AA39" i="79"/>
  <c r="Z39" i="79"/>
  <c r="N39" i="79"/>
  <c r="M39" i="79"/>
  <c r="L39" i="79"/>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U28" i="79" s="1"/>
  <c r="M29" i="79"/>
  <c r="L29" i="79"/>
  <c r="S28" i="79" s="1"/>
  <c r="I29" i="79"/>
  <c r="AD29" i="79" s="1"/>
  <c r="U26" i="79"/>
  <c r="N26" i="79"/>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C15" i="79"/>
  <c r="AB15" i="79"/>
  <c r="AA15" i="79"/>
  <c r="AD15" i="79" s="1"/>
  <c r="Z15" i="79"/>
  <c r="Y15" i="79"/>
  <c r="O15" i="79"/>
  <c r="N15" i="79"/>
  <c r="U15" i="79" s="1"/>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S13" i="79" s="1"/>
  <c r="K13" i="79"/>
  <c r="I13" i="79"/>
  <c r="AC12" i="79"/>
  <c r="AB12" i="79"/>
  <c r="AA12" i="79"/>
  <c r="AD12" i="79" s="1"/>
  <c r="Z12" i="79"/>
  <c r="Y12" i="79"/>
  <c r="O12" i="79"/>
  <c r="V3" i="79" s="1"/>
  <c r="N12" i="79"/>
  <c r="M12" i="79"/>
  <c r="L12" i="79"/>
  <c r="K12" i="79"/>
  <c r="I12" i="79"/>
  <c r="AC6" i="79"/>
  <c r="AB6" i="79"/>
  <c r="AA6" i="79"/>
  <c r="AD6" i="79" s="1"/>
  <c r="Z6" i="79"/>
  <c r="Y6" i="79"/>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B3" i="79" l="1"/>
  <c r="T26" i="79"/>
  <c r="W26" i="79" s="1"/>
  <c r="T29" i="79"/>
  <c r="T28" i="79"/>
  <c r="W28" i="79" s="1"/>
  <c r="U30" i="79"/>
  <c r="AD36" i="79"/>
  <c r="S37" i="79"/>
  <c r="U39" i="79"/>
  <c r="AD40" i="79"/>
  <c r="Y3" i="79"/>
  <c r="AC3" i="79"/>
  <c r="Z3" i="79"/>
  <c r="R13" i="79"/>
  <c r="V13" i="79"/>
  <c r="S14" i="79"/>
  <c r="T15" i="79"/>
  <c r="W15" i="79" s="1"/>
  <c r="M26" i="79"/>
  <c r="P26" i="79" s="1"/>
  <c r="S30" i="79"/>
  <c r="T36" i="79"/>
  <c r="U37" i="79"/>
  <c r="AD38" i="79"/>
  <c r="S39" i="79"/>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Y14" i="71" s="1"/>
  <c r="Z14" i="71" s="1"/>
  <c r="N16" i="71"/>
  <c r="AH17" i="71"/>
  <c r="AG17" i="71"/>
  <c r="AE17" i="71"/>
  <c r="AF17" i="71" s="1"/>
  <c r="AD17" i="71"/>
  <c r="Q18" i="71"/>
  <c r="Q19" i="71"/>
  <c r="P18" i="71"/>
  <c r="P19" i="71"/>
  <c r="O18" i="71"/>
  <c r="Y17" i="71" s="1"/>
  <c r="Z17" i="71" s="1"/>
  <c r="O19" i="71"/>
  <c r="N18" i="71"/>
  <c r="X17" i="71" s="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X18" i="71" s="1"/>
  <c r="L3" i="71"/>
  <c r="AH3" i="71" s="1"/>
  <c r="K3" i="71"/>
  <c r="AG3" i="71" s="1"/>
  <c r="J3" i="71"/>
  <c r="AE3" i="71" s="1"/>
  <c r="I3" i="71"/>
  <c r="AH21" i="71"/>
  <c r="AG21" i="71"/>
  <c r="AE21" i="71"/>
  <c r="AF21" i="71" s="1"/>
  <c r="AD21" i="71"/>
  <c r="Q21" i="71"/>
  <c r="Q22" i="71"/>
  <c r="P21" i="71"/>
  <c r="P22" i="71"/>
  <c r="O21" i="71"/>
  <c r="Y18" i="71" s="1"/>
  <c r="O22" i="71"/>
  <c r="N21" i="71"/>
  <c r="N22" i="71"/>
  <c r="X21" i="71" s="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Y21" i="71" s="1"/>
  <c r="Z21" i="71" s="1"/>
  <c r="C24" i="71"/>
  <c r="C23" i="71" s="1"/>
  <c r="Q25" i="71"/>
  <c r="F24" i="71"/>
  <c r="F23" i="71"/>
  <c r="F22" i="71" s="1"/>
  <c r="P25" i="71"/>
  <c r="E24" i="71"/>
  <c r="V24" i="71" s="1"/>
  <c r="E23" i="71"/>
  <c r="E22" i="71" s="1"/>
  <c r="O25" i="71"/>
  <c r="Y23" i="71" s="1"/>
  <c r="Z23" i="71" s="1"/>
  <c r="N25" i="71"/>
  <c r="X24" i="71" s="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2" i="71" s="1"/>
  <c r="Z22" i="71" s="1"/>
  <c r="N26" i="71"/>
  <c r="A15" i="51"/>
  <c r="B12" i="72" s="1"/>
  <c r="C76" i="9"/>
  <c r="I107" i="40"/>
  <c r="K6" i="4"/>
  <c r="K56" i="9" s="1"/>
  <c r="N56" i="9"/>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C8" i="68"/>
  <c r="B49" i="48"/>
  <c r="B5" i="72" s="1"/>
  <c r="D89" i="71"/>
  <c r="F88" i="71"/>
  <c r="E88" i="71"/>
  <c r="E87" i="71"/>
  <c r="E86" i="71" s="1"/>
  <c r="C88" i="71"/>
  <c r="D88" i="71"/>
  <c r="B88" i="71"/>
  <c r="B87" i="71" s="1"/>
  <c r="B86" i="71" s="1"/>
  <c r="F87" i="71"/>
  <c r="F86" i="71" s="1"/>
  <c r="D85" i="71"/>
  <c r="F84" i="71"/>
  <c r="E84" i="71"/>
  <c r="E83" i="71"/>
  <c r="E82" i="71" s="1"/>
  <c r="C84" i="71"/>
  <c r="D84" i="71"/>
  <c r="B84" i="71"/>
  <c r="B83" i="71" s="1"/>
  <c r="B82" i="71" s="1"/>
  <c r="F83" i="71"/>
  <c r="F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c r="E76" i="71"/>
  <c r="U76" i="71" s="1"/>
  <c r="C76" i="7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s="1"/>
  <c r="E68" i="71"/>
  <c r="P68" i="71"/>
  <c r="C68" i="71"/>
  <c r="B68" i="71"/>
  <c r="S68" i="71"/>
  <c r="F67" i="71"/>
  <c r="F66" i="71" s="1"/>
  <c r="B67" i="71"/>
  <c r="D65" i="71"/>
  <c r="Q64" i="71"/>
  <c r="P64" i="71"/>
  <c r="O64" i="71"/>
  <c r="N64" i="71"/>
  <c r="Q63" i="71"/>
  <c r="P63" i="71"/>
  <c r="O63" i="71"/>
  <c r="N63" i="71"/>
  <c r="Q62" i="71"/>
  <c r="P62" i="71"/>
  <c r="O62" i="71"/>
  <c r="N62" i="71"/>
  <c r="Q61" i="71"/>
  <c r="F62" i="71"/>
  <c r="F63" i="71"/>
  <c r="F64" i="71"/>
  <c r="V64" i="71" s="1"/>
  <c r="P61" i="71"/>
  <c r="E62" i="71"/>
  <c r="O61" i="71"/>
  <c r="C62" i="71" s="1"/>
  <c r="C63" i="71" s="1"/>
  <c r="D63" i="71" s="1"/>
  <c r="N61" i="71"/>
  <c r="B62" i="71"/>
  <c r="B63" i="7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c r="N57" i="71"/>
  <c r="B58" i="71"/>
  <c r="B59" i="71"/>
  <c r="B60" i="71"/>
  <c r="S60" i="71" s="1"/>
  <c r="D57" i="71"/>
  <c r="Q56" i="71"/>
  <c r="P56" i="71"/>
  <c r="O56" i="71"/>
  <c r="N56" i="71"/>
  <c r="Q55" i="71"/>
  <c r="P55" i="71"/>
  <c r="O55" i="71"/>
  <c r="N55" i="71"/>
  <c r="Q54" i="71"/>
  <c r="P54" i="71"/>
  <c r="O54" i="71"/>
  <c r="N54" i="71"/>
  <c r="Q53" i="71"/>
  <c r="F54" i="71" s="1"/>
  <c r="F55" i="71" s="1"/>
  <c r="F56" i="71" s="1"/>
  <c r="V56" i="71" s="1"/>
  <c r="P53" i="71"/>
  <c r="E54" i="71" s="1"/>
  <c r="O53" i="71"/>
  <c r="C54" i="71" s="1"/>
  <c r="C55" i="71" s="1"/>
  <c r="N53" i="71"/>
  <c r="B54" i="71" s="1"/>
  <c r="B55" i="71" s="1"/>
  <c r="B56" i="71" s="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c r="E44" i="71" s="1"/>
  <c r="U44" i="71" s="1"/>
  <c r="O41" i="71"/>
  <c r="C42" i="71"/>
  <c r="N41" i="71"/>
  <c r="B42" i="71"/>
  <c r="D41" i="71"/>
  <c r="Q40" i="71"/>
  <c r="P40" i="71"/>
  <c r="O40" i="71"/>
  <c r="N40" i="71"/>
  <c r="Q39" i="71"/>
  <c r="P39" i="71"/>
  <c r="AA39" i="71"/>
  <c r="O39" i="71"/>
  <c r="Y39" i="71"/>
  <c r="Z39" i="71" s="1"/>
  <c r="N39" i="71"/>
  <c r="X39" i="71"/>
  <c r="Q38" i="71"/>
  <c r="AB38" i="71" s="1"/>
  <c r="P38" i="71"/>
  <c r="O38" i="71"/>
  <c r="Y38" i="71"/>
  <c r="Z38" i="71" s="1"/>
  <c r="N38" i="71"/>
  <c r="Q37" i="71"/>
  <c r="F38" i="71" s="1"/>
  <c r="F39" i="71" s="1"/>
  <c r="F40" i="71" s="1"/>
  <c r="V40" i="71" s="1"/>
  <c r="P37" i="71"/>
  <c r="E38" i="71" s="1"/>
  <c r="E39" i="71" s="1"/>
  <c r="O37" i="71"/>
  <c r="N37" i="71"/>
  <c r="D37" i="71"/>
  <c r="Q36" i="71"/>
  <c r="AB34" i="71" s="1"/>
  <c r="P36" i="71"/>
  <c r="O36" i="71"/>
  <c r="Y34" i="71" s="1"/>
  <c r="Z34" i="71" s="1"/>
  <c r="Y36" i="71"/>
  <c r="Z36" i="71" s="1"/>
  <c r="N36" i="71"/>
  <c r="Q35" i="71"/>
  <c r="AB31" i="71" s="1"/>
  <c r="AB35" i="71"/>
  <c r="P35" i="71"/>
  <c r="O35" i="71"/>
  <c r="Y35" i="71"/>
  <c r="Z35" i="71"/>
  <c r="N35" i="71"/>
  <c r="Q34" i="71"/>
  <c r="P34" i="71"/>
  <c r="AA34" i="71" s="1"/>
  <c r="O34" i="71"/>
  <c r="N34" i="71"/>
  <c r="Q33" i="71"/>
  <c r="F34" i="71" s="1"/>
  <c r="F35" i="71" s="1"/>
  <c r="F36" i="71" s="1"/>
  <c r="V36" i="71" s="1"/>
  <c r="P33" i="71"/>
  <c r="O33" i="71"/>
  <c r="Y32" i="71" s="1"/>
  <c r="Z32" i="71" s="1"/>
  <c r="N33" i="71"/>
  <c r="D33" i="71"/>
  <c r="Q32" i="71"/>
  <c r="P32" i="71"/>
  <c r="AA32" i="71" s="1"/>
  <c r="O32" i="71"/>
  <c r="N32" i="71"/>
  <c r="X32" i="71" s="1"/>
  <c r="Q31" i="71"/>
  <c r="P31" i="71"/>
  <c r="AA30" i="71" s="1"/>
  <c r="O31" i="71"/>
  <c r="Y31" i="71" s="1"/>
  <c r="Z31" i="71" s="1"/>
  <c r="N31" i="71"/>
  <c r="X29" i="71" s="1"/>
  <c r="Q30" i="71"/>
  <c r="AB30" i="71" s="1"/>
  <c r="P30" i="71"/>
  <c r="O30" i="71"/>
  <c r="Y29" i="71" s="1"/>
  <c r="Z29" i="71" s="1"/>
  <c r="Y30" i="71"/>
  <c r="Z30" i="71" s="1"/>
  <c r="N30" i="71"/>
  <c r="Q29" i="71"/>
  <c r="F30" i="71" s="1"/>
  <c r="F31" i="71" s="1"/>
  <c r="F32" i="71" s="1"/>
  <c r="V32" i="71" s="1"/>
  <c r="P29" i="71"/>
  <c r="E30" i="71" s="1"/>
  <c r="E31" i="71" s="1"/>
  <c r="E32" i="71" s="1"/>
  <c r="U32" i="71" s="1"/>
  <c r="O29" i="71"/>
  <c r="N29" i="71"/>
  <c r="D29" i="71"/>
  <c r="O28" i="71"/>
  <c r="Y26" i="71" s="1"/>
  <c r="N28" i="71"/>
  <c r="B30" i="71"/>
  <c r="B31" i="71"/>
  <c r="B32" i="71"/>
  <c r="S32" i="71" s="1"/>
  <c r="B34" i="71"/>
  <c r="B35" i="71" s="1"/>
  <c r="B36" i="71" s="1"/>
  <c r="S36" i="71" s="1"/>
  <c r="X33" i="71"/>
  <c r="B38" i="71"/>
  <c r="B39" i="71"/>
  <c r="B40" i="71"/>
  <c r="S40" i="71"/>
  <c r="X37" i="71"/>
  <c r="E40" i="71"/>
  <c r="U40" i="71" s="1"/>
  <c r="N68" i="71"/>
  <c r="E34" i="71"/>
  <c r="E35" i="71" s="1"/>
  <c r="E36" i="71" s="1"/>
  <c r="U36" i="71" s="1"/>
  <c r="AA33" i="71"/>
  <c r="C30" i="71"/>
  <c r="AB29" i="71"/>
  <c r="X31" i="71"/>
  <c r="AA31" i="71"/>
  <c r="C34" i="71"/>
  <c r="D34" i="71" s="1"/>
  <c r="C35" i="71"/>
  <c r="AB33" i="71"/>
  <c r="X34" i="71"/>
  <c r="X35" i="71"/>
  <c r="AA35" i="71"/>
  <c r="X36" i="71"/>
  <c r="C38" i="71"/>
  <c r="Y37" i="71"/>
  <c r="Z37" i="71"/>
  <c r="X38" i="71"/>
  <c r="AA38" i="71"/>
  <c r="F51" i="71"/>
  <c r="F52" i="71" s="1"/>
  <c r="V52" i="71" s="1"/>
  <c r="C28" i="71"/>
  <c r="T28" i="71" s="1"/>
  <c r="Y25" i="71"/>
  <c r="Z25" i="71" s="1"/>
  <c r="Z26" i="71"/>
  <c r="Y27" i="71"/>
  <c r="Z27" i="71" s="1"/>
  <c r="B28" i="71"/>
  <c r="B27" i="71" s="1"/>
  <c r="B26" i="71" s="1"/>
  <c r="X25" i="71"/>
  <c r="X26" i="71"/>
  <c r="X28" i="71"/>
  <c r="C31" i="71"/>
  <c r="D30" i="71"/>
  <c r="C39" i="71"/>
  <c r="D38" i="71"/>
  <c r="C43" i="71"/>
  <c r="D42" i="71"/>
  <c r="C47" i="71"/>
  <c r="D47" i="71"/>
  <c r="D46" i="71"/>
  <c r="C51" i="71"/>
  <c r="D50" i="71"/>
  <c r="P28" i="71"/>
  <c r="AA27" i="71" s="1"/>
  <c r="E55" i="71"/>
  <c r="E56" i="71" s="1"/>
  <c r="U56" i="71" s="1"/>
  <c r="E59" i="71"/>
  <c r="E60" i="71" s="1"/>
  <c r="U60" i="71" s="1"/>
  <c r="E63" i="71"/>
  <c r="E64" i="71"/>
  <c r="U64" i="71"/>
  <c r="U68" i="71"/>
  <c r="E67" i="71"/>
  <c r="Q28" i="71"/>
  <c r="AB27" i="71" s="1"/>
  <c r="D54" i="71"/>
  <c r="C59" i="71"/>
  <c r="D58" i="71"/>
  <c r="D62" i="71"/>
  <c r="N67" i="71"/>
  <c r="B66" i="71"/>
  <c r="Q67" i="71"/>
  <c r="T68" i="71"/>
  <c r="O68" i="71"/>
  <c r="D68" i="71"/>
  <c r="C67" i="71"/>
  <c r="Q68" i="71"/>
  <c r="C71" i="71"/>
  <c r="C70" i="71" s="1"/>
  <c r="D70" i="71" s="1"/>
  <c r="E71" i="71"/>
  <c r="E70" i="71" s="1"/>
  <c r="D72" i="71"/>
  <c r="C75" i="71"/>
  <c r="D75" i="71" s="1"/>
  <c r="E75" i="71"/>
  <c r="E74" i="71" s="1"/>
  <c r="D76" i="71"/>
  <c r="C79" i="71"/>
  <c r="E79" i="71"/>
  <c r="E78" i="71" s="1"/>
  <c r="D80" i="71"/>
  <c r="C83" i="71"/>
  <c r="C87" i="71"/>
  <c r="C27" i="71"/>
  <c r="D27" i="71" s="1"/>
  <c r="S28" i="71"/>
  <c r="AB25" i="71"/>
  <c r="AB26" i="71"/>
  <c r="E28" i="71"/>
  <c r="E27" i="71"/>
  <c r="E26" i="71" s="1"/>
  <c r="AA3" i="71"/>
  <c r="AA25" i="71"/>
  <c r="AA26" i="71"/>
  <c r="AA28" i="71"/>
  <c r="D28" i="71"/>
  <c r="U28" i="71" s="1"/>
  <c r="C66" i="71"/>
  <c r="O67" i="71"/>
  <c r="D67" i="71"/>
  <c r="C64" i="71"/>
  <c r="D83" i="71"/>
  <c r="C82" i="71"/>
  <c r="D82" i="71"/>
  <c r="N65" i="71"/>
  <c r="N66" i="71"/>
  <c r="D87" i="71"/>
  <c r="C86" i="71"/>
  <c r="D86" i="71"/>
  <c r="D79" i="71"/>
  <c r="C78" i="71"/>
  <c r="D78" i="71"/>
  <c r="D71" i="71"/>
  <c r="C60" i="71"/>
  <c r="D60" i="71" s="1"/>
  <c r="D59" i="71"/>
  <c r="C56" i="71"/>
  <c r="D55" i="71"/>
  <c r="P67" i="71"/>
  <c r="E66" i="71"/>
  <c r="P65" i="71" s="1"/>
  <c r="C52" i="71"/>
  <c r="D51" i="71"/>
  <c r="C44" i="71"/>
  <c r="T44" i="71" s="1"/>
  <c r="D43" i="71"/>
  <c r="C40" i="71"/>
  <c r="D39" i="71"/>
  <c r="C36" i="71"/>
  <c r="T36" i="71" s="1"/>
  <c r="D35" i="71"/>
  <c r="C32" i="71"/>
  <c r="D31" i="71"/>
  <c r="C26" i="71"/>
  <c r="D26" i="71"/>
  <c r="V28" i="71"/>
  <c r="P66" i="71"/>
  <c r="O66" i="71"/>
  <c r="D66" i="71"/>
  <c r="O65" i="71"/>
  <c r="T32" i="71"/>
  <c r="D32" i="71"/>
  <c r="D36" i="71"/>
  <c r="T40" i="71"/>
  <c r="D40" i="71"/>
  <c r="D44" i="71"/>
  <c r="T52" i="71"/>
  <c r="D52" i="71"/>
  <c r="T56" i="71"/>
  <c r="D56" i="71"/>
  <c r="T60" i="71"/>
  <c r="T64" i="71"/>
  <c r="D64"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AA18" i="35"/>
  <c r="C18" i="35"/>
  <c r="Q21" i="37"/>
  <c r="Z21" i="37" s="1"/>
  <c r="D77" i="37"/>
  <c r="E77" i="37" s="1"/>
  <c r="F77" i="37" s="1"/>
  <c r="G77" i="37" s="1"/>
  <c r="C21" i="37"/>
  <c r="Q21" i="34"/>
  <c r="Z21" i="34" s="1"/>
  <c r="D84" i="34"/>
  <c r="E84" i="34"/>
  <c r="F21" i="34"/>
  <c r="S21" i="34" s="1"/>
  <c r="AA21" i="34"/>
  <c r="C21" i="34"/>
  <c r="Q21" i="33"/>
  <c r="Z21" i="33" s="1"/>
  <c r="D83" i="33"/>
  <c r="E83" i="33" s="1"/>
  <c r="F83" i="33" s="1"/>
  <c r="G83" i="33" s="1"/>
  <c r="C21" i="33"/>
  <c r="C21" i="21"/>
  <c r="Q21" i="21"/>
  <c r="Z21" i="21"/>
  <c r="H19" i="21"/>
  <c r="D83" i="21"/>
  <c r="F21" i="21"/>
  <c r="AA21" i="21"/>
  <c r="D81" i="21"/>
  <c r="G20" i="20"/>
  <c r="B88" i="43"/>
  <c r="C22" i="20"/>
  <c r="B100" i="43" s="1"/>
  <c r="C25" i="40"/>
  <c r="U18" i="36"/>
  <c r="F94" i="40"/>
  <c r="H25" i="40"/>
  <c r="G94" i="40"/>
  <c r="J25" i="40"/>
  <c r="H29" i="39"/>
  <c r="AB29" i="39" s="1"/>
  <c r="J29" i="39"/>
  <c r="AC29" i="39" s="1"/>
  <c r="J18" i="36"/>
  <c r="F68" i="35"/>
  <c r="H18" i="35"/>
  <c r="U18" i="35" s="1"/>
  <c r="S18" i="35"/>
  <c r="G68" i="35"/>
  <c r="J18" i="35"/>
  <c r="H21" i="37"/>
  <c r="AB21" i="37" s="1"/>
  <c r="F21" i="37"/>
  <c r="F84" i="34"/>
  <c r="H21" i="34"/>
  <c r="AB21" i="34" s="1"/>
  <c r="H21" i="33"/>
  <c r="U21" i="33" s="1"/>
  <c r="F21" i="33"/>
  <c r="S21" i="33" s="1"/>
  <c r="E83" i="21"/>
  <c r="S21" i="21"/>
  <c r="H1" i="69"/>
  <c r="AC25" i="40"/>
  <c r="W25" i="40"/>
  <c r="AB25" i="40"/>
  <c r="U25" i="40"/>
  <c r="U29" i="39"/>
  <c r="AC18" i="36"/>
  <c r="W18" i="36"/>
  <c r="AA21" i="37"/>
  <c r="S21" i="37"/>
  <c r="AB18" i="35"/>
  <c r="AC18" i="35"/>
  <c r="W18" i="35"/>
  <c r="J21" i="37"/>
  <c r="G84" i="34"/>
  <c r="J21" i="34"/>
  <c r="J21" i="33"/>
  <c r="W21" i="33" s="1"/>
  <c r="F83" i="21"/>
  <c r="G83" i="21" s="1"/>
  <c r="H21" i="21"/>
  <c r="F38" i="69"/>
  <c r="E37" i="69"/>
  <c r="F36" i="69"/>
  <c r="F35" i="69"/>
  <c r="F21" i="69"/>
  <c r="F40" i="69" s="1"/>
  <c r="F20" i="69"/>
  <c r="F39" i="69" s="1"/>
  <c r="E10" i="69"/>
  <c r="E9" i="69"/>
  <c r="C7" i="69"/>
  <c r="AC21" i="37"/>
  <c r="W21" i="37"/>
  <c r="AC21" i="34"/>
  <c r="W21" i="34"/>
  <c r="AC21" i="33"/>
  <c r="AB21" i="21"/>
  <c r="U21" i="21"/>
  <c r="J21" i="21"/>
  <c r="W21" i="21" s="1"/>
  <c r="F38" i="68"/>
  <c r="E37" i="68"/>
  <c r="F36" i="68"/>
  <c r="F35" i="68"/>
  <c r="F21" i="68"/>
  <c r="F40"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L73" i="3"/>
  <c r="BK73" i="3"/>
  <c r="BJ73" i="3"/>
  <c r="BI73" i="3"/>
  <c r="BH73" i="3"/>
  <c r="BG73" i="3"/>
  <c r="BF73" i="3"/>
  <c r="BE73" i="3"/>
  <c r="BD73" i="3"/>
  <c r="BC73" i="3"/>
  <c r="BA73" i="3" s="1"/>
  <c r="AZ73" i="3" s="1"/>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G69" i="3" s="1"/>
  <c r="H69" i="3"/>
  <c r="BT68" i="3"/>
  <c r="BS68" i="3"/>
  <c r="BR68" i="3"/>
  <c r="BQ68" i="3"/>
  <c r="BP68" i="3"/>
  <c r="BO68" i="3"/>
  <c r="BL68" i="3" s="1"/>
  <c r="BN68" i="3"/>
  <c r="BM68" i="3"/>
  <c r="BK68" i="3"/>
  <c r="BJ68" i="3"/>
  <c r="BI68" i="3"/>
  <c r="BH68" i="3"/>
  <c r="BG68" i="3"/>
  <c r="BF68" i="3"/>
  <c r="BE68" i="3"/>
  <c r="BD68" i="3"/>
  <c r="BC68" i="3"/>
  <c r="BA68" i="3" s="1"/>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BT54" i="3"/>
  <c r="BS54" i="3"/>
  <c r="BR54" i="3"/>
  <c r="BQ54" i="3"/>
  <c r="BP54" i="3"/>
  <c r="BO54" i="3"/>
  <c r="BN54" i="3"/>
  <c r="BL54" i="3" s="1"/>
  <c r="BM54" i="3"/>
  <c r="BK54" i="3"/>
  <c r="BJ54" i="3"/>
  <c r="BI54" i="3"/>
  <c r="BH54" i="3"/>
  <c r="BG54" i="3"/>
  <c r="BF54" i="3"/>
  <c r="BE54" i="3"/>
  <c r="BD54" i="3"/>
  <c r="BC54" i="3"/>
  <c r="BB54" i="3"/>
  <c r="BA54" i="3" s="1"/>
  <c r="AZ54" i="3" s="1"/>
  <c r="AX54" i="3"/>
  <c r="AW54" i="3"/>
  <c r="AV54" i="3"/>
  <c r="AC54" i="3"/>
  <c r="G54" i="3" s="1"/>
  <c r="H54" i="3"/>
  <c r="BT53" i="3"/>
  <c r="BS53" i="3"/>
  <c r="BR53" i="3"/>
  <c r="BQ53" i="3"/>
  <c r="BP53" i="3"/>
  <c r="BO53" i="3"/>
  <c r="BN53" i="3"/>
  <c r="BM53" i="3"/>
  <c r="BL53" i="3"/>
  <c r="BK53" i="3"/>
  <c r="BJ53" i="3"/>
  <c r="BI53" i="3"/>
  <c r="BH53" i="3"/>
  <c r="BG53" i="3"/>
  <c r="BF53" i="3"/>
  <c r="BE53" i="3"/>
  <c r="BD53" i="3"/>
  <c r="BC53" i="3"/>
  <c r="BA53" i="3" s="1"/>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G49" i="3" s="1"/>
  <c r="H49" i="3"/>
  <c r="BT48" i="3"/>
  <c r="BS48" i="3"/>
  <c r="BR48" i="3"/>
  <c r="BQ48" i="3"/>
  <c r="BP48" i="3"/>
  <c r="BO48" i="3"/>
  <c r="BN48" i="3"/>
  <c r="BM48" i="3"/>
  <c r="BL48" i="3"/>
  <c r="BK48" i="3"/>
  <c r="BJ48" i="3"/>
  <c r="BI48" i="3"/>
  <c r="BH48" i="3"/>
  <c r="BG48" i="3"/>
  <c r="BF48" i="3"/>
  <c r="BE48" i="3"/>
  <c r="BD48" i="3"/>
  <c r="BC48" i="3"/>
  <c r="BA48" i="3" s="1"/>
  <c r="AZ48" i="3" s="1"/>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G46" i="3" s="1"/>
  <c r="H46" i="3"/>
  <c r="BT45" i="3"/>
  <c r="BS45" i="3"/>
  <c r="BR45" i="3"/>
  <c r="BQ45" i="3"/>
  <c r="BP45" i="3"/>
  <c r="BO45" i="3"/>
  <c r="BN45" i="3"/>
  <c r="BM45" i="3"/>
  <c r="BL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L38" i="3"/>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L28" i="3"/>
  <c r="BK28" i="3"/>
  <c r="BJ28" i="3"/>
  <c r="BI28" i="3"/>
  <c r="BH28" i="3"/>
  <c r="BG28" i="3"/>
  <c r="BF28" i="3"/>
  <c r="BE28" i="3"/>
  <c r="BD28" i="3"/>
  <c r="BC28" i="3"/>
  <c r="BA28" i="3" s="1"/>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G24" i="3" s="1"/>
  <c r="H24" i="3"/>
  <c r="BT23" i="3"/>
  <c r="BS23" i="3"/>
  <c r="BR23" i="3"/>
  <c r="BQ23" i="3"/>
  <c r="BP23" i="3"/>
  <c r="BO23" i="3"/>
  <c r="BN23" i="3"/>
  <c r="BM23" i="3"/>
  <c r="BL23" i="3"/>
  <c r="BK23" i="3"/>
  <c r="BJ23" i="3"/>
  <c r="BI23" i="3"/>
  <c r="BH23" i="3"/>
  <c r="BG23" i="3"/>
  <c r="BF23" i="3"/>
  <c r="BE23" i="3"/>
  <c r="BD23" i="3"/>
  <c r="BC23" i="3"/>
  <c r="BA23" i="3" s="1"/>
  <c r="AZ23" i="3" s="1"/>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G21" i="3" s="1"/>
  <c r="H21" i="3"/>
  <c r="BT20" i="3"/>
  <c r="BS20" i="3"/>
  <c r="BR20" i="3"/>
  <c r="BQ20" i="3"/>
  <c r="BP20" i="3"/>
  <c r="BO20" i="3"/>
  <c r="BN20" i="3"/>
  <c r="BM20" i="3"/>
  <c r="BL20" i="3"/>
  <c r="BK20" i="3"/>
  <c r="BJ20" i="3"/>
  <c r="BI20" i="3"/>
  <c r="BH20" i="3"/>
  <c r="BG20" i="3"/>
  <c r="BF20" i="3"/>
  <c r="BE20" i="3"/>
  <c r="BD20" i="3"/>
  <c r="BC20" i="3"/>
  <c r="BA20" i="3" s="1"/>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L18" i="3"/>
  <c r="BK18" i="3"/>
  <c r="BJ18" i="3"/>
  <c r="BI18" i="3"/>
  <c r="BH18" i="3"/>
  <c r="BG18" i="3"/>
  <c r="BF18" i="3"/>
  <c r="BE18" i="3"/>
  <c r="BD18" i="3"/>
  <c r="BC18" i="3"/>
  <c r="BA18" i="3" s="1"/>
  <c r="AZ18" i="3" s="1"/>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L169" i="3" s="1"/>
  <c r="AZ169" i="3" s="1"/>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L141" i="3" s="1"/>
  <c r="BN141" i="3"/>
  <c r="BM141" i="3"/>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L130" i="3" s="1"/>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A126" i="3" s="1"/>
  <c r="AZ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A242" i="3" s="1"/>
  <c r="AZ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A487" i="3" s="1"/>
  <c r="AZ487" i="3" s="1"/>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A442" i="3" s="1"/>
  <c r="AZ442" i="3" s="1"/>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AZ422" i="3" s="1"/>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AZ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R39" i="31"/>
  <c r="R40" i="31"/>
  <c r="S40" i="31" s="1"/>
  <c r="R41" i="31"/>
  <c r="R42" i="31"/>
  <c r="S42" i="31" s="1"/>
  <c r="R43" i="31"/>
  <c r="S43" i="31" s="1"/>
  <c r="R44" i="31"/>
  <c r="S44" i="31" s="1"/>
  <c r="R45" i="31"/>
  <c r="S45" i="31" s="1"/>
  <c r="R46" i="31"/>
  <c r="R47" i="31"/>
  <c r="S47" i="31" s="1"/>
  <c r="R48" i="31"/>
  <c r="S48" i="31" s="1"/>
  <c r="R49" i="31"/>
  <c r="R50" i="31"/>
  <c r="S50" i="31" s="1"/>
  <c r="R51" i="31"/>
  <c r="R52" i="31"/>
  <c r="S52" i="31" s="1"/>
  <c r="R53" i="31"/>
  <c r="S53" i="31" s="1"/>
  <c r="R54" i="31"/>
  <c r="R55" i="31"/>
  <c r="S55" i="31" s="1"/>
  <c r="R56" i="31"/>
  <c r="S56" i="31" s="1"/>
  <c r="R57" i="31"/>
  <c r="S57" i="31" s="1"/>
  <c r="R58" i="31"/>
  <c r="S58" i="31" s="1"/>
  <c r="R59" i="31"/>
  <c r="R60" i="31"/>
  <c r="S60" i="31" s="1"/>
  <c r="R61" i="31"/>
  <c r="S61" i="31" s="1"/>
  <c r="R62" i="31"/>
  <c r="S62" i="31" s="1"/>
  <c r="R63" i="31"/>
  <c r="S63" i="31" s="1"/>
  <c r="R64" i="31"/>
  <c r="S64" i="31" s="1"/>
  <c r="R65" i="31"/>
  <c r="R66" i="31"/>
  <c r="S66" i="31" s="1"/>
  <c r="R67" i="31"/>
  <c r="S67" i="31" s="1"/>
  <c r="R68" i="31"/>
  <c r="S68" i="31" s="1"/>
  <c r="R69" i="31"/>
  <c r="S69" i="31" s="1"/>
  <c r="R70" i="31"/>
  <c r="R71" i="31"/>
  <c r="S71" i="31" s="1"/>
  <c r="R72" i="31"/>
  <c r="S72" i="31" s="1"/>
  <c r="R73" i="31"/>
  <c r="R74" i="31"/>
  <c r="S74" i="31" s="1"/>
  <c r="R75" i="31"/>
  <c r="S75" i="31" s="1"/>
  <c r="R76" i="31"/>
  <c r="S76" i="31" s="1"/>
  <c r="R77" i="31"/>
  <c r="S77" i="31" s="1"/>
  <c r="R78" i="31"/>
  <c r="S78" i="31" s="1"/>
  <c r="R79" i="31"/>
  <c r="S79" i="31" s="1"/>
  <c r="R80" i="31"/>
  <c r="S80" i="31" s="1"/>
  <c r="R81" i="31"/>
  <c r="R82" i="31"/>
  <c r="R83" i="31"/>
  <c r="S83" i="31" s="1"/>
  <c r="R84" i="31"/>
  <c r="S84" i="31" s="1"/>
  <c r="R85" i="31"/>
  <c r="S85" i="31" s="1"/>
  <c r="R86" i="31"/>
  <c r="S86" i="31" s="1"/>
  <c r="R87" i="31"/>
  <c r="S87" i="31" s="1"/>
  <c r="R88" i="31"/>
  <c r="S88" i="31" s="1"/>
  <c r="R89" i="31"/>
  <c r="R90" i="31"/>
  <c r="S90" i="31" s="1"/>
  <c r="R91" i="31"/>
  <c r="R92" i="31"/>
  <c r="S92" i="31" s="1"/>
  <c r="R93" i="31"/>
  <c r="S93" i="31" s="1"/>
  <c r="R94" i="31"/>
  <c r="S94" i="31" s="1"/>
  <c r="R95" i="31"/>
  <c r="R96" i="31"/>
  <c r="S96" i="31" s="1"/>
  <c r="R97" i="31"/>
  <c r="S97" i="31" s="1"/>
  <c r="R98" i="31"/>
  <c r="R99" i="31"/>
  <c r="S99" i="31" s="1"/>
  <c r="R100" i="31"/>
  <c r="S100" i="31" s="1"/>
  <c r="R101" i="31"/>
  <c r="S101" i="31" s="1"/>
  <c r="R102" i="31"/>
  <c r="S102" i="31" s="1"/>
  <c r="R103" i="31"/>
  <c r="S103" i="31" s="1"/>
  <c r="R104" i="31"/>
  <c r="S104" i="31" s="1"/>
  <c r="R105" i="31"/>
  <c r="S105" i="31" s="1"/>
  <c r="R106" i="31"/>
  <c r="S106" i="31" s="1"/>
  <c r="R107" i="31"/>
  <c r="R108" i="31"/>
  <c r="S108" i="31" s="1"/>
  <c r="R109" i="31"/>
  <c r="S109" i="31" s="1"/>
  <c r="R110" i="31"/>
  <c r="R111" i="31"/>
  <c r="S111" i="31" s="1"/>
  <c r="R112" i="31"/>
  <c r="S112" i="31" s="1"/>
  <c r="R113" i="31"/>
  <c r="S113" i="31" s="1"/>
  <c r="R114" i="31"/>
  <c r="R115" i="31"/>
  <c r="S115" i="31" s="1"/>
  <c r="R116" i="31"/>
  <c r="S116" i="31" s="1"/>
  <c r="R117" i="31"/>
  <c r="S117" i="31" s="1"/>
  <c r="R118" i="31"/>
  <c r="S118" i="31" s="1"/>
  <c r="R119" i="31"/>
  <c r="R120" i="31"/>
  <c r="S120" i="31" s="1"/>
  <c r="R121" i="31"/>
  <c r="R122" i="31"/>
  <c r="R123" i="31"/>
  <c r="S123" i="31" s="1"/>
  <c r="R124" i="31"/>
  <c r="S124" i="31" s="1"/>
  <c r="R125" i="31"/>
  <c r="S125" i="31" s="1"/>
  <c r="R126" i="31"/>
  <c r="S126" i="31" s="1"/>
  <c r="R127" i="31"/>
  <c r="R128" i="31"/>
  <c r="S128" i="31" s="1"/>
  <c r="R129" i="31"/>
  <c r="S129" i="31" s="1"/>
  <c r="R130" i="31"/>
  <c r="R131" i="31"/>
  <c r="S131" i="31" s="1"/>
  <c r="R132" i="31"/>
  <c r="S132" i="31" s="1"/>
  <c r="R133" i="3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S145" i="31" s="1"/>
  <c r="R146" i="31"/>
  <c r="S146" i="31" s="1"/>
  <c r="R147" i="31"/>
  <c r="R148" i="31"/>
  <c r="S148" i="31" s="1"/>
  <c r="R149" i="31"/>
  <c r="S149" i="31" s="1"/>
  <c r="R150" i="31"/>
  <c r="R151" i="31"/>
  <c r="S151" i="31" s="1"/>
  <c r="R152" i="31"/>
  <c r="S152" i="31" s="1"/>
  <c r="R153" i="31"/>
  <c r="S153" i="31" s="1"/>
  <c r="R154" i="31"/>
  <c r="S154" i="31" s="1"/>
  <c r="R155" i="31"/>
  <c r="S155" i="31" s="1"/>
  <c r="R156" i="31"/>
  <c r="S156" i="31" s="1"/>
  <c r="R157" i="31"/>
  <c r="S157" i="31" s="1"/>
  <c r="R158" i="31"/>
  <c r="S158" i="31" s="1"/>
  <c r="R159" i="31"/>
  <c r="R160" i="31"/>
  <c r="S160" i="31" s="1"/>
  <c r="R161" i="31"/>
  <c r="R162" i="31"/>
  <c r="S162" i="31" s="1"/>
  <c r="R163" i="31"/>
  <c r="S163" i="31" s="1"/>
  <c r="R164" i="31"/>
  <c r="S164" i="31" s="1"/>
  <c r="R165" i="31"/>
  <c r="S165" i="31" s="1"/>
  <c r="R166" i="31"/>
  <c r="S166" i="31" s="1"/>
  <c r="R167" i="31"/>
  <c r="S167" i="31" s="1"/>
  <c r="R168" i="31"/>
  <c r="S168" i="31" s="1"/>
  <c r="R169" i="31"/>
  <c r="R170" i="31"/>
  <c r="R171" i="31"/>
  <c r="S171" i="31" s="1"/>
  <c r="R172" i="31"/>
  <c r="S172" i="31" s="1"/>
  <c r="R173" i="31"/>
  <c r="S173" i="31" s="1"/>
  <c r="R174" i="31"/>
  <c r="S174" i="31" s="1"/>
  <c r="R175" i="31"/>
  <c r="S175" i="31" s="1"/>
  <c r="R176" i="31"/>
  <c r="S176" i="31" s="1"/>
  <c r="R177" i="31"/>
  <c r="R178" i="31"/>
  <c r="S178" i="31" s="1"/>
  <c r="R179" i="3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R198" i="31"/>
  <c r="S198" i="31" s="1"/>
  <c r="R199" i="31"/>
  <c r="S199" i="31" s="1"/>
  <c r="R200" i="31"/>
  <c r="S200" i="31" s="1"/>
  <c r="R201" i="31"/>
  <c r="S201" i="31" s="1"/>
  <c r="R202" i="31"/>
  <c r="R203" i="31"/>
  <c r="S203" i="31" s="1"/>
  <c r="R204" i="31"/>
  <c r="S204" i="31" s="1"/>
  <c r="R205" i="3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R236" i="31"/>
  <c r="S236" i="31" s="1"/>
  <c r="R237" i="31"/>
  <c r="R238" i="31"/>
  <c r="S238" i="31" s="1"/>
  <c r="R239" i="31"/>
  <c r="R240" i="31"/>
  <c r="S240" i="31" s="1"/>
  <c r="R241" i="31"/>
  <c r="S241" i="31" s="1"/>
  <c r="R242" i="3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R433" i="31"/>
  <c r="S433" i="31" s="1"/>
  <c r="R434" i="31"/>
  <c r="S434" i="31" s="1"/>
  <c r="R435" i="31"/>
  <c r="S435" i="31" s="1"/>
  <c r="R436" i="31"/>
  <c r="S436" i="31" s="1"/>
  <c r="R437" i="31"/>
  <c r="R438" i="31"/>
  <c r="S438" i="31" s="1"/>
  <c r="R439" i="31"/>
  <c r="S439" i="31" s="1"/>
  <c r="R440" i="31"/>
  <c r="S440" i="31" s="1"/>
  <c r="R441" i="31"/>
  <c r="S441" i="31" s="1"/>
  <c r="R442" i="31"/>
  <c r="S442" i="31" s="1"/>
  <c r="R443" i="31"/>
  <c r="R444" i="31"/>
  <c r="S444" i="31" s="1"/>
  <c r="R445" i="3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R474" i="31"/>
  <c r="S474" i="31" s="1"/>
  <c r="R475" i="3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R494" i="31"/>
  <c r="S494" i="31" s="1"/>
  <c r="R495" i="3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E20" i="6"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54" i="31"/>
  <c r="S344" i="31"/>
  <c r="S330" i="31"/>
  <c r="S300" i="31"/>
  <c r="S274" i="31"/>
  <c r="S258" i="31"/>
  <c r="S242" i="31"/>
  <c r="S239" i="31"/>
  <c r="S237" i="31"/>
  <c r="S235" i="31"/>
  <c r="S429" i="31"/>
  <c r="S211" i="31"/>
  <c r="S205" i="31"/>
  <c r="S202" i="31"/>
  <c r="S197" i="31"/>
  <c r="S191" i="31"/>
  <c r="S179" i="31"/>
  <c r="S177" i="31"/>
  <c r="S170" i="31"/>
  <c r="S169" i="31"/>
  <c r="S161" i="31"/>
  <c r="S159" i="31"/>
  <c r="S150" i="31"/>
  <c r="S147" i="31"/>
  <c r="S141" i="31"/>
  <c r="S133" i="31"/>
  <c r="S130" i="31"/>
  <c r="S127" i="31"/>
  <c r="S495" i="31"/>
  <c r="S493" i="31"/>
  <c r="S487" i="31"/>
  <c r="S475" i="31"/>
  <c r="S473" i="31"/>
  <c r="S443" i="31"/>
  <c r="S437" i="31"/>
  <c r="S432" i="31"/>
  <c r="S122" i="31"/>
  <c r="S121" i="31"/>
  <c r="S119" i="31"/>
  <c r="S114" i="31"/>
  <c r="S461" i="31"/>
  <c r="S54" i="31"/>
  <c r="S51" i="31"/>
  <c r="S49" i="31"/>
  <c r="S46" i="31"/>
  <c r="S41" i="31"/>
  <c r="S39" i="31"/>
  <c r="S38" i="31"/>
  <c r="S73" i="31"/>
  <c r="S70" i="31"/>
  <c r="S65" i="31"/>
  <c r="S59" i="31"/>
  <c r="S95" i="31"/>
  <c r="S91" i="31"/>
  <c r="S89" i="31"/>
  <c r="S82" i="31"/>
  <c r="S81" i="31"/>
  <c r="S98" i="31"/>
  <c r="S107" i="31"/>
  <c r="S110" i="31"/>
  <c r="S445" i="31"/>
  <c r="S511"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S37" i="33" s="1"/>
  <c r="D111" i="33"/>
  <c r="E111" i="33" s="1"/>
  <c r="F111" i="33" s="1"/>
  <c r="S515"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s="1"/>
  <c r="AA38" i="40" s="1"/>
  <c r="D115" i="40"/>
  <c r="E115" i="40"/>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s="1"/>
  <c r="H39" i="40"/>
  <c r="U39" i="40" s="1"/>
  <c r="Q38" i="40"/>
  <c r="Z38" i="40"/>
  <c r="J38" i="40"/>
  <c r="AC38" i="40" s="1"/>
  <c r="Q37" i="40"/>
  <c r="Z37" i="40" s="1"/>
  <c r="Q36" i="40"/>
  <c r="Z36" i="40" s="1"/>
  <c r="Q35" i="40"/>
  <c r="Z35" i="40" s="1"/>
  <c r="Q34" i="40"/>
  <c r="Z34" i="40" s="1"/>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s="1"/>
  <c r="D73" i="37"/>
  <c r="E73" i="37"/>
  <c r="F73" i="37" s="1"/>
  <c r="D71" i="37"/>
  <c r="H15" i="37"/>
  <c r="AB15" i="37"/>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s="1"/>
  <c r="H81" i="36" s="1"/>
  <c r="I81" i="36" s="1"/>
  <c r="J81" i="36" s="1"/>
  <c r="K81" i="36" s="1"/>
  <c r="L81" i="36" s="1"/>
  <c r="M81" i="36" s="1"/>
  <c r="F79" i="36"/>
  <c r="E79" i="36"/>
  <c r="D79" i="36"/>
  <c r="C79" i="36"/>
  <c r="B93" i="36"/>
  <c r="H33" i="36" s="1"/>
  <c r="B91" i="36"/>
  <c r="F32" i="36"/>
  <c r="B95" i="36"/>
  <c r="H34" i="36" s="1"/>
  <c r="D83" i="36"/>
  <c r="E83" i="36"/>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J23" i="36" s="1"/>
  <c r="AC23" i="36" s="1"/>
  <c r="D70" i="36"/>
  <c r="H22" i="36"/>
  <c r="AB22" i="36" s="1"/>
  <c r="D68" i="36"/>
  <c r="E68" i="36"/>
  <c r="F68" i="36"/>
  <c r="G68" i="36" s="1"/>
  <c r="D64" i="36"/>
  <c r="E64" i="36"/>
  <c r="F64" i="36"/>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s="1"/>
  <c r="Q25" i="36"/>
  <c r="Z25" i="36"/>
  <c r="Q24" i="36"/>
  <c r="Z24" i="36" s="1"/>
  <c r="Q23" i="36"/>
  <c r="Z23" i="36" s="1"/>
  <c r="H23" i="36"/>
  <c r="AB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s="1"/>
  <c r="P39" i="35"/>
  <c r="P38" i="35"/>
  <c r="V37" i="35"/>
  <c r="T37" i="35"/>
  <c r="R37" i="35"/>
  <c r="P37" i="35"/>
  <c r="Q36" i="35"/>
  <c r="Z36" i="35" s="1"/>
  <c r="Q35" i="35"/>
  <c r="Z35" i="35" s="1"/>
  <c r="Q34" i="35"/>
  <c r="Z34" i="35"/>
  <c r="J34" i="35"/>
  <c r="AC34" i="35" s="1"/>
  <c r="F34" i="35"/>
  <c r="AA34" i="35" s="1"/>
  <c r="Q33" i="35"/>
  <c r="Z33" i="35"/>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c r="H88" i="34" s="1"/>
  <c r="I88" i="34" s="1"/>
  <c r="J88" i="34" s="1"/>
  <c r="K88" i="34"/>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J12" i="34"/>
  <c r="W12" i="34" s="1"/>
  <c r="H12" i="34"/>
  <c r="Q11" i="34"/>
  <c r="Z11" i="34" s="1"/>
  <c r="Q10" i="34"/>
  <c r="Z10" i="34" s="1"/>
  <c r="F10" i="34"/>
  <c r="AA10" i="34" s="1"/>
  <c r="Q9" i="34"/>
  <c r="Z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T47" i="33"/>
  <c r="R47" i="33"/>
  <c r="P47" i="33"/>
  <c r="Q46" i="33"/>
  <c r="Z46" i="33"/>
  <c r="Q45" i="33"/>
  <c r="Z45" i="33" s="1"/>
  <c r="Q44" i="33"/>
  <c r="Z44" i="33" s="1"/>
  <c r="Q43" i="33"/>
  <c r="Z43" i="33" s="1"/>
  <c r="Q42" i="33"/>
  <c r="Z42" i="33" s="1"/>
  <c r="AC41" i="33"/>
  <c r="W41" i="33"/>
  <c r="Q41" i="33"/>
  <c r="Z41" i="33" s="1"/>
  <c r="Q40" i="33"/>
  <c r="Z40" i="33" s="1"/>
  <c r="J40" i="33"/>
  <c r="AC40" i="33" s="1"/>
  <c r="H40" i="33"/>
  <c r="AB40" i="33" s="1"/>
  <c r="AA40" i="33"/>
  <c r="Q39" i="33"/>
  <c r="Z39" i="33" s="1"/>
  <c r="J39" i="33"/>
  <c r="AC39" i="33"/>
  <c r="Q38" i="33"/>
  <c r="Z38" i="33" s="1"/>
  <c r="F38" i="33"/>
  <c r="S38" i="33" s="1"/>
  <c r="Q37" i="33"/>
  <c r="Z37" i="33" s="1"/>
  <c r="Q36" i="33"/>
  <c r="Z36" i="33" s="1"/>
  <c r="Q35" i="33"/>
  <c r="Z35" i="33" s="1"/>
  <c r="H35" i="33"/>
  <c r="AB35" i="33" s="1"/>
  <c r="Q34" i="33"/>
  <c r="Z34" i="33"/>
  <c r="Q33" i="33"/>
  <c r="Z33" i="33" s="1"/>
  <c r="Q32" i="33"/>
  <c r="Z32" i="33" s="1"/>
  <c r="Q31" i="33"/>
  <c r="Z31" i="33" s="1"/>
  <c r="Q30" i="33"/>
  <c r="Z30" i="33"/>
  <c r="Q29" i="33"/>
  <c r="Z29" i="33" s="1"/>
  <c r="Q28" i="33"/>
  <c r="Z28" i="33"/>
  <c r="Q27" i="33"/>
  <c r="Z27" i="33" s="1"/>
  <c r="Q26" i="33"/>
  <c r="Z26" i="33"/>
  <c r="Q25" i="33"/>
  <c r="Z25" i="33" s="1"/>
  <c r="Q23" i="33"/>
  <c r="Z23" i="33"/>
  <c r="Q19" i="33"/>
  <c r="Z19" i="33" s="1"/>
  <c r="Q17" i="33"/>
  <c r="Z17" i="33"/>
  <c r="Q15" i="33"/>
  <c r="Z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c r="D108" i="21"/>
  <c r="E108" i="21"/>
  <c r="F108" i="21"/>
  <c r="G108" i="21"/>
  <c r="H108" i="21" s="1"/>
  <c r="I108" i="21" s="1"/>
  <c r="J108" i="21" s="1"/>
  <c r="K108" i="21" s="1"/>
  <c r="L108" i="21" s="1"/>
  <c r="M108" i="21" s="1"/>
  <c r="D106" i="21"/>
  <c r="E106" i="21"/>
  <c r="F106" i="21" s="1"/>
  <c r="G106" i="21"/>
  <c r="H106" i="21"/>
  <c r="I106" i="21" s="1"/>
  <c r="J106" i="21" s="1"/>
  <c r="K106" i="21" s="1"/>
  <c r="L106" i="21" s="1"/>
  <c r="M106" i="21" s="1"/>
  <c r="D101" i="21"/>
  <c r="E101" i="21"/>
  <c r="F101" i="21"/>
  <c r="G101" i="21"/>
  <c r="H101" i="21" s="1"/>
  <c r="D89" i="21"/>
  <c r="E89" i="21"/>
  <c r="F89" i="21"/>
  <c r="G89" i="21" s="1"/>
  <c r="H89" i="2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c r="D85" i="21"/>
  <c r="F19" i="21"/>
  <c r="AA19" i="21" s="1"/>
  <c r="E81" i="21"/>
  <c r="F81" i="21" s="1"/>
  <c r="G81" i="21"/>
  <c r="D77" i="21"/>
  <c r="E77" i="21" s="1"/>
  <c r="F77" i="21" s="1"/>
  <c r="G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J35" i="21"/>
  <c r="W35" i="21" s="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22" i="35"/>
  <c r="S31" i="35"/>
  <c r="U34" i="35"/>
  <c r="F36" i="34"/>
  <c r="J35" i="34"/>
  <c r="U34" i="34"/>
  <c r="H39" i="33"/>
  <c r="AB39" i="33"/>
  <c r="F26" i="33"/>
  <c r="S26" i="33" s="1"/>
  <c r="U35" i="33"/>
  <c r="S40" i="33"/>
  <c r="W39" i="33"/>
  <c r="H39" i="37"/>
  <c r="AB39" i="37"/>
  <c r="S27" i="35"/>
  <c r="F11" i="40"/>
  <c r="AA11" i="40" s="1"/>
  <c r="H11" i="40"/>
  <c r="AB11" i="40" s="1"/>
  <c r="W8" i="40"/>
  <c r="AB39"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c r="F41" i="33"/>
  <c r="AA41" i="33"/>
  <c r="E113" i="33"/>
  <c r="F113" i="33" s="1"/>
  <c r="G113" i="33" s="1"/>
  <c r="H113" i="33" s="1"/>
  <c r="I113" i="33" s="1"/>
  <c r="J113" i="33" s="1"/>
  <c r="K113" i="33" s="1"/>
  <c r="L113" i="33" s="1"/>
  <c r="M113" i="33" s="1"/>
  <c r="F32" i="33"/>
  <c r="AA32"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A15" i="34"/>
  <c r="S41" i="33"/>
  <c r="H37" i="33"/>
  <c r="AB37"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AB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S27" i="33" s="1"/>
  <c r="J13" i="33"/>
  <c r="H13" i="33"/>
  <c r="U13" i="33" s="1"/>
  <c r="F13" i="33"/>
  <c r="S13" i="33"/>
  <c r="J29" i="33"/>
  <c r="AC29" i="33" s="1"/>
  <c r="H29" i="33"/>
  <c r="U29" i="33" s="1"/>
  <c r="F29" i="33"/>
  <c r="S29" i="33" s="1"/>
  <c r="J31" i="33"/>
  <c r="W31" i="33" s="1"/>
  <c r="H31" i="33"/>
  <c r="AB31" i="33" s="1"/>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c r="F105" i="37"/>
  <c r="H36" i="37"/>
  <c r="AB36" i="37" s="1"/>
  <c r="F107" i="37"/>
  <c r="J37" i="37"/>
  <c r="AC37" i="37" s="1"/>
  <c r="H37" i="37"/>
  <c r="U37" i="37"/>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U31" i="34" s="1"/>
  <c r="F31" i="34"/>
  <c r="S31" i="34"/>
  <c r="H45" i="34"/>
  <c r="U45" i="34" s="1"/>
  <c r="J45" i="34"/>
  <c r="W45" i="34"/>
  <c r="F45" i="34"/>
  <c r="S45" i="34" s="1"/>
  <c r="H47" i="34"/>
  <c r="U47" i="34"/>
  <c r="F47" i="34"/>
  <c r="S47" i="34" s="1"/>
  <c r="J47" i="34"/>
  <c r="AC47" i="34"/>
  <c r="F13" i="35"/>
  <c r="S13" i="35" s="1"/>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s="1"/>
  <c r="J13" i="37"/>
  <c r="W13" i="37" s="1"/>
  <c r="F28" i="37"/>
  <c r="AA28" i="37" s="1"/>
  <c r="J28" i="37"/>
  <c r="AC28" i="37"/>
  <c r="H28" i="37"/>
  <c r="U28" i="37" s="1"/>
  <c r="H38" i="37"/>
  <c r="AB38" i="37"/>
  <c r="J38" i="37"/>
  <c r="AC38" i="37" s="1"/>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c r="J14" i="37"/>
  <c r="AC14" i="37" s="1"/>
  <c r="J27" i="37"/>
  <c r="AC27" i="37"/>
  <c r="AA44" i="33"/>
  <c r="U46" i="33"/>
  <c r="AA14" i="33"/>
  <c r="J36" i="37"/>
  <c r="AC36" i="37" s="1"/>
  <c r="G105" i="37"/>
  <c r="J10" i="36"/>
  <c r="AC10" i="36" s="1"/>
  <c r="W31" i="34"/>
  <c r="AC13" i="36"/>
  <c r="W13" i="36"/>
  <c r="AB46" i="34"/>
  <c r="AC30" i="34"/>
  <c r="AA14" i="34"/>
  <c r="S45" i="33"/>
  <c r="AB45" i="33"/>
  <c r="U31" i="33"/>
  <c r="W29" i="33"/>
  <c r="S44" i="34"/>
  <c r="BA586" i="3"/>
  <c r="BA585" i="3"/>
  <c r="AZ585" i="3" s="1"/>
  <c r="F17" i="21"/>
  <c r="AA17" i="21"/>
  <c r="H17" i="21"/>
  <c r="AB17" i="21" s="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s="1"/>
  <c r="BA578" i="3"/>
  <c r="AZ578" i="3"/>
  <c r="BA576" i="3"/>
  <c r="AZ576" i="3" s="1"/>
  <c r="BA574" i="3"/>
  <c r="AZ574" i="3"/>
  <c r="BA572" i="3"/>
  <c r="AZ572" i="3" s="1"/>
  <c r="BA570" i="3"/>
  <c r="AZ570" i="3"/>
  <c r="BA568" i="3"/>
  <c r="AZ568" i="3" s="1"/>
  <c r="BA566" i="3"/>
  <c r="AZ566" i="3"/>
  <c r="BA564" i="3"/>
  <c r="AZ564" i="3" s="1"/>
  <c r="BA562" i="3"/>
  <c r="AZ562" i="3"/>
  <c r="BA560" i="3"/>
  <c r="AZ560" i="3" s="1"/>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s="1"/>
  <c r="BA524" i="3"/>
  <c r="AZ524" i="3"/>
  <c r="BA522" i="3"/>
  <c r="BA520" i="3"/>
  <c r="BA518" i="3"/>
  <c r="AZ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BA571" i="3"/>
  <c r="BA569" i="3"/>
  <c r="AZ569" i="3" s="1"/>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c r="BQ557" i="3"/>
  <c r="BL557" i="3" s="1"/>
  <c r="BQ583" i="3"/>
  <c r="BL583" i="3"/>
  <c r="BQ581" i="3"/>
  <c r="BL581" i="3" s="1"/>
  <c r="BQ579" i="3"/>
  <c r="BL579" i="3" s="1"/>
  <c r="AZ579" i="3" s="1"/>
  <c r="BQ577" i="3"/>
  <c r="BL577" i="3"/>
  <c r="BQ575" i="3"/>
  <c r="BL575" i="3" s="1"/>
  <c r="AZ575" i="3" s="1"/>
  <c r="BQ573" i="3"/>
  <c r="BL573" i="3" s="1"/>
  <c r="BQ571" i="3"/>
  <c r="BL571" i="3" s="1"/>
  <c r="AZ571" i="3" s="1"/>
  <c r="BQ569" i="3"/>
  <c r="BL569" i="3"/>
  <c r="BQ567" i="3"/>
  <c r="BL567" i="3" s="1"/>
  <c r="AZ567" i="3" s="1"/>
  <c r="BQ565" i="3"/>
  <c r="BL565" i="3" s="1"/>
  <c r="BQ563" i="3"/>
  <c r="BL563" i="3" s="1"/>
  <c r="AZ563" i="3" s="1"/>
  <c r="BQ561" i="3"/>
  <c r="BL561" i="3" s="1"/>
  <c r="AZ561" i="3" s="1"/>
  <c r="BQ559" i="3"/>
  <c r="BL559" i="3" s="1"/>
  <c r="G559" i="3"/>
  <c r="G555" i="3"/>
  <c r="G553" i="3"/>
  <c r="G549" i="3"/>
  <c r="G547" i="3"/>
  <c r="G545" i="3"/>
  <c r="G543" i="3"/>
  <c r="G541" i="3"/>
  <c r="G539" i="3"/>
  <c r="G537" i="3"/>
  <c r="BQ555" i="3"/>
  <c r="BL555" i="3" s="1"/>
  <c r="AZ555" i="3" s="1"/>
  <c r="BQ553" i="3"/>
  <c r="BL553" i="3" s="1"/>
  <c r="AZ553" i="3" s="1"/>
  <c r="BQ551" i="3"/>
  <c r="BL551" i="3" s="1"/>
  <c r="AZ551" i="3" s="1"/>
  <c r="BQ549" i="3"/>
  <c r="BQ547" i="3"/>
  <c r="BL547" i="3"/>
  <c r="AZ547" i="3" s="1"/>
  <c r="BQ545" i="3"/>
  <c r="BL545" i="3" s="1"/>
  <c r="AZ545" i="3" s="1"/>
  <c r="BQ543" i="3"/>
  <c r="BL543" i="3" s="1"/>
  <c r="AZ543" i="3" s="1"/>
  <c r="BQ541" i="3"/>
  <c r="BL541" i="3" s="1"/>
  <c r="BQ539" i="3"/>
  <c r="BL539" i="3"/>
  <c r="AZ539" i="3" s="1"/>
  <c r="BQ537" i="3"/>
  <c r="BL537" i="3" s="1"/>
  <c r="AZ537" i="3" s="1"/>
  <c r="BQ535" i="3"/>
  <c r="BL535" i="3" s="1"/>
  <c r="AZ535" i="3" s="1"/>
  <c r="BQ533" i="3"/>
  <c r="BL533" i="3" s="1"/>
  <c r="BQ531" i="3"/>
  <c r="BL531" i="3"/>
  <c r="AZ531" i="3" s="1"/>
  <c r="BQ529" i="3"/>
  <c r="BL529" i="3" s="1"/>
  <c r="AZ529" i="3" s="1"/>
  <c r="BQ527" i="3"/>
  <c r="BL527" i="3" s="1"/>
  <c r="AZ527" i="3" s="1"/>
  <c r="BQ525" i="3"/>
  <c r="BL525" i="3" s="1"/>
  <c r="BQ523" i="3"/>
  <c r="BL523" i="3"/>
  <c r="AZ523" i="3" s="1"/>
  <c r="BA521" i="3"/>
  <c r="AC521" i="3"/>
  <c r="G521" i="3" s="1"/>
  <c r="BQ521" i="3"/>
  <c r="BL521" i="3" s="1"/>
  <c r="BL520" i="3"/>
  <c r="AZ520" i="3" s="1"/>
  <c r="G519" i="3"/>
  <c r="G517" i="3"/>
  <c r="G515" i="3"/>
  <c r="G513" i="3"/>
  <c r="G511" i="3"/>
  <c r="BQ519" i="3"/>
  <c r="BL519" i="3"/>
  <c r="AZ519" i="3" s="1"/>
  <c r="BQ517" i="3"/>
  <c r="BL517" i="3" s="1"/>
  <c r="AZ517" i="3" s="1"/>
  <c r="BQ515" i="3"/>
  <c r="BL515" i="3" s="1"/>
  <c r="BQ513" i="3"/>
  <c r="BL513" i="3" s="1"/>
  <c r="BQ511" i="3"/>
  <c r="BL511" i="3"/>
  <c r="AZ511" i="3" s="1"/>
  <c r="BA509" i="3"/>
  <c r="AC509" i="3"/>
  <c r="BQ509" i="3"/>
  <c r="BL509" i="3" s="1"/>
  <c r="AZ509" i="3" s="1"/>
  <c r="BL508" i="3"/>
  <c r="G507" i="3"/>
  <c r="G505" i="3"/>
  <c r="G503" i="3"/>
  <c r="G501" i="3"/>
  <c r="G499" i="3"/>
  <c r="G497" i="3"/>
  <c r="G495" i="3"/>
  <c r="BQ507" i="3"/>
  <c r="BL507" i="3"/>
  <c r="AZ507" i="3" s="1"/>
  <c r="BQ505" i="3"/>
  <c r="BL505" i="3" s="1"/>
  <c r="AZ505" i="3" s="1"/>
  <c r="BQ503" i="3"/>
  <c r="BL503" i="3" s="1"/>
  <c r="BQ501" i="3"/>
  <c r="BL501" i="3" s="1"/>
  <c r="AZ501" i="3" s="1"/>
  <c r="BQ499" i="3"/>
  <c r="BL499" i="3" s="1"/>
  <c r="AZ499" i="3" s="1"/>
  <c r="BQ497" i="3"/>
  <c r="BL497" i="3" s="1"/>
  <c r="AZ497" i="3" s="1"/>
  <c r="BQ495" i="3"/>
  <c r="BL495" i="3" s="1"/>
  <c r="AZ495" i="3" s="1"/>
  <c r="BQ493" i="3"/>
  <c r="S501" i="31"/>
  <c r="O27" i="31"/>
  <c r="O28" i="31"/>
  <c r="O26" i="31"/>
  <c r="M27" i="31"/>
  <c r="M28" i="31"/>
  <c r="M26" i="31"/>
  <c r="I26" i="31"/>
  <c r="I25" i="31"/>
  <c r="Q26" i="31"/>
  <c r="K26" i="31"/>
  <c r="I27" i="31"/>
  <c r="Q27" i="31"/>
  <c r="K27" i="31"/>
  <c r="I28" i="31"/>
  <c r="Q28" i="31"/>
  <c r="K28" i="31"/>
  <c r="AC28" i="34"/>
  <c r="S21" i="40"/>
  <c r="H25" i="21"/>
  <c r="U25" i="21"/>
  <c r="F25" i="21"/>
  <c r="S25" i="21" s="1"/>
  <c r="J25" i="21"/>
  <c r="AC25" i="21"/>
  <c r="E125" i="33"/>
  <c r="F125" i="33" s="1"/>
  <c r="G125" i="33" s="1"/>
  <c r="H43" i="33"/>
  <c r="AB43" i="33" s="1"/>
  <c r="H17" i="37"/>
  <c r="U17" i="37" s="1"/>
  <c r="AB27" i="37"/>
  <c r="AA36" i="39"/>
  <c r="F39" i="33"/>
  <c r="AA39"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AA41" i="34"/>
  <c r="H19" i="37"/>
  <c r="AB19" i="37" s="1"/>
  <c r="J43" i="33"/>
  <c r="AC43" i="33" s="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c r="H94" i="37"/>
  <c r="I94" i="37" s="1"/>
  <c r="J94" i="37" s="1"/>
  <c r="K94" i="37" s="1"/>
  <c r="L94" i="37" s="1"/>
  <c r="M94" i="37" s="1"/>
  <c r="H31" i="37"/>
  <c r="U31" i="37"/>
  <c r="F71" i="37"/>
  <c r="G71" i="37" s="1"/>
  <c r="J15" i="37"/>
  <c r="W15" i="37"/>
  <c r="AT6" i="3"/>
  <c r="H5" i="3"/>
  <c r="AA25" i="21"/>
  <c r="H19" i="40"/>
  <c r="U19" i="40"/>
  <c r="F88" i="40"/>
  <c r="G88" i="40" s="1"/>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s="1"/>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s="1"/>
  <c r="BA325" i="3"/>
  <c r="BL325" i="3"/>
  <c r="AZ325" i="3" s="1"/>
  <c r="G326" i="3"/>
  <c r="BA327" i="3"/>
  <c r="G335" i="3"/>
  <c r="BL336" i="3"/>
  <c r="G337" i="3"/>
  <c r="BL338" i="3"/>
  <c r="BA340" i="3"/>
  <c r="AZ340" i="3"/>
  <c r="BA341" i="3"/>
  <c r="BL341" i="3"/>
  <c r="BA343" i="3"/>
  <c r="BA345" i="3"/>
  <c r="BL355" i="3"/>
  <c r="G356" i="3"/>
  <c r="BL357" i="3"/>
  <c r="BA359" i="3"/>
  <c r="AZ359" i="3" s="1"/>
  <c r="BA360" i="3"/>
  <c r="BL360" i="3"/>
  <c r="G361" i="3"/>
  <c r="BA362" i="3"/>
  <c r="AZ362" i="3" s="1"/>
  <c r="G370" i="3"/>
  <c r="BL371" i="3"/>
  <c r="G372" i="3"/>
  <c r="BL373" i="3"/>
  <c r="BA375" i="3"/>
  <c r="AZ375" i="3"/>
  <c r="BA376" i="3"/>
  <c r="BL376" i="3"/>
  <c r="G377" i="3"/>
  <c r="BA378" i="3"/>
  <c r="AZ378" i="3" s="1"/>
  <c r="BL378" i="3"/>
  <c r="G379" i="3"/>
  <c r="BA380" i="3"/>
  <c r="AZ380" i="3" s="1"/>
  <c r="G388" i="3"/>
  <c r="BL389" i="3"/>
  <c r="G390" i="3"/>
  <c r="BL391" i="3"/>
  <c r="BA393" i="3"/>
  <c r="AZ393" i="3" s="1"/>
  <c r="BA394" i="3"/>
  <c r="BL394" i="3"/>
  <c r="G113" i="3"/>
  <c r="BA115" i="3"/>
  <c r="AZ115" i="3"/>
  <c r="BL116" i="3"/>
  <c r="AZ116" i="3" s="1"/>
  <c r="G117" i="3"/>
  <c r="BA119" i="3"/>
  <c r="AZ119" i="3"/>
  <c r="BL120" i="3"/>
  <c r="G121" i="3"/>
  <c r="BA123" i="3"/>
  <c r="AZ123" i="3"/>
  <c r="BL124" i="3"/>
  <c r="AZ124" i="3" s="1"/>
  <c r="G125" i="3"/>
  <c r="BA127" i="3"/>
  <c r="AZ127" i="3" s="1"/>
  <c r="BL128" i="3"/>
  <c r="G129" i="3"/>
  <c r="BA131" i="3"/>
  <c r="AZ131" i="3" s="1"/>
  <c r="BL132" i="3"/>
  <c r="AZ132" i="3"/>
  <c r="G133" i="3"/>
  <c r="BA135" i="3"/>
  <c r="AZ135" i="3" s="1"/>
  <c r="BL136" i="3"/>
  <c r="G137" i="3"/>
  <c r="BA139" i="3"/>
  <c r="AZ139" i="3" s="1"/>
  <c r="BL140" i="3"/>
  <c r="AZ140" i="3"/>
  <c r="G141" i="3"/>
  <c r="BA143" i="3"/>
  <c r="AZ143" i="3"/>
  <c r="BL144" i="3"/>
  <c r="AZ144" i="3" s="1"/>
  <c r="G145" i="3"/>
  <c r="BA147" i="3"/>
  <c r="AZ147" i="3"/>
  <c r="BL148" i="3"/>
  <c r="AZ148" i="3" s="1"/>
  <c r="G149" i="3"/>
  <c r="BA151" i="3"/>
  <c r="AZ151" i="3"/>
  <c r="BL152" i="3"/>
  <c r="AZ152" i="3" s="1"/>
  <c r="G153" i="3"/>
  <c r="BA155" i="3"/>
  <c r="AZ155" i="3"/>
  <c r="BL156" i="3"/>
  <c r="AZ156" i="3" s="1"/>
  <c r="G157" i="3"/>
  <c r="BA159" i="3"/>
  <c r="AZ159" i="3" s="1"/>
  <c r="BL160" i="3"/>
  <c r="G161" i="3"/>
  <c r="BA163" i="3"/>
  <c r="AZ163" i="3" s="1"/>
  <c r="BL164" i="3"/>
  <c r="AZ164" i="3"/>
  <c r="G165" i="3"/>
  <c r="BA167" i="3"/>
  <c r="AZ167" i="3" s="1"/>
  <c r="BL168" i="3"/>
  <c r="G169" i="3"/>
  <c r="BA171" i="3"/>
  <c r="AZ171" i="3" s="1"/>
  <c r="BL172" i="3"/>
  <c r="AZ172" i="3"/>
  <c r="G173" i="3"/>
  <c r="BA175" i="3"/>
  <c r="BL176" i="3"/>
  <c r="AZ176" i="3" s="1"/>
  <c r="G177" i="3"/>
  <c r="BA179" i="3"/>
  <c r="AZ179" i="3"/>
  <c r="BL180" i="3"/>
  <c r="G181" i="3"/>
  <c r="BA183" i="3"/>
  <c r="AZ183" i="3"/>
  <c r="BL184" i="3"/>
  <c r="AZ184" i="3" s="1"/>
  <c r="G185" i="3"/>
  <c r="BA187" i="3"/>
  <c r="BL188" i="3"/>
  <c r="AZ188" i="3" s="1"/>
  <c r="G189" i="3"/>
  <c r="BA191" i="3"/>
  <c r="AZ191" i="3" s="1"/>
  <c r="BL192" i="3"/>
  <c r="G193" i="3"/>
  <c r="BA195" i="3"/>
  <c r="AZ195" i="3" s="1"/>
  <c r="BL196" i="3"/>
  <c r="AZ196" i="3"/>
  <c r="G197" i="3"/>
  <c r="BA199" i="3"/>
  <c r="AZ199" i="3" s="1"/>
  <c r="BL200" i="3"/>
  <c r="G201" i="3"/>
  <c r="BA203" i="3"/>
  <c r="AZ203" i="3" s="1"/>
  <c r="BL204" i="3"/>
  <c r="AZ204" i="3"/>
  <c r="AZ39" i="3"/>
  <c r="AZ43" i="3"/>
  <c r="AZ47" i="3"/>
  <c r="AZ51" i="3"/>
  <c r="AZ55" i="3"/>
  <c r="AZ63" i="3"/>
  <c r="AZ71" i="3"/>
  <c r="AZ75" i="3"/>
  <c r="AZ79" i="3"/>
  <c r="AZ136" i="3"/>
  <c r="AZ160" i="3"/>
  <c r="AZ168" i="3"/>
  <c r="AZ192" i="3"/>
  <c r="AZ200" i="3"/>
  <c r="AZ85" i="3"/>
  <c r="AZ89" i="3"/>
  <c r="AZ93" i="3"/>
  <c r="AZ101" i="3"/>
  <c r="AZ109" i="3"/>
  <c r="AZ120" i="3"/>
  <c r="AZ128" i="3"/>
  <c r="G534" i="3"/>
  <c r="G530" i="3"/>
  <c r="G522" i="3"/>
  <c r="G516" i="3"/>
  <c r="G512" i="3"/>
  <c r="G506" i="3"/>
  <c r="G498" i="3"/>
  <c r="G494" i="3"/>
  <c r="G16" i="3"/>
  <c r="G15" i="3"/>
  <c r="BA304" i="3"/>
  <c r="AZ304" i="3" s="1"/>
  <c r="BA305" i="3"/>
  <c r="AZ305" i="3"/>
  <c r="BL305" i="3"/>
  <c r="G306" i="3"/>
  <c r="G309" i="3"/>
  <c r="BL310" i="3"/>
  <c r="BA312" i="3"/>
  <c r="AZ312" i="3" s="1"/>
  <c r="BA313" i="3"/>
  <c r="BL313" i="3"/>
  <c r="AZ313" i="3" s="1"/>
  <c r="G314" i="3"/>
  <c r="G317" i="3"/>
  <c r="BL318" i="3"/>
  <c r="BA320" i="3"/>
  <c r="AZ320" i="3" s="1"/>
  <c r="BA321" i="3"/>
  <c r="AZ321" i="3"/>
  <c r="BL321" i="3"/>
  <c r="G322" i="3"/>
  <c r="G325" i="3"/>
  <c r="BL326" i="3"/>
  <c r="BA328" i="3"/>
  <c r="AZ328" i="3" s="1"/>
  <c r="BA329" i="3"/>
  <c r="BL329" i="3"/>
  <c r="AZ329" i="3" s="1"/>
  <c r="G330" i="3"/>
  <c r="G333" i="3"/>
  <c r="BL334" i="3"/>
  <c r="AZ334" i="3" s="1"/>
  <c r="BA336" i="3"/>
  <c r="AZ336" i="3" s="1"/>
  <c r="BA337" i="3"/>
  <c r="AZ337" i="3"/>
  <c r="BL337" i="3"/>
  <c r="G338" i="3"/>
  <c r="G341" i="3"/>
  <c r="BA342" i="3"/>
  <c r="AZ342" i="3" s="1"/>
  <c r="BL342" i="3"/>
  <c r="BA344" i="3"/>
  <c r="BL344" i="3"/>
  <c r="AZ344" i="3" s="1"/>
  <c r="BA346" i="3"/>
  <c r="AZ346" i="3"/>
  <c r="BA347" i="3"/>
  <c r="AZ347" i="3" s="1"/>
  <c r="BL347" i="3"/>
  <c r="G350" i="3"/>
  <c r="BA351" i="3"/>
  <c r="AZ351" i="3" s="1"/>
  <c r="BL351" i="3"/>
  <c r="G352" i="3"/>
  <c r="G354" i="3"/>
  <c r="BA355" i="3"/>
  <c r="AZ355" i="3" s="1"/>
  <c r="BA356" i="3"/>
  <c r="BL356" i="3"/>
  <c r="AZ356" i="3" s="1"/>
  <c r="G357" i="3"/>
  <c r="G360" i="3"/>
  <c r="BL361" i="3"/>
  <c r="BA363" i="3"/>
  <c r="AZ363" i="3" s="1"/>
  <c r="BA364" i="3"/>
  <c r="BL364" i="3"/>
  <c r="G365" i="3"/>
  <c r="G368" i="3"/>
  <c r="BL369" i="3"/>
  <c r="BA371" i="3"/>
  <c r="AZ371" i="3"/>
  <c r="BA372" i="3"/>
  <c r="AZ372" i="3" s="1"/>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82" i="3"/>
  <c r="AZ186" i="3"/>
  <c r="AZ190" i="3"/>
  <c r="AZ194" i="3"/>
  <c r="AZ198" i="3"/>
  <c r="AZ202" i="3"/>
  <c r="AZ206" i="3"/>
  <c r="AZ500" i="3"/>
  <c r="BA16" i="3"/>
  <c r="AZ16" i="3" s="1"/>
  <c r="BL303" i="3"/>
  <c r="G304" i="3"/>
  <c r="BA306" i="3"/>
  <c r="AZ306" i="3" s="1"/>
  <c r="BL307" i="3"/>
  <c r="AZ307" i="3"/>
  <c r="G308" i="3"/>
  <c r="BA310" i="3"/>
  <c r="AZ310" i="3" s="1"/>
  <c r="BL311" i="3"/>
  <c r="AZ311" i="3"/>
  <c r="G312" i="3"/>
  <c r="BA314" i="3"/>
  <c r="AZ314" i="3"/>
  <c r="BL315" i="3"/>
  <c r="AZ315" i="3" s="1"/>
  <c r="G316" i="3"/>
  <c r="BA318" i="3"/>
  <c r="AZ318" i="3"/>
  <c r="BL319" i="3"/>
  <c r="G320" i="3"/>
  <c r="BA322" i="3"/>
  <c r="AZ322" i="3"/>
  <c r="BL323" i="3"/>
  <c r="AZ323" i="3" s="1"/>
  <c r="G324" i="3"/>
  <c r="BA326" i="3"/>
  <c r="AZ326" i="3" s="1"/>
  <c r="BL327" i="3"/>
  <c r="AZ327" i="3"/>
  <c r="G328" i="3"/>
  <c r="BA330" i="3"/>
  <c r="AZ330" i="3" s="1"/>
  <c r="BL331" i="3"/>
  <c r="AZ331" i="3"/>
  <c r="G332" i="3"/>
  <c r="BA334" i="3"/>
  <c r="BL335" i="3"/>
  <c r="AZ335" i="3" s="1"/>
  <c r="G336" i="3"/>
  <c r="BA338" i="3"/>
  <c r="AZ338" i="3"/>
  <c r="BL339" i="3"/>
  <c r="AZ339" i="3" s="1"/>
  <c r="G340" i="3"/>
  <c r="BL343" i="3"/>
  <c r="G344" i="3"/>
  <c r="G348" i="3"/>
  <c r="G355" i="3"/>
  <c r="AZ218" i="3"/>
  <c r="AZ222" i="3"/>
  <c r="AZ303" i="3"/>
  <c r="AZ319" i="3"/>
  <c r="G342" i="3"/>
  <c r="BL345" i="3"/>
  <c r="AZ345" i="3"/>
  <c r="G346" i="3"/>
  <c r="AZ348" i="3"/>
  <c r="BL349" i="3"/>
  <c r="AZ349" i="3"/>
  <c r="BL352" i="3"/>
  <c r="G353" i="3"/>
  <c r="BA357" i="3"/>
  <c r="AZ357" i="3"/>
  <c r="BL358" i="3"/>
  <c r="AZ358" i="3" s="1"/>
  <c r="G359" i="3"/>
  <c r="BA361" i="3"/>
  <c r="AZ361" i="3" s="1"/>
  <c r="BL362" i="3"/>
  <c r="G363" i="3"/>
  <c r="BA365" i="3"/>
  <c r="AZ365" i="3" s="1"/>
  <c r="BL366" i="3"/>
  <c r="AZ366" i="3"/>
  <c r="G367" i="3"/>
  <c r="BA369" i="3"/>
  <c r="AZ369" i="3" s="1"/>
  <c r="BL370" i="3"/>
  <c r="G371" i="3"/>
  <c r="BA373" i="3"/>
  <c r="AZ373" i="3" s="1"/>
  <c r="BL374" i="3"/>
  <c r="AZ374" i="3"/>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60" i="3"/>
  <c r="AZ364" i="3"/>
  <c r="AZ368" i="3"/>
  <c r="BA15" i="3"/>
  <c r="AZ15" i="3"/>
  <c r="BB5" i="3"/>
  <c r="BR5" i="3"/>
  <c r="AZ384" i="3"/>
  <c r="AZ388" i="3"/>
  <c r="AZ392" i="3"/>
  <c r="AZ396" i="3"/>
  <c r="AZ394" i="3"/>
  <c r="G509" i="3"/>
  <c r="BL493" i="3"/>
  <c r="AZ493" i="3" s="1"/>
  <c r="AZ491" i="3"/>
  <c r="AZ376" i="3"/>
  <c r="AZ390" i="3"/>
  <c r="AZ382" i="3"/>
  <c r="U36" i="40"/>
  <c r="F83" i="43"/>
  <c r="H85" i="43" s="1"/>
  <c r="F50" i="43"/>
  <c r="H54" i="43" s="1"/>
  <c r="F72" i="43"/>
  <c r="H75" i="43" s="1"/>
  <c r="U17" i="39"/>
  <c r="S14" i="35"/>
  <c r="U43" i="21"/>
  <c r="U35" i="21"/>
  <c r="AC35" i="21"/>
  <c r="G8" i="1"/>
  <c r="G10" i="1"/>
  <c r="W37" i="37"/>
  <c r="W44" i="34"/>
  <c r="AC44" i="34"/>
  <c r="S15" i="37"/>
  <c r="U13" i="37"/>
  <c r="U12" i="40"/>
  <c r="AA12" i="40"/>
  <c r="J37" i="33"/>
  <c r="AC37" i="33" s="1"/>
  <c r="AC17" i="34"/>
  <c r="J34" i="33"/>
  <c r="W34" i="33" s="1"/>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s="1"/>
  <c r="F40" i="34"/>
  <c r="S40" i="34"/>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72" i="3"/>
  <c r="AZ77" i="3"/>
  <c r="AZ82" i="3"/>
  <c r="AZ102"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U12" i="39" s="1"/>
  <c r="F39" i="40"/>
  <c r="BA14" i="3"/>
  <c r="AZ367" i="3"/>
  <c r="AZ224" i="3"/>
  <c r="AZ234" i="3"/>
  <c r="AZ238" i="3"/>
  <c r="AZ250" i="3"/>
  <c r="AZ254" i="3"/>
  <c r="AZ281" i="3"/>
  <c r="AZ286" i="3"/>
  <c r="AZ297" i="3"/>
  <c r="AZ149" i="3"/>
  <c r="AZ157" i="3"/>
  <c r="AZ165" i="3"/>
  <c r="AZ181" i="3"/>
  <c r="AZ189" i="3"/>
  <c r="AZ197" i="3"/>
  <c r="AZ19" i="3"/>
  <c r="AZ26" i="3"/>
  <c r="AZ35" i="3"/>
  <c r="AZ41" i="3"/>
  <c r="B12" i="1"/>
  <c r="E12" i="1" s="1"/>
  <c r="B10" i="1"/>
  <c r="E10" i="1" s="1"/>
  <c r="AZ80" i="3"/>
  <c r="AZ107" i="3"/>
  <c r="AZ111" i="3"/>
  <c r="K12" i="1"/>
  <c r="M12" i="1" s="1"/>
  <c r="S13" i="1"/>
  <c r="AR13" i="1" s="1"/>
  <c r="R13" i="1"/>
  <c r="J51" i="67"/>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H41" i="33"/>
  <c r="F121" i="33"/>
  <c r="G121" i="33"/>
  <c r="H121" i="33"/>
  <c r="I121" i="33" s="1"/>
  <c r="J121" i="33" s="1"/>
  <c r="K121" i="33" s="1"/>
  <c r="L121" i="33" s="1"/>
  <c r="M121" i="33" s="1"/>
  <c r="F36" i="33"/>
  <c r="AA36" i="33" s="1"/>
  <c r="G111" i="33"/>
  <c r="G108" i="33"/>
  <c r="H108" i="33" s="1"/>
  <c r="I108" i="33" s="1"/>
  <c r="J108" i="33" s="1"/>
  <c r="K108" i="33" s="1"/>
  <c r="L108" i="33" s="1"/>
  <c r="M108" i="33" s="1"/>
  <c r="J35" i="33"/>
  <c r="S39" i="33"/>
  <c r="J32" i="33"/>
  <c r="W32" i="33" s="1"/>
  <c r="S46" i="33"/>
  <c r="H27" i="33"/>
  <c r="AB27" i="33" s="1"/>
  <c r="F25" i="33"/>
  <c r="S25" i="33" s="1"/>
  <c r="J23" i="33"/>
  <c r="W23" i="33" s="1"/>
  <c r="H23" i="33"/>
  <c r="U23" i="33" s="1"/>
  <c r="J17" i="33"/>
  <c r="W17" i="33" s="1"/>
  <c r="U9" i="33"/>
  <c r="J10" i="33"/>
  <c r="W10" i="33" s="1"/>
  <c r="H10" i="33"/>
  <c r="U10" i="33" s="1"/>
  <c r="AC11" i="33"/>
  <c r="AB14" i="33"/>
  <c r="W43" i="21"/>
  <c r="W36" i="21"/>
  <c r="W41" i="21"/>
  <c r="AB39" i="21"/>
  <c r="AA43" i="21"/>
  <c r="S39" i="21"/>
  <c r="AA38" i="21"/>
  <c r="AA36" i="21"/>
  <c r="AC40" i="21"/>
  <c r="J15" i="21"/>
  <c r="W15" i="21" s="1"/>
  <c r="F23" i="21"/>
  <c r="S23" i="21" s="1"/>
  <c r="E85" i="21"/>
  <c r="F85" i="21" s="1"/>
  <c r="G85" i="21" s="1"/>
  <c r="AA14" i="21"/>
  <c r="D120" i="9"/>
  <c r="D121" i="9" s="1"/>
  <c r="D7" i="52"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44" i="33"/>
  <c r="AB44" i="33"/>
  <c r="S30" i="33"/>
  <c r="AA30" i="33"/>
  <c r="AC14" i="33"/>
  <c r="W14" i="33"/>
  <c r="AC30" i="33"/>
  <c r="W30" i="33"/>
  <c r="S31" i="33"/>
  <c r="AA31" i="33"/>
  <c r="W13" i="33"/>
  <c r="AC13" i="33"/>
  <c r="S11" i="33"/>
  <c r="W9"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AA32" i="39"/>
  <c r="S32" i="39"/>
  <c r="AB21" i="39"/>
  <c r="U21" i="39"/>
  <c r="AA21" i="39"/>
  <c r="S21" i="39"/>
  <c r="AC17" i="37"/>
  <c r="S17" i="37"/>
  <c r="J19" i="37"/>
  <c r="W19" i="37" s="1"/>
  <c r="G75" i="37"/>
  <c r="S19" i="37"/>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J27" i="33"/>
  <c r="AC27" i="33" s="1"/>
  <c r="AB23" i="33"/>
  <c r="F23" i="33"/>
  <c r="AA23" i="33" s="1"/>
  <c r="H17" i="33"/>
  <c r="AB17" i="33" s="1"/>
  <c r="F17" i="33"/>
  <c r="S17" i="33" s="1"/>
  <c r="S37" i="21"/>
  <c r="AA23" i="21"/>
  <c r="J23" i="21"/>
  <c r="W23" i="21" s="1"/>
  <c r="H23" i="21"/>
  <c r="S13" i="21"/>
  <c r="D6" i="52"/>
  <c r="AP7" i="1"/>
  <c r="AB45" i="21"/>
  <c r="AB9" i="21"/>
  <c r="U9" i="21"/>
  <c r="AA32" i="21"/>
  <c r="W9" i="21"/>
  <c r="AB32" i="21"/>
  <c r="U32" i="39"/>
  <c r="W32" i="39"/>
  <c r="AC19" i="37"/>
  <c r="AC23" i="37"/>
  <c r="J11" i="37"/>
  <c r="AC11" i="37" s="1"/>
  <c r="H70" i="34"/>
  <c r="I70" i="34" s="1"/>
  <c r="J70" i="34" s="1"/>
  <c r="K70" i="34" s="1"/>
  <c r="L70" i="34" s="1"/>
  <c r="M70" i="34" s="1"/>
  <c r="J11" i="34"/>
  <c r="W11" i="34" s="1"/>
  <c r="U23" i="21"/>
  <c r="AB23" i="21"/>
  <c r="H109" i="9"/>
  <c r="H112" i="9"/>
  <c r="H111" i="9"/>
  <c r="D126" i="9" s="1"/>
  <c r="AD3" i="71"/>
  <c r="J1" i="73"/>
  <c r="H69" i="43"/>
  <c r="C22" i="71"/>
  <c r="D22" i="71" s="1"/>
  <c r="D23" i="71"/>
  <c r="D24" i="71"/>
  <c r="U24" i="71"/>
  <c r="S24" i="71"/>
  <c r="T24" i="71"/>
  <c r="AB22" i="71"/>
  <c r="X20" i="71"/>
  <c r="X19" i="71"/>
  <c r="AA20" i="71"/>
  <c r="AA19" i="71"/>
  <c r="X23" i="71"/>
  <c r="Z18" i="71"/>
  <c r="Y19" i="71"/>
  <c r="Z19" i="71" s="1"/>
  <c r="AB20" i="71"/>
  <c r="AB19" i="71"/>
  <c r="S20" i="71"/>
  <c r="F21" i="71"/>
  <c r="F20" i="71" s="1"/>
  <c r="F19" i="71" s="1"/>
  <c r="F18" i="71" s="1"/>
  <c r="F17" i="71" s="1"/>
  <c r="Y20" i="71"/>
  <c r="Z20" i="71" s="1"/>
  <c r="X3" i="71"/>
  <c r="E21" i="71"/>
  <c r="E20" i="71"/>
  <c r="E19" i="71" s="1"/>
  <c r="E18" i="71" s="1"/>
  <c r="E17" i="71" s="1"/>
  <c r="E16" i="71" s="1"/>
  <c r="E9" i="76"/>
  <c r="F6" i="15"/>
  <c r="E2" i="69"/>
  <c r="F7" i="15"/>
  <c r="F7" i="73"/>
  <c r="B8" i="76"/>
  <c r="F26" i="67"/>
  <c r="F36" i="15"/>
  <c r="F4" i="73"/>
  <c r="M9" i="15"/>
  <c r="E13" i="76"/>
  <c r="F40" i="67"/>
  <c r="F3" i="73"/>
  <c r="B9" i="76"/>
  <c r="F16" i="67"/>
  <c r="F36" i="67"/>
  <c r="F13" i="67"/>
  <c r="D6" i="73"/>
  <c r="M8" i="15"/>
  <c r="M26" i="15"/>
  <c r="J15" i="67"/>
  <c r="B7" i="76"/>
  <c r="F9" i="15"/>
  <c r="L47" i="67"/>
  <c r="D4" i="73"/>
  <c r="F38" i="15"/>
  <c r="B11" i="76"/>
  <c r="F8" i="67"/>
  <c r="M6" i="67"/>
  <c r="E12" i="76"/>
  <c r="E8" i="76"/>
  <c r="F20" i="31"/>
  <c r="B10" i="76"/>
  <c r="D7" i="73"/>
  <c r="B13" i="76"/>
  <c r="M28" i="15"/>
  <c r="M24" i="15"/>
  <c r="E7" i="76"/>
  <c r="F6" i="67"/>
  <c r="M22" i="67"/>
  <c r="F42" i="67"/>
  <c r="F43" i="15"/>
  <c r="F40" i="15"/>
  <c r="E11" i="76"/>
  <c r="F9" i="67"/>
  <c r="F5" i="73"/>
  <c r="F16" i="15"/>
  <c r="M9" i="67"/>
  <c r="E2" i="68"/>
  <c r="M23" i="15"/>
  <c r="F8" i="15"/>
  <c r="F38" i="67"/>
  <c r="F37" i="67"/>
  <c r="M23" i="67"/>
  <c r="F6" i="73"/>
  <c r="J15" i="15"/>
  <c r="E10" i="76"/>
  <c r="B12" i="76"/>
  <c r="F13" i="15"/>
  <c r="M22" i="15"/>
  <c r="F37" i="15"/>
  <c r="M8" i="67"/>
  <c r="M24" i="67"/>
  <c r="M6" i="15"/>
  <c r="F42" i="15"/>
  <c r="C76" i="67"/>
  <c r="AO13" i="1"/>
  <c r="M26" i="67"/>
  <c r="L47" i="15"/>
  <c r="M28" i="67"/>
  <c r="AZ521" i="3" l="1"/>
  <c r="S12" i="21"/>
  <c r="AA12" i="21"/>
  <c r="AZ565" i="3"/>
  <c r="AZ573" i="3"/>
  <c r="AZ581" i="3"/>
  <c r="AZ503" i="3"/>
  <c r="AZ513" i="3"/>
  <c r="AZ559" i="3"/>
  <c r="AZ515" i="3"/>
  <c r="AZ525" i="3"/>
  <c r="AZ533" i="3"/>
  <c r="AZ541" i="3"/>
  <c r="E15" i="71"/>
  <c r="E14" i="71" s="1"/>
  <c r="E13" i="71" s="1"/>
  <c r="E12" i="71" s="1"/>
  <c r="V16" i="71"/>
  <c r="AC23" i="21"/>
  <c r="AB30" i="21"/>
  <c r="AA13" i="35"/>
  <c r="AB31" i="34"/>
  <c r="AB15" i="21"/>
  <c r="W17" i="21"/>
  <c r="G7" i="33"/>
  <c r="I7" i="33" s="1"/>
  <c r="E7" i="33"/>
  <c r="AB12" i="39"/>
  <c r="AC11" i="39"/>
  <c r="AC12" i="37"/>
  <c r="S14" i="37"/>
  <c r="AC11" i="35"/>
  <c r="C21" i="71"/>
  <c r="F48" i="9"/>
  <c r="O52" i="9" s="1"/>
  <c r="F48" i="85"/>
  <c r="O52" i="85" s="1"/>
  <c r="F53" i="85"/>
  <c r="F54" i="85"/>
  <c r="F52" i="85"/>
  <c r="D68" i="85"/>
  <c r="F32" i="84"/>
  <c r="F60" i="84" s="1"/>
  <c r="F28" i="84"/>
  <c r="M18" i="84"/>
  <c r="F9" i="34"/>
  <c r="AA9" i="34" s="1"/>
  <c r="J9" i="34"/>
  <c r="V20" i="71"/>
  <c r="AB36" i="33"/>
  <c r="AZ14" i="3"/>
  <c r="AC28" i="21"/>
  <c r="S11" i="36"/>
  <c r="AB17" i="34"/>
  <c r="F44" i="39"/>
  <c r="BL548" i="3"/>
  <c r="AZ548" i="3" s="1"/>
  <c r="AZ405" i="3"/>
  <c r="AZ411" i="3"/>
  <c r="AZ419" i="3"/>
  <c r="AZ435" i="3"/>
  <c r="AZ445" i="3"/>
  <c r="AZ446" i="3"/>
  <c r="AZ460" i="3"/>
  <c r="AZ481" i="3"/>
  <c r="AZ489" i="3"/>
  <c r="AZ332" i="3"/>
  <c r="AZ395" i="3"/>
  <c r="AZ397" i="3"/>
  <c r="H12" i="35"/>
  <c r="J36" i="35"/>
  <c r="F23" i="36"/>
  <c r="H38" i="40"/>
  <c r="AZ432" i="3"/>
  <c r="AZ458" i="3"/>
  <c r="AZ459" i="3"/>
  <c r="AZ476" i="3"/>
  <c r="AZ478" i="3"/>
  <c r="AZ484" i="3"/>
  <c r="AZ486" i="3"/>
  <c r="AZ415" i="3"/>
  <c r="AZ416" i="3"/>
  <c r="AZ425" i="3"/>
  <c r="AZ429" i="3"/>
  <c r="AZ431" i="3"/>
  <c r="AZ451" i="3"/>
  <c r="AZ452" i="3"/>
  <c r="G570" i="3"/>
  <c r="BA550" i="3"/>
  <c r="AZ550" i="3" s="1"/>
  <c r="AZ404" i="3"/>
  <c r="AZ420" i="3"/>
  <c r="AZ424" i="3"/>
  <c r="AZ463" i="3"/>
  <c r="AZ469" i="3"/>
  <c r="AZ470" i="3"/>
  <c r="AZ474" i="3"/>
  <c r="AZ480" i="3"/>
  <c r="AZ482" i="3"/>
  <c r="AZ488" i="3"/>
  <c r="AZ212" i="3"/>
  <c r="G41" i="69"/>
  <c r="C24" i="84"/>
  <c r="A15" i="62"/>
  <c r="B61" i="72" s="1"/>
  <c r="G211" i="3"/>
  <c r="M20" i="15"/>
  <c r="F34" i="84"/>
  <c r="F62" i="84" s="1"/>
  <c r="M20" i="84"/>
  <c r="D78" i="9"/>
  <c r="D93" i="85"/>
  <c r="D78" i="85"/>
  <c r="AZ226" i="3"/>
  <c r="AZ255" i="3"/>
  <c r="AZ260" i="3"/>
  <c r="AZ294" i="3"/>
  <c r="AZ122" i="3"/>
  <c r="AZ134" i="3"/>
  <c r="AZ137" i="3"/>
  <c r="BL209" i="3"/>
  <c r="AZ209" i="3" s="1"/>
  <c r="BA217" i="3"/>
  <c r="AZ217" i="3" s="1"/>
  <c r="AZ230" i="3"/>
  <c r="AZ258" i="3"/>
  <c r="AZ276" i="3"/>
  <c r="AZ292" i="3"/>
  <c r="C33" i="83"/>
  <c r="B25" i="31"/>
  <c r="M18" i="85"/>
  <c r="B118" i="85" s="1"/>
  <c r="D3" i="83"/>
  <c r="G208" i="3"/>
  <c r="BA213" i="3"/>
  <c r="AZ213" i="3" s="1"/>
  <c r="BA214" i="3"/>
  <c r="AZ214" i="3" s="1"/>
  <c r="AZ216" i="3"/>
  <c r="AZ247" i="3"/>
  <c r="AZ284" i="3"/>
  <c r="AZ302" i="3"/>
  <c r="AZ113" i="3"/>
  <c r="AZ121" i="3"/>
  <c r="AZ129" i="3"/>
  <c r="AZ145" i="3"/>
  <c r="BA174" i="3"/>
  <c r="AZ174" i="3" s="1"/>
  <c r="BL173" i="3"/>
  <c r="AZ173" i="3" s="1"/>
  <c r="G176" i="3"/>
  <c r="BA180" i="3"/>
  <c r="AZ180" i="3" s="1"/>
  <c r="AZ68" i="3"/>
  <c r="BL175" i="3"/>
  <c r="AZ175" i="3" s="1"/>
  <c r="BL178" i="3"/>
  <c r="AZ178" i="3" s="1"/>
  <c r="G182" i="3"/>
  <c r="BL187" i="3"/>
  <c r="AZ187" i="3" s="1"/>
  <c r="AZ207" i="3"/>
  <c r="AZ36" i="3"/>
  <c r="G187" i="3"/>
  <c r="AZ34" i="3"/>
  <c r="G55" i="3"/>
  <c r="G58" i="3"/>
  <c r="BA62" i="3"/>
  <c r="AZ62" i="3" s="1"/>
  <c r="BA65" i="3"/>
  <c r="AZ65" i="3" s="1"/>
  <c r="BL69" i="3"/>
  <c r="AZ69" i="3" s="1"/>
  <c r="G73" i="3"/>
  <c r="BL76" i="3"/>
  <c r="G80" i="3"/>
  <c r="BL81" i="3"/>
  <c r="BA84" i="3"/>
  <c r="AZ84" i="3" s="1"/>
  <c r="BA88" i="3"/>
  <c r="G101" i="3"/>
  <c r="G103" i="3"/>
  <c r="G1" i="84"/>
  <c r="F3" i="35"/>
  <c r="BL56" i="3"/>
  <c r="AZ56" i="3" s="1"/>
  <c r="BA67" i="3"/>
  <c r="AZ67" i="3" s="1"/>
  <c r="AZ76" i="3"/>
  <c r="AZ81" i="3"/>
  <c r="BL88" i="3"/>
  <c r="BA94" i="3"/>
  <c r="AZ94" i="3" s="1"/>
  <c r="AZ95" i="3"/>
  <c r="BA97" i="3"/>
  <c r="AZ97" i="3" s="1"/>
  <c r="AZ98" i="3"/>
  <c r="AZ100" i="3"/>
  <c r="BA103" i="3"/>
  <c r="AZ103" i="3" s="1"/>
  <c r="AZ104" i="3"/>
  <c r="AZ108" i="3"/>
  <c r="AZ112" i="3"/>
  <c r="BA59" i="3"/>
  <c r="AZ59" i="3" s="1"/>
  <c r="G63" i="3"/>
  <c r="G66" i="3"/>
  <c r="BA70" i="3"/>
  <c r="AZ70" i="3" s="1"/>
  <c r="BL74" i="3"/>
  <c r="AZ74" i="3" s="1"/>
  <c r="BL83" i="3"/>
  <c r="AZ83" i="3" s="1"/>
  <c r="BA86" i="3"/>
  <c r="AZ86" i="3" s="1"/>
  <c r="AZ87" i="3"/>
  <c r="BA91" i="3"/>
  <c r="AZ91" i="3" s="1"/>
  <c r="BA92" i="3"/>
  <c r="AZ92" i="3" s="1"/>
  <c r="AZ96" i="3"/>
  <c r="AZ99" i="3"/>
  <c r="BA105" i="3"/>
  <c r="AZ105" i="3" s="1"/>
  <c r="BA106" i="3"/>
  <c r="AZ106" i="3" s="1"/>
  <c r="AA22" i="71"/>
  <c r="AA17" i="71"/>
  <c r="C51" i="10"/>
  <c r="A13" i="51" s="1"/>
  <c r="B11" i="72" s="1"/>
  <c r="A118" i="85"/>
  <c r="A2" i="85"/>
  <c r="S18" i="36"/>
  <c r="B68" i="43"/>
  <c r="AA11" i="71"/>
  <c r="C7" i="34"/>
  <c r="M47" i="85"/>
  <c r="C7" i="83"/>
  <c r="J51" i="84"/>
  <c r="AC21" i="21"/>
  <c r="U21" i="34"/>
  <c r="U21" i="37"/>
  <c r="W29" i="39"/>
  <c r="S25" i="40"/>
  <c r="B57" i="43"/>
  <c r="C74" i="71"/>
  <c r="D74" i="71" s="1"/>
  <c r="Q66" i="71"/>
  <c r="Q65" i="71"/>
  <c r="AA24" i="71"/>
  <c r="AB21" i="71"/>
  <c r="AB18" i="71"/>
  <c r="AB14" i="71"/>
  <c r="C29" i="39"/>
  <c r="B77" i="43"/>
  <c r="AB28" i="71"/>
  <c r="F28" i="71"/>
  <c r="F27" i="71" s="1"/>
  <c r="F26" i="71" s="1"/>
  <c r="AB24" i="71"/>
  <c r="AB23" i="71"/>
  <c r="AA18" i="71"/>
  <c r="AB17" i="71"/>
  <c r="X27" i="71"/>
  <c r="AB37" i="71"/>
  <c r="AA36" i="71"/>
  <c r="Y33" i="71"/>
  <c r="Z33" i="71" s="1"/>
  <c r="X30" i="71"/>
  <c r="AB36" i="71"/>
  <c r="AA9" i="71"/>
  <c r="AA10" i="71"/>
  <c r="X15" i="71"/>
  <c r="AB12" i="71"/>
  <c r="AA12" i="71"/>
  <c r="X12" i="71"/>
  <c r="Y12" i="71"/>
  <c r="Z12" i="71" s="1"/>
  <c r="AB9" i="71"/>
  <c r="Y24" i="71"/>
  <c r="Z24" i="71" s="1"/>
  <c r="AA21" i="71"/>
  <c r="AB10" i="71"/>
  <c r="X11" i="71"/>
  <c r="Y13" i="71"/>
  <c r="Z13" i="71" s="1"/>
  <c r="AA29" i="71"/>
  <c r="AB32" i="71"/>
  <c r="Y9" i="71"/>
  <c r="Z9" i="71" s="1"/>
  <c r="Y10" i="71"/>
  <c r="Z10" i="71" s="1"/>
  <c r="AB39" i="71"/>
  <c r="AA23" i="71"/>
  <c r="X22" i="71"/>
  <c r="AA15" i="71"/>
  <c r="AB13" i="71"/>
  <c r="AA14" i="71"/>
  <c r="X13" i="71"/>
  <c r="Y11" i="71"/>
  <c r="Z11" i="71" s="1"/>
  <c r="Y28" i="71"/>
  <c r="Z28" i="71" s="1"/>
  <c r="AA37" i="71"/>
  <c r="X9" i="71"/>
  <c r="M56" i="9"/>
  <c r="K56" i="85"/>
  <c r="J56" i="85"/>
  <c r="J57" i="85" s="1"/>
  <c r="J59" i="85" s="1"/>
  <c r="J61" i="85" s="1"/>
  <c r="N56" i="85"/>
  <c r="M56" i="85"/>
  <c r="AB15" i="71"/>
  <c r="AB11" i="71"/>
  <c r="AA13" i="71"/>
  <c r="X10" i="71"/>
  <c r="X14" i="71"/>
  <c r="H42" i="33"/>
  <c r="AB42" i="33" s="1"/>
  <c r="H38" i="33"/>
  <c r="AB38" i="33" s="1"/>
  <c r="J38" i="33"/>
  <c r="AC38" i="33" s="1"/>
  <c r="F42" i="33"/>
  <c r="S42" i="33" s="1"/>
  <c r="G123" i="33"/>
  <c r="H123" i="33" s="1"/>
  <c r="I123" i="33" s="1"/>
  <c r="J123" i="33" s="1"/>
  <c r="K123" i="33" s="1"/>
  <c r="L123" i="33" s="1"/>
  <c r="M123" i="33" s="1"/>
  <c r="J42" i="33"/>
  <c r="AC42" i="33" s="1"/>
  <c r="H25" i="33"/>
  <c r="AB25" i="33" s="1"/>
  <c r="J25" i="33"/>
  <c r="W25" i="33" s="1"/>
  <c r="C18" i="9"/>
  <c r="D18" i="9" s="1"/>
  <c r="U38" i="33"/>
  <c r="W38" i="33"/>
  <c r="AB29" i="33"/>
  <c r="F7" i="1"/>
  <c r="G7" i="1" s="1"/>
  <c r="F16" i="4"/>
  <c r="A18" i="51" s="1"/>
  <c r="B13" i="72" s="1"/>
  <c r="W27" i="33"/>
  <c r="U27" i="33"/>
  <c r="G14" i="3"/>
  <c r="E15" i="74"/>
  <c r="K7" i="1"/>
  <c r="W26" i="33"/>
  <c r="U26" i="33"/>
  <c r="AA26" i="33"/>
  <c r="U25" i="33"/>
  <c r="AC32" i="33"/>
  <c r="AA27" i="33"/>
  <c r="AA25" i="33"/>
  <c r="J19" i="33"/>
  <c r="AC19" i="33" s="1"/>
  <c r="F81" i="33"/>
  <c r="G81" i="33" s="1"/>
  <c r="F19" i="33"/>
  <c r="S19" i="33" s="1"/>
  <c r="H19" i="33"/>
  <c r="U19" i="33" s="1"/>
  <c r="F15" i="33"/>
  <c r="H15" i="33"/>
  <c r="AB15" i="33" s="1"/>
  <c r="J15" i="33"/>
  <c r="W15" i="33" s="1"/>
  <c r="F77" i="33"/>
  <c r="G77" i="33" s="1"/>
  <c r="AB28" i="33"/>
  <c r="AA34" i="33"/>
  <c r="U42" i="33"/>
  <c r="AA38" i="33"/>
  <c r="AA37" i="33"/>
  <c r="W37" i="33"/>
  <c r="U37" i="33"/>
  <c r="AB34" i="33"/>
  <c r="AC34" i="33"/>
  <c r="S32" i="33"/>
  <c r="U32" i="33"/>
  <c r="U11" i="33"/>
  <c r="S43" i="33"/>
  <c r="W43" i="33"/>
  <c r="U43" i="33"/>
  <c r="S28" i="33"/>
  <c r="W28" i="33"/>
  <c r="AC23" i="33"/>
  <c r="S23" i="33"/>
  <c r="AB21" i="33"/>
  <c r="AA21" i="33"/>
  <c r="AA17" i="33"/>
  <c r="U17" i="33"/>
  <c r="AC17" i="33"/>
  <c r="W8" i="33"/>
  <c r="F6" i="1"/>
  <c r="G6" i="1" s="1"/>
  <c r="G5" i="3"/>
  <c r="B3" i="3" s="1"/>
  <c r="E21" i="3" s="1"/>
  <c r="E67" i="3"/>
  <c r="E37" i="3"/>
  <c r="E517" i="3"/>
  <c r="E286" i="3"/>
  <c r="E536" i="3"/>
  <c r="E376" i="3"/>
  <c r="E440" i="3"/>
  <c r="E564" i="3"/>
  <c r="E393" i="3"/>
  <c r="E329" i="3"/>
  <c r="F29" i="6"/>
  <c r="F34" i="15"/>
  <c r="F62" i="15" s="1"/>
  <c r="M20" i="67"/>
  <c r="F34" i="67"/>
  <c r="F62" i="67" s="1"/>
  <c r="D68" i="9"/>
  <c r="F31" i="12"/>
  <c r="F30" i="69"/>
  <c r="F48" i="69" s="1"/>
  <c r="F28" i="15"/>
  <c r="F32" i="67"/>
  <c r="F60" i="67" s="1"/>
  <c r="M18" i="15"/>
  <c r="M18" i="67"/>
  <c r="F30" i="11"/>
  <c r="C48" i="11" s="1"/>
  <c r="F28" i="67"/>
  <c r="F54" i="9"/>
  <c r="F32" i="15"/>
  <c r="F60" i="15" s="1"/>
  <c r="F52" i="9"/>
  <c r="F30" i="68"/>
  <c r="F48" i="68" s="1"/>
  <c r="C21" i="68"/>
  <c r="C40" i="69"/>
  <c r="D21" i="53"/>
  <c r="B39" i="72" s="1"/>
  <c r="D19" i="53"/>
  <c r="B38" i="72" s="1"/>
  <c r="D16" i="53"/>
  <c r="B34" i="72" s="1"/>
  <c r="M47" i="9"/>
  <c r="C7" i="35"/>
  <c r="C48" i="35" s="1"/>
  <c r="D48" i="35" s="1"/>
  <c r="C7" i="40"/>
  <c r="C63" i="40" s="1"/>
  <c r="C7" i="39"/>
  <c r="C67" i="39" s="1"/>
  <c r="C69" i="39" s="1"/>
  <c r="C42" i="1"/>
  <c r="C7" i="36"/>
  <c r="C46" i="36" s="1"/>
  <c r="D46" i="36" s="1"/>
  <c r="E46" i="36" s="1"/>
  <c r="F46" i="36" s="1"/>
  <c r="G46" i="36" s="1"/>
  <c r="H46" i="36" s="1"/>
  <c r="I46" i="36" s="1"/>
  <c r="C7" i="21"/>
  <c r="C58" i="21" s="1"/>
  <c r="D58" i="21"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77" i="3"/>
  <c r="E156" i="3"/>
  <c r="E568" i="3"/>
  <c r="E238" i="3"/>
  <c r="E181" i="3"/>
  <c r="E434" i="3"/>
  <c r="E545" i="3"/>
  <c r="E128" i="3"/>
  <c r="AK6" i="3"/>
  <c r="E262"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T13" i="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I1" i="73"/>
  <c r="B39" i="1" s="1"/>
  <c r="F51" i="67"/>
  <c r="F65" i="67"/>
  <c r="M7" i="15"/>
  <c r="J6" i="15" s="1"/>
  <c r="F50" i="15"/>
  <c r="F51" i="15"/>
  <c r="F71" i="15"/>
  <c r="C6" i="15"/>
  <c r="F66" i="67"/>
  <c r="L59" i="15"/>
  <c r="N59" i="15"/>
  <c r="M59" i="15"/>
  <c r="F66" i="15"/>
  <c r="Q71" i="67"/>
  <c r="F64" i="15"/>
  <c r="C27" i="67"/>
  <c r="F65" i="15"/>
  <c r="N59" i="67"/>
  <c r="L59" i="67"/>
  <c r="M59" i="67"/>
  <c r="B13" i="70"/>
  <c r="F68" i="67"/>
  <c r="F64" i="67"/>
  <c r="F68" i="15"/>
  <c r="C36" i="68"/>
  <c r="D9" i="69"/>
  <c r="D9" i="68"/>
  <c r="C16" i="15"/>
  <c r="L48" i="15"/>
  <c r="D3" i="73"/>
  <c r="F26" i="15"/>
  <c r="L48" i="67"/>
  <c r="M29" i="15"/>
  <c r="C76" i="15"/>
  <c r="D5" i="73"/>
  <c r="G1" i="73" s="1"/>
  <c r="Q71" i="15" l="1"/>
  <c r="L58" i="15"/>
  <c r="J53" i="15"/>
  <c r="L56" i="15" s="1"/>
  <c r="I54" i="15"/>
  <c r="J57" i="15"/>
  <c r="J55" i="15" s="1"/>
  <c r="J58" i="15" s="1"/>
  <c r="Q50" i="15" s="1"/>
  <c r="C27" i="15"/>
  <c r="H7" i="36"/>
  <c r="C24" i="12"/>
  <c r="C77" i="85"/>
  <c r="C74" i="85" s="1"/>
  <c r="E188" i="3"/>
  <c r="E427" i="3"/>
  <c r="J6" i="3"/>
  <c r="E502" i="3"/>
  <c r="E258" i="3"/>
  <c r="D118" i="85"/>
  <c r="D119" i="85" s="1"/>
  <c r="F118" i="85"/>
  <c r="F119" i="85" s="1"/>
  <c r="AC36" i="35"/>
  <c r="W36" i="35"/>
  <c r="BL5" i="3"/>
  <c r="AC9" i="34"/>
  <c r="W9" i="34"/>
  <c r="B15" i="71"/>
  <c r="B14" i="71" s="1"/>
  <c r="B13" i="71" s="1"/>
  <c r="B12" i="71" s="1"/>
  <c r="S16" i="71"/>
  <c r="I24" i="43"/>
  <c r="C24" i="43" s="1"/>
  <c r="E116" i="3"/>
  <c r="E507" i="3"/>
  <c r="E483" i="3"/>
  <c r="E449" i="3"/>
  <c r="E425" i="3"/>
  <c r="W19" i="33"/>
  <c r="U12" i="35"/>
  <c r="AB12" i="35"/>
  <c r="AZ88" i="3"/>
  <c r="J33" i="83"/>
  <c r="F33" i="83"/>
  <c r="H33" i="83"/>
  <c r="AB38" i="40"/>
  <c r="U38" i="40"/>
  <c r="E11" i="71"/>
  <c r="E10" i="71" s="1"/>
  <c r="E9" i="71" s="1"/>
  <c r="E8" i="71" s="1"/>
  <c r="E7" i="71" s="1"/>
  <c r="E6" i="71" s="1"/>
  <c r="E5" i="71" s="1"/>
  <c r="V12" i="71"/>
  <c r="AZ5" i="3"/>
  <c r="C58" i="83"/>
  <c r="D58" i="83" s="1"/>
  <c r="E58" i="83" s="1"/>
  <c r="F58" i="83" s="1"/>
  <c r="G58" i="83" s="1"/>
  <c r="H58" i="83" s="1"/>
  <c r="I58" i="83" s="1"/>
  <c r="J58" i="83" s="1"/>
  <c r="K58" i="83" s="1"/>
  <c r="L58" i="83" s="1"/>
  <c r="M58" i="83" s="1"/>
  <c r="N58" i="83" s="1"/>
  <c r="O58" i="83" s="1"/>
  <c r="G7" i="83"/>
  <c r="E7" i="83"/>
  <c r="F7" i="83" s="1"/>
  <c r="AA23" i="36"/>
  <c r="S23" i="36"/>
  <c r="AA44" i="39"/>
  <c r="S44" i="39"/>
  <c r="BA5" i="3"/>
  <c r="C28" i="84"/>
  <c r="C20" i="71"/>
  <c r="D21" i="71"/>
  <c r="W42" i="33"/>
  <c r="AA42" i="33"/>
  <c r="AC25" i="33"/>
  <c r="U15" i="33"/>
  <c r="F11" i="84"/>
  <c r="M11" i="84"/>
  <c r="E306" i="3"/>
  <c r="E352" i="3"/>
  <c r="E136" i="3"/>
  <c r="E461" i="3"/>
  <c r="E122" i="3"/>
  <c r="E223" i="3"/>
  <c r="E493" i="3"/>
  <c r="E486" i="3"/>
  <c r="E490" i="3"/>
  <c r="E419" i="3"/>
  <c r="E212" i="3"/>
  <c r="E466" i="3"/>
  <c r="E417" i="3"/>
  <c r="E363" i="3"/>
  <c r="E63" i="3"/>
  <c r="E99" i="3"/>
  <c r="E511" i="3"/>
  <c r="E314" i="3"/>
  <c r="E85" i="3"/>
  <c r="E453" i="3"/>
  <c r="E253" i="3"/>
  <c r="E16" i="3"/>
  <c r="E105" i="3"/>
  <c r="E543" i="3"/>
  <c r="E422" i="3"/>
  <c r="AH6" i="3"/>
  <c r="E401" i="3"/>
  <c r="E499" i="3"/>
  <c r="AP6" i="3"/>
  <c r="E152" i="3"/>
  <c r="E267" i="3"/>
  <c r="D33" i="43"/>
  <c r="D1" i="43" s="1"/>
  <c r="E19" i="6"/>
  <c r="B24" i="31" s="1"/>
  <c r="E148" i="3"/>
  <c r="E575" i="3"/>
  <c r="E442" i="3"/>
  <c r="E255" i="3"/>
  <c r="E491" i="3"/>
  <c r="E95" i="3"/>
  <c r="E241" i="3"/>
  <c r="E103" i="3"/>
  <c r="E233" i="3"/>
  <c r="E498" i="3"/>
  <c r="E539" i="3"/>
  <c r="E199" i="3"/>
  <c r="R6" i="3"/>
  <c r="E430" i="3"/>
  <c r="E554" i="3"/>
  <c r="E479" i="3"/>
  <c r="E192" i="3"/>
  <c r="E76" i="3"/>
  <c r="E310" i="3"/>
  <c r="E283" i="3"/>
  <c r="M7" i="1"/>
  <c r="O7" i="1" s="1"/>
  <c r="P7" i="1" s="1"/>
  <c r="H26" i="43"/>
  <c r="AB19" i="33"/>
  <c r="AA19" i="33"/>
  <c r="AC15" i="33"/>
  <c r="AA15" i="33"/>
  <c r="S15" i="33"/>
  <c r="J57" i="67"/>
  <c r="J55" i="67" s="1"/>
  <c r="J58" i="67" s="1"/>
  <c r="Q50" i="67" s="1"/>
  <c r="L56" i="67"/>
  <c r="L58" i="67"/>
  <c r="Q60" i="67" s="1"/>
  <c r="I54" i="67"/>
  <c r="J53" i="67"/>
  <c r="Q52" i="67" s="1"/>
  <c r="C28" i="15"/>
  <c r="D67" i="39"/>
  <c r="D69" i="39" s="1"/>
  <c r="E26" i="43"/>
  <c r="G26" i="43"/>
  <c r="N94" i="46"/>
  <c r="J26" i="43"/>
  <c r="N370" i="46"/>
  <c r="E349" i="3"/>
  <c r="E59" i="3"/>
  <c r="E467" i="3"/>
  <c r="E160" i="3"/>
  <c r="E249" i="3"/>
  <c r="E492" i="3"/>
  <c r="E33" i="3"/>
  <c r="E355" i="3"/>
  <c r="E81" i="3"/>
  <c r="E309" i="3"/>
  <c r="E389" i="3"/>
  <c r="E409" i="3"/>
  <c r="E64" i="3"/>
  <c r="E142" i="3"/>
  <c r="E300" i="3"/>
  <c r="E23" i="3"/>
  <c r="E144" i="3"/>
  <c r="E381" i="3"/>
  <c r="E118" i="3"/>
  <c r="E513" i="3"/>
  <c r="E541" i="3"/>
  <c r="I3" i="6"/>
  <c r="E435" i="3"/>
  <c r="E56" i="3"/>
  <c r="E132" i="3"/>
  <c r="E292" i="3"/>
  <c r="E544" i="3"/>
  <c r="E484" i="3"/>
  <c r="E46" i="3"/>
  <c r="E200" i="3"/>
  <c r="E371" i="3"/>
  <c r="E84" i="3"/>
  <c r="E184" i="3"/>
  <c r="E68" i="3"/>
  <c r="E264" i="3"/>
  <c r="E510" i="3"/>
  <c r="E205" i="3"/>
  <c r="E140" i="3"/>
  <c r="E173" i="3"/>
  <c r="E525" i="3"/>
  <c r="T6" i="3"/>
  <c r="E456" i="3"/>
  <c r="E512" i="3"/>
  <c r="E451" i="3"/>
  <c r="E556" i="3"/>
  <c r="E13" i="3"/>
  <c r="E452" i="3"/>
  <c r="E420" i="3"/>
  <c r="E39" i="3"/>
  <c r="E25" i="3"/>
  <c r="E115" i="3"/>
  <c r="E187" i="3"/>
  <c r="E202" i="3"/>
  <c r="E281" i="3"/>
  <c r="E259" i="3"/>
  <c r="E346" i="3"/>
  <c r="E356" i="3"/>
  <c r="E504" i="3"/>
  <c r="E60" i="3"/>
  <c r="E75" i="3"/>
  <c r="E462" i="3"/>
  <c r="E15" i="3"/>
  <c r="E18" i="3"/>
  <c r="E98" i="3"/>
  <c r="E100" i="3"/>
  <c r="E190" i="3"/>
  <c r="E163" i="3"/>
  <c r="E234" i="3"/>
  <c r="E235" i="3"/>
  <c r="E307" i="3"/>
  <c r="E325" i="3"/>
  <c r="E522" i="3"/>
  <c r="E66" i="3"/>
  <c r="E36" i="3"/>
  <c r="E49" i="3"/>
  <c r="E127" i="3"/>
  <c r="E289" i="3"/>
  <c r="E370" i="3"/>
  <c r="Y6" i="3"/>
  <c r="E20" i="3"/>
  <c r="E113" i="3"/>
  <c r="E179" i="3"/>
  <c r="E265" i="3"/>
  <c r="E326" i="3"/>
  <c r="E82" i="3"/>
  <c r="E360" i="3"/>
  <c r="E104" i="3"/>
  <c r="E178" i="3"/>
  <c r="E240" i="3"/>
  <c r="E332" i="3"/>
  <c r="E372" i="3"/>
  <c r="E110" i="3"/>
  <c r="E482" i="3"/>
  <c r="E79" i="3"/>
  <c r="E138" i="3"/>
  <c r="E220" i="3"/>
  <c r="E299" i="3"/>
  <c r="E354" i="3"/>
  <c r="E86" i="3"/>
  <c r="E123" i="3"/>
  <c r="E284" i="3"/>
  <c r="E102" i="3"/>
  <c r="E176" i="3"/>
  <c r="E323" i="3"/>
  <c r="E83" i="3"/>
  <c r="E244" i="3"/>
  <c r="E312" i="3"/>
  <c r="E487" i="3"/>
  <c r="E374" i="3"/>
  <c r="E413" i="3"/>
  <c r="E26" i="3"/>
  <c r="E108" i="3"/>
  <c r="E165" i="3"/>
  <c r="E149" i="3"/>
  <c r="E141" i="3"/>
  <c r="AD6" i="3"/>
  <c r="E552" i="3"/>
  <c r="E464" i="3"/>
  <c r="E398" i="3"/>
  <c r="E459" i="3"/>
  <c r="E566" i="3"/>
  <c r="E582" i="3"/>
  <c r="E460" i="3"/>
  <c r="E436" i="3"/>
  <c r="E40" i="3"/>
  <c r="E41" i="3"/>
  <c r="E131" i="3"/>
  <c r="E119" i="3"/>
  <c r="E225" i="3"/>
  <c r="E297" i="3"/>
  <c r="E276" i="3"/>
  <c r="E391" i="3"/>
  <c r="E375" i="3"/>
  <c r="L6" i="3"/>
  <c r="E94" i="3"/>
  <c r="E488" i="3"/>
  <c r="E473" i="3"/>
  <c r="E412" i="3"/>
  <c r="E47" i="3"/>
  <c r="E38" i="3"/>
  <c r="E129" i="3"/>
  <c r="E195" i="3"/>
  <c r="E194" i="3"/>
  <c r="E275" i="3"/>
  <c r="E266" i="3"/>
  <c r="E339" i="3"/>
  <c r="E342" i="3"/>
  <c r="E584" i="3"/>
  <c r="E52" i="3"/>
  <c r="E34" i="3"/>
  <c r="E87" i="3"/>
  <c r="E147" i="3"/>
  <c r="E251" i="3"/>
  <c r="E341" i="3"/>
  <c r="E50" i="3"/>
  <c r="E80" i="3"/>
  <c r="E154" i="3"/>
  <c r="E218" i="3"/>
  <c r="E308" i="3"/>
  <c r="E373" i="3"/>
  <c r="E101" i="3"/>
  <c r="E296" i="3"/>
  <c r="E197" i="3"/>
  <c r="E369" i="3"/>
  <c r="E534" i="3"/>
  <c r="E405" i="3"/>
  <c r="E469" i="3"/>
  <c r="E408" i="3"/>
  <c r="E497" i="3"/>
  <c r="E494" i="3"/>
  <c r="E470" i="3"/>
  <c r="E463" i="3"/>
  <c r="E57" i="3"/>
  <c r="E139" i="3"/>
  <c r="E226" i="3"/>
  <c r="E378" i="3"/>
  <c r="E42" i="3"/>
  <c r="E540" i="3"/>
  <c r="E446" i="3"/>
  <c r="E78" i="3"/>
  <c r="E137" i="3"/>
  <c r="E209" i="3"/>
  <c r="E383" i="3"/>
  <c r="AQ6" i="3"/>
  <c r="E48" i="3"/>
  <c r="E232" i="3"/>
  <c r="E364" i="3"/>
  <c r="E19" i="3"/>
  <c r="E287" i="3"/>
  <c r="E524" i="3"/>
  <c r="E167" i="3"/>
  <c r="E542" i="3"/>
  <c r="E421" i="3"/>
  <c r="E416" i="3"/>
  <c r="E500" i="3"/>
  <c r="E520" i="3"/>
  <c r="E90" i="3"/>
  <c r="E198" i="3"/>
  <c r="E348" i="3"/>
  <c r="E43" i="3"/>
  <c r="E96" i="3"/>
  <c r="E248" i="3"/>
  <c r="E392" i="3"/>
  <c r="E206" i="3"/>
  <c r="E51" i="3"/>
  <c r="E365" i="3"/>
  <c r="E324" i="3"/>
  <c r="E155" i="3"/>
  <c r="E333" i="3"/>
  <c r="E428" i="3"/>
  <c r="E65" i="3"/>
  <c r="E219" i="3"/>
  <c r="E35" i="3"/>
  <c r="E250" i="3"/>
  <c r="E62" i="3"/>
  <c r="E22" i="3"/>
  <c r="E521" i="3"/>
  <c r="E24" i="3"/>
  <c r="E242" i="3"/>
  <c r="AL6" i="3"/>
  <c r="E170" i="3"/>
  <c r="E340" i="3"/>
  <c r="E243" i="3"/>
  <c r="E58" i="3"/>
  <c r="E455" i="3"/>
  <c r="E174" i="3"/>
  <c r="E386" i="3"/>
  <c r="E112" i="3"/>
  <c r="AF6" i="3"/>
  <c r="E222" i="3"/>
  <c r="E158" i="3"/>
  <c r="C30" i="11"/>
  <c r="C30" i="69"/>
  <c r="C28" i="67"/>
  <c r="D18" i="53"/>
  <c r="B35" i="72" s="1"/>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H6" i="3"/>
  <c r="E58" i="40"/>
  <c r="E62" i="39"/>
  <c r="AY6" i="3"/>
  <c r="E3" i="6"/>
  <c r="M14" i="1"/>
  <c r="D5" i="43"/>
  <c r="D26" i="43"/>
  <c r="C25" i="43" s="1"/>
  <c r="C7" i="43"/>
  <c r="C5" i="43" s="1"/>
  <c r="D10" i="52"/>
  <c r="D125" i="9"/>
  <c r="D11" i="52" s="1"/>
  <c r="B7" i="74"/>
  <c r="C7" i="74" s="1"/>
  <c r="F59" i="67"/>
  <c r="H7" i="37"/>
  <c r="AB7" i="37" s="1"/>
  <c r="T42" i="37" s="1"/>
  <c r="G42" i="37" s="1"/>
  <c r="L36" i="43"/>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C49" i="15"/>
  <c r="J18" i="15"/>
  <c r="M11" i="67"/>
  <c r="F11" i="15"/>
  <c r="M11" i="15"/>
  <c r="J10" i="15" s="1"/>
  <c r="J5" i="15" s="1"/>
  <c r="J24" i="15" s="1"/>
  <c r="F11" i="67"/>
  <c r="C32" i="15"/>
  <c r="Q60" i="15"/>
  <c r="Q73" i="15"/>
  <c r="Q61" i="67"/>
  <c r="Q74" i="67"/>
  <c r="Q74" i="15"/>
  <c r="Q61" i="15"/>
  <c r="AE11" i="1"/>
  <c r="AE9" i="1"/>
  <c r="AE8" i="1"/>
  <c r="AE12" i="1"/>
  <c r="AE10" i="1"/>
  <c r="M28" i="84"/>
  <c r="F40" i="84"/>
  <c r="F6" i="84"/>
  <c r="F8" i="84"/>
  <c r="F38" i="84"/>
  <c r="L47" i="84"/>
  <c r="M23" i="84"/>
  <c r="F7" i="84"/>
  <c r="F26" i="84"/>
  <c r="M26" i="84"/>
  <c r="F42" i="84"/>
  <c r="F9" i="84"/>
  <c r="L48" i="84"/>
  <c r="C76" i="84"/>
  <c r="M29" i="84"/>
  <c r="F37" i="84"/>
  <c r="F16" i="84"/>
  <c r="M22" i="84"/>
  <c r="J15" i="84"/>
  <c r="M6" i="84"/>
  <c r="F13" i="84"/>
  <c r="F43" i="84"/>
  <c r="M8" i="84"/>
  <c r="F36" i="84"/>
  <c r="M24" i="84"/>
  <c r="M9" i="84"/>
  <c r="F1" i="15" l="1"/>
  <c r="Q52" i="15"/>
  <c r="M7" i="84"/>
  <c r="F50" i="84"/>
  <c r="F64" i="84"/>
  <c r="F68" i="84"/>
  <c r="J6" i="84"/>
  <c r="C27" i="84"/>
  <c r="F66" i="84"/>
  <c r="Q71" i="84"/>
  <c r="N59" i="84"/>
  <c r="L58" i="84"/>
  <c r="M59" i="84"/>
  <c r="L59" i="84"/>
  <c r="C6" i="84"/>
  <c r="F51" i="84"/>
  <c r="C49" i="84" s="1"/>
  <c r="C61" i="84" s="1"/>
  <c r="F71" i="84"/>
  <c r="F65" i="84"/>
  <c r="L57" i="84"/>
  <c r="L56" i="84"/>
  <c r="L60" i="84"/>
  <c r="I54" i="84"/>
  <c r="J53" i="84"/>
  <c r="J57" i="84"/>
  <c r="J55" i="84" s="1"/>
  <c r="J58" i="84" s="1"/>
  <c r="Q50" i="84" s="1"/>
  <c r="S7" i="83"/>
  <c r="AA7" i="83"/>
  <c r="AB33" i="83"/>
  <c r="U33" i="83"/>
  <c r="AC6" i="3"/>
  <c r="C19" i="71"/>
  <c r="T20" i="71"/>
  <c r="D20" i="71"/>
  <c r="U20" i="71" s="1"/>
  <c r="H7" i="83"/>
  <c r="I7" i="83"/>
  <c r="J7" i="83" s="1"/>
  <c r="AA33" i="83"/>
  <c r="S33" i="83"/>
  <c r="J10" i="84"/>
  <c r="J5" i="84" s="1"/>
  <c r="J24" i="84" s="1"/>
  <c r="AC33" i="83"/>
  <c r="W33" i="83"/>
  <c r="B11" i="71"/>
  <c r="B10" i="71" s="1"/>
  <c r="B9" i="71" s="1"/>
  <c r="B8" i="71" s="1"/>
  <c r="B7" i="71" s="1"/>
  <c r="B6" i="71" s="1"/>
  <c r="B5" i="71" s="1"/>
  <c r="S12" i="71"/>
  <c r="F1" i="67"/>
  <c r="C53" i="84"/>
  <c r="C10" i="84"/>
  <c r="C5" i="84" s="1"/>
  <c r="K6" i="1"/>
  <c r="C33" i="33"/>
  <c r="E65" i="39"/>
  <c r="Q73" i="67"/>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7" i="37"/>
  <c r="G67" i="39"/>
  <c r="F69" i="39"/>
  <c r="F58" i="21"/>
  <c r="R37" i="36"/>
  <c r="E36" i="36"/>
  <c r="F63" i="40"/>
  <c r="E65" i="40"/>
  <c r="W7" i="33"/>
  <c r="AC7" i="33"/>
  <c r="AA7" i="37"/>
  <c r="R42" i="37" s="1"/>
  <c r="S7" i="37"/>
  <c r="I40" i="36"/>
  <c r="J40" i="36" s="1"/>
  <c r="S7" i="33"/>
  <c r="AA7" i="33"/>
  <c r="R50" i="34"/>
  <c r="E49" i="34"/>
  <c r="G53" i="34"/>
  <c r="H53" i="34" s="1"/>
  <c r="G40" i="36"/>
  <c r="H40" i="36" s="1"/>
  <c r="G41" i="36"/>
  <c r="H41" i="36" s="1"/>
  <c r="G46" i="37"/>
  <c r="H46" i="37" s="1"/>
  <c r="G47" i="37"/>
  <c r="H47" i="37" s="1"/>
  <c r="I46" i="37"/>
  <c r="J46" i="37" s="1"/>
  <c r="G48" i="35"/>
  <c r="U7" i="33"/>
  <c r="AB7" i="33"/>
  <c r="C53" i="67"/>
  <c r="C53" i="15"/>
  <c r="C48" i="15" s="1"/>
  <c r="C66" i="15" s="1"/>
  <c r="C10" i="15"/>
  <c r="C5" i="15" s="1"/>
  <c r="C38" i="15" s="1"/>
  <c r="F25" i="12"/>
  <c r="F22" i="69"/>
  <c r="F41" i="69" s="1"/>
  <c r="F24" i="67"/>
  <c r="C24" i="67" s="1"/>
  <c r="F22" i="11"/>
  <c r="F22" i="68"/>
  <c r="F24" i="15"/>
  <c r="C24" i="15" s="1"/>
  <c r="M27" i="15"/>
  <c r="C16" i="84"/>
  <c r="F43" i="67"/>
  <c r="M27" i="84"/>
  <c r="AE6" i="1"/>
  <c r="M29" i="67"/>
  <c r="F41" i="15"/>
  <c r="F7" i="67"/>
  <c r="C48" i="84" l="1"/>
  <c r="M7" i="67"/>
  <c r="J6" i="67" s="1"/>
  <c r="C6" i="67"/>
  <c r="F50" i="67"/>
  <c r="C49" i="67" s="1"/>
  <c r="C48" i="67" s="1"/>
  <c r="F71" i="67"/>
  <c r="U7" i="83"/>
  <c r="AB7" i="83"/>
  <c r="Q61" i="84"/>
  <c r="Q74" i="84"/>
  <c r="T48" i="83"/>
  <c r="G48" i="83" s="1"/>
  <c r="Q66" i="84"/>
  <c r="Q57" i="84"/>
  <c r="Q73" i="84"/>
  <c r="Q60" i="84"/>
  <c r="AC7" i="83"/>
  <c r="V48" i="83" s="1"/>
  <c r="I48" i="83" s="1"/>
  <c r="W7" i="83"/>
  <c r="C18" i="71"/>
  <c r="D19" i="71"/>
  <c r="R48" i="83"/>
  <c r="F1" i="84"/>
  <c r="Q52" i="84"/>
  <c r="C32" i="84"/>
  <c r="C33" i="84"/>
  <c r="J18" i="84"/>
  <c r="J19" i="84"/>
  <c r="AG6" i="1"/>
  <c r="C66" i="84"/>
  <c r="C60" i="84"/>
  <c r="C38" i="84"/>
  <c r="C25" i="31"/>
  <c r="B22" i="31"/>
  <c r="F33" i="33"/>
  <c r="H33" i="33"/>
  <c r="J33" i="33"/>
  <c r="AP6" i="1"/>
  <c r="C36" i="69" s="1"/>
  <c r="M6" i="1"/>
  <c r="Q16" i="1"/>
  <c r="G16" i="1"/>
  <c r="K16" i="1"/>
  <c r="H16" i="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D10" i="69"/>
  <c r="C34" i="69"/>
  <c r="D10" i="68"/>
  <c r="C17" i="84"/>
  <c r="C16" i="67"/>
  <c r="M27" i="67"/>
  <c r="AE7" i="1"/>
  <c r="C14" i="84"/>
  <c r="C17" i="15"/>
  <c r="C14" i="67"/>
  <c r="C17" i="67"/>
  <c r="F41" i="67"/>
  <c r="C18" i="84" l="1"/>
  <c r="C15" i="84"/>
  <c r="C19" i="84" s="1"/>
  <c r="C60" i="67"/>
  <c r="C66" i="67"/>
  <c r="I52" i="83"/>
  <c r="J52" i="83" s="1"/>
  <c r="M19" i="9"/>
  <c r="C118" i="9" s="1"/>
  <c r="B2" i="74" s="1"/>
  <c r="E7" i="70"/>
  <c r="G52" i="83"/>
  <c r="H52" i="83" s="1"/>
  <c r="G53" i="83"/>
  <c r="H53" i="83" s="1"/>
  <c r="C17" i="71"/>
  <c r="D18" i="71"/>
  <c r="C32" i="67"/>
  <c r="C10" i="67"/>
  <c r="C5" i="67" s="1"/>
  <c r="C38" i="67" s="1"/>
  <c r="R49" i="83"/>
  <c r="E48" i="83"/>
  <c r="I53" i="83" s="1"/>
  <c r="J53" i="83" s="1"/>
  <c r="M19" i="85"/>
  <c r="C118" i="85" s="1"/>
  <c r="L19" i="85"/>
  <c r="S20" i="6"/>
  <c r="L18" i="85"/>
  <c r="J18" i="67"/>
  <c r="J10" i="67"/>
  <c r="J5" i="67" s="1"/>
  <c r="J24" i="67" s="1"/>
  <c r="F69" i="67"/>
  <c r="O6" i="1"/>
  <c r="O16" i="1" s="1"/>
  <c r="M16" i="1"/>
  <c r="S33" i="33"/>
  <c r="AA33" i="33"/>
  <c r="R48" i="33" s="1"/>
  <c r="F10" i="39"/>
  <c r="F10" i="40"/>
  <c r="H10" i="39"/>
  <c r="H10" i="40"/>
  <c r="J10" i="39"/>
  <c r="J10" i="40"/>
  <c r="AC33" i="33"/>
  <c r="W33" i="33"/>
  <c r="F27" i="69"/>
  <c r="F27" i="68"/>
  <c r="F27" i="11"/>
  <c r="C28" i="11" s="1"/>
  <c r="C27" i="11" s="1"/>
  <c r="F28" i="12"/>
  <c r="C29" i="12" s="1"/>
  <c r="D28" i="12" s="1"/>
  <c r="AB33" i="33"/>
  <c r="T48" i="33" s="1"/>
  <c r="G48" i="33" s="1"/>
  <c r="U33" i="33"/>
  <c r="C18" i="67"/>
  <c r="C15" i="67"/>
  <c r="H23" i="6"/>
  <c r="C30" i="43"/>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C33" i="15"/>
  <c r="C22" i="11"/>
  <c r="C33" i="67"/>
  <c r="J19" i="67"/>
  <c r="C34" i="68"/>
  <c r="F41" i="84"/>
  <c r="C14" i="15"/>
  <c r="E6" i="76"/>
  <c r="B6" i="76"/>
  <c r="F69" i="84" l="1"/>
  <c r="C20" i="84"/>
  <c r="C26" i="84" s="1"/>
  <c r="C23" i="84"/>
  <c r="C29" i="84" s="1"/>
  <c r="E52" i="83"/>
  <c r="F52" i="83" s="1"/>
  <c r="E53" i="83"/>
  <c r="F53" i="83" s="1"/>
  <c r="C48" i="83"/>
  <c r="C49" i="83"/>
  <c r="C16" i="71"/>
  <c r="D17" i="71"/>
  <c r="C47" i="68"/>
  <c r="D45" i="68" s="1"/>
  <c r="C29" i="68"/>
  <c r="D27" i="68" s="1"/>
  <c r="F45" i="68"/>
  <c r="AB10" i="40"/>
  <c r="U10" i="40"/>
  <c r="E48" i="33"/>
  <c r="G52" i="33"/>
  <c r="H52" i="33" s="1"/>
  <c r="C47" i="69"/>
  <c r="D45" i="69" s="1"/>
  <c r="C29" i="69"/>
  <c r="D27" i="69" s="1"/>
  <c r="F45" i="69"/>
  <c r="U10" i="39"/>
  <c r="AB10" i="39"/>
  <c r="AC10" i="40"/>
  <c r="W10" i="40"/>
  <c r="S10" i="40"/>
  <c r="AA10" i="40"/>
  <c r="N16" i="1"/>
  <c r="L16" i="1"/>
  <c r="C29" i="11"/>
  <c r="D27" i="11" s="1"/>
  <c r="C31" i="11" s="1"/>
  <c r="C47" i="11"/>
  <c r="D45" i="11" s="1"/>
  <c r="W10" i="39"/>
  <c r="AC10" i="39"/>
  <c r="AA10" i="39"/>
  <c r="S10" i="39"/>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5" i="71" l="1"/>
  <c r="M23" i="43"/>
  <c r="T16" i="71"/>
  <c r="D16" i="71"/>
  <c r="U16" i="71" s="1"/>
  <c r="B2" i="83"/>
  <c r="B3" i="83"/>
  <c r="C36" i="84"/>
  <c r="Q49" i="84"/>
  <c r="C57" i="84"/>
  <c r="C64" i="84" s="1"/>
  <c r="C13" i="84"/>
  <c r="J14" i="84"/>
  <c r="J59" i="84"/>
  <c r="J60" i="84" s="1"/>
  <c r="F50" i="11"/>
  <c r="F50" i="68"/>
  <c r="F50" i="69"/>
  <c r="E52" i="33"/>
  <c r="F52" i="33" s="1"/>
  <c r="E53" i="33"/>
  <c r="F53" i="33"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9" i="85"/>
  <c r="C20" i="85"/>
  <c r="C103" i="85" l="1"/>
  <c r="C102" i="85"/>
  <c r="C21" i="85"/>
  <c r="J13" i="84"/>
  <c r="J23" i="84" s="1"/>
  <c r="J22" i="84"/>
  <c r="Q70" i="84"/>
  <c r="C37" i="84"/>
  <c r="C56" i="84"/>
  <c r="C65" i="84" s="1"/>
  <c r="C75" i="84"/>
  <c r="Q48" i="84"/>
  <c r="L46" i="84"/>
  <c r="C14" i="71"/>
  <c r="D15"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84"/>
  <c r="M21" i="67"/>
  <c r="F35" i="15"/>
  <c r="M21" i="15"/>
  <c r="M21" i="84"/>
  <c r="C13" i="71" l="1"/>
  <c r="D14" i="71"/>
  <c r="J20" i="84"/>
  <c r="J17" i="84" s="1"/>
  <c r="J16" i="84" s="1"/>
  <c r="J25" i="84" s="1"/>
  <c r="F63" i="84"/>
  <c r="C62" i="84" s="1"/>
  <c r="C59" i="84" s="1"/>
  <c r="C58" i="84" s="1"/>
  <c r="C67" i="84" s="1"/>
  <c r="C68" i="84" s="1"/>
  <c r="C34" i="84"/>
  <c r="C31" i="84" s="1"/>
  <c r="C30" i="84" s="1"/>
  <c r="C39" i="84"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40" i="84"/>
  <c r="C45" i="84" s="1"/>
  <c r="C46" i="84" s="1"/>
  <c r="Q69" i="84"/>
  <c r="Q68" i="84" s="1"/>
  <c r="H41" i="84"/>
  <c r="C80" i="84"/>
  <c r="C79" i="84" s="1"/>
  <c r="C71" i="84"/>
  <c r="N25" i="84"/>
  <c r="J26" i="84"/>
  <c r="J29" i="84" s="1"/>
  <c r="C58" i="67"/>
  <c r="C67" i="67" s="1"/>
  <c r="C68" i="67" s="1"/>
  <c r="C71" i="67" s="1"/>
  <c r="J16" i="67"/>
  <c r="J25"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4"/>
  <c r="D2" i="21"/>
  <c r="C11" i="71" l="1"/>
  <c r="T12" i="71"/>
  <c r="D12" i="71"/>
  <c r="U12" i="71" s="1"/>
  <c r="Q67" i="84"/>
  <c r="D2" i="84"/>
  <c r="Q65" i="84"/>
  <c r="Q75" i="84" s="1"/>
  <c r="Q47" i="84"/>
  <c r="Q53" i="84" s="1"/>
  <c r="C43" i="84"/>
  <c r="Q56" i="84"/>
  <c r="Q62" i="84" s="1"/>
  <c r="C83" i="84"/>
  <c r="C82" i="84" s="1"/>
  <c r="J26" i="67"/>
  <c r="J29" i="67" s="1"/>
  <c r="N25" i="67"/>
  <c r="Q69" i="67"/>
  <c r="Q68" i="67" s="1"/>
  <c r="H41"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0" i="71" l="1"/>
  <c r="D11" i="71"/>
  <c r="B3" i="84"/>
  <c r="B2" i="84"/>
  <c r="L57" i="67"/>
  <c r="L60" i="67" s="1"/>
  <c r="L46" i="67" s="1"/>
  <c r="D2" i="67" s="1"/>
  <c r="B2" i="67" s="1"/>
  <c r="Q67" i="67"/>
  <c r="Q65" i="67"/>
  <c r="C83" i="67"/>
  <c r="C82" i="67" s="1"/>
  <c r="Q47" i="67"/>
  <c r="Q53" i="67" s="1"/>
  <c r="C46" i="67"/>
  <c r="Q56" i="67"/>
  <c r="C43" i="67"/>
  <c r="C80" i="15"/>
  <c r="C79" i="15" s="1"/>
  <c r="C40" i="15"/>
  <c r="C46" i="15" s="1"/>
  <c r="H7" i="39"/>
  <c r="J7" i="39"/>
  <c r="S7" i="39"/>
  <c r="AA7" i="39"/>
  <c r="R47" i="39" s="1"/>
  <c r="O63" i="40"/>
  <c r="O65" i="40" s="1"/>
  <c r="N65" i="40"/>
  <c r="D2" i="37"/>
  <c r="D19" i="9"/>
  <c r="D19" i="85"/>
  <c r="D2" i="35"/>
  <c r="D2" i="36"/>
  <c r="L51" i="15"/>
  <c r="D2" i="34"/>
  <c r="C9" i="71" l="1"/>
  <c r="D10" i="71"/>
  <c r="D21" i="85"/>
  <c r="D102" i="85"/>
  <c r="D22" i="85"/>
  <c r="G19" i="85"/>
  <c r="G21" i="85" s="1"/>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6" i="1"/>
  <c r="D20" i="9"/>
  <c r="AO11" i="1"/>
  <c r="AO8" i="1"/>
  <c r="AO9" i="1"/>
  <c r="D20" i="85"/>
  <c r="AO12" i="1"/>
  <c r="C8" i="71" l="1"/>
  <c r="D9" i="71"/>
  <c r="D103" i="85"/>
  <c r="G20" i="85"/>
  <c r="E34" i="74"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C32" i="85"/>
  <c r="D35" i="85" s="1"/>
  <c r="I118" i="85"/>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D34" i="85"/>
  <c r="C105" i="85"/>
  <c r="H118" i="85"/>
  <c r="H102" i="85"/>
  <c r="E14" i="74" s="1"/>
  <c r="C34" i="9"/>
  <c r="C42" i="40"/>
  <c r="C43" i="40"/>
  <c r="E47" i="40"/>
  <c r="F47" i="40" s="1"/>
  <c r="E46" i="40"/>
  <c r="F46" i="40" s="1"/>
  <c r="I47" i="40"/>
  <c r="J47" i="40" s="1"/>
  <c r="D6" i="71" l="1"/>
  <c r="C5" i="71"/>
  <c r="D5" i="71" s="1"/>
  <c r="M24" i="43" s="1"/>
  <c r="H119" i="85"/>
  <c r="H101" i="85"/>
  <c r="C104" i="85"/>
  <c r="B58" i="40"/>
  <c r="F58" i="40" s="1"/>
  <c r="B54" i="40"/>
  <c r="F54" i="40" s="1"/>
  <c r="B53" i="40"/>
  <c r="F53" i="40" s="1"/>
  <c r="B59" i="40"/>
  <c r="F59" i="40" s="1"/>
  <c r="B52" i="40"/>
  <c r="F52" i="40" s="1"/>
  <c r="B56" i="40"/>
  <c r="F56" i="40" s="1"/>
  <c r="B60" i="40"/>
  <c r="F60" i="40" s="1"/>
  <c r="B57" i="40"/>
  <c r="F57" i="40" s="1"/>
  <c r="B51" i="40"/>
  <c r="F51" i="40" s="1"/>
  <c r="F61" i="40"/>
  <c r="B2" i="40" s="1"/>
  <c r="B3" i="40" s="1"/>
  <c r="D34" i="74" l="1"/>
  <c r="D14" i="74"/>
  <c r="M48" i="85"/>
  <c r="D45" i="85"/>
  <c r="H107" i="85"/>
  <c r="B6" i="74"/>
  <c r="D6" i="74" s="1"/>
  <c r="D122" i="85" l="1"/>
  <c r="D123" i="85" s="1"/>
  <c r="H108" i="85"/>
  <c r="M49" i="85"/>
  <c r="C72" i="85"/>
  <c r="C64" i="85"/>
  <c r="C63" i="85" s="1"/>
  <c r="C67" i="85" s="1"/>
  <c r="D53" i="85"/>
  <c r="C78" i="85"/>
  <c r="C73" i="85" s="1"/>
  <c r="D52" i="85"/>
  <c r="C93" i="85"/>
  <c r="C86" i="85" s="1"/>
  <c r="C85" i="85"/>
  <c r="D55" i="85"/>
  <c r="M53" i="85" s="1"/>
  <c r="G118" i="9"/>
  <c r="F118" i="9" s="1"/>
  <c r="C79" i="85" l="1"/>
  <c r="C80" i="85" s="1"/>
  <c r="E80" i="85" s="1"/>
  <c r="E81" i="85" s="1"/>
  <c r="C95" i="85"/>
  <c r="C96" i="85" s="1"/>
  <c r="E96" i="85" s="1"/>
  <c r="E97" i="85" s="1"/>
  <c r="D59" i="85"/>
  <c r="M55" i="85" s="1"/>
  <c r="C68" i="85"/>
  <c r="D54" i="85" s="1"/>
  <c r="L66" i="85"/>
  <c r="M66" i="85" s="1"/>
  <c r="L64" i="85"/>
  <c r="M64" i="85" s="1"/>
  <c r="L68" i="85"/>
  <c r="M68" i="85" s="1"/>
  <c r="L67" i="85"/>
  <c r="M67" i="85" s="1"/>
  <c r="L65" i="85"/>
  <c r="M65" i="85" s="1"/>
  <c r="L63" i="85"/>
  <c r="M63" i="85" s="1"/>
  <c r="F119" i="9"/>
  <c r="F5" i="52" s="1"/>
  <c r="B53" i="72" s="1"/>
  <c r="F4" i="52"/>
  <c r="B51" i="72" s="1"/>
  <c r="G4" i="52"/>
  <c r="B52" i="72" s="1"/>
  <c r="E118" i="9"/>
  <c r="M69" i="85" l="1"/>
  <c r="N69" i="85" s="1"/>
  <c r="C81" i="85"/>
  <c r="C97" i="85"/>
  <c r="D58" i="85" s="1"/>
  <c r="D56" i="85" s="1"/>
  <c r="M54" i="85" s="1"/>
  <c r="N57" i="85" s="1"/>
  <c r="E4" i="52"/>
  <c r="B48" i="72" s="1"/>
  <c r="D118" i="9"/>
  <c r="N58" i="85" l="1"/>
  <c r="P57" i="85"/>
  <c r="N59" i="85"/>
  <c r="D4" i="52"/>
  <c r="B47" i="72" s="1"/>
  <c r="D119" i="9"/>
  <c r="D5" i="52" s="1"/>
  <c r="B49" i="72" s="1"/>
  <c r="N61" i="85" l="1"/>
  <c r="N60" i="85"/>
  <c r="I54" i="33"/>
  <c r="J54" i="33" s="1"/>
  <c r="G54" i="33"/>
  <c r="H54" i="33" s="1"/>
  <c r="V47" i="33"/>
  <c r="V48" i="33" s="1"/>
  <c r="I48" i="33" l="1"/>
  <c r="R49" i="33"/>
  <c r="C48" i="33" l="1"/>
  <c r="C49" i="33"/>
  <c r="I52" i="33"/>
  <c r="J52" i="33" s="1"/>
  <c r="G53" i="33"/>
  <c r="H53" i="33" s="1"/>
  <c r="I53" i="33"/>
  <c r="J53" i="33" s="1"/>
  <c r="B2" i="33" l="1"/>
  <c r="B3" i="33"/>
  <c r="C20" i="9"/>
  <c r="C19" i="9"/>
  <c r="C103" i="9" l="1"/>
  <c r="G20" i="9"/>
  <c r="C21" i="9"/>
  <c r="C102" i="9"/>
  <c r="G19" i="9"/>
  <c r="G21" i="9" s="1"/>
  <c r="D22" i="9"/>
  <c r="C32" i="9" l="1"/>
  <c r="D34" i="9" s="1"/>
  <c r="D35" i="9"/>
  <c r="I118" i="9"/>
  <c r="I4" i="52" l="1"/>
  <c r="H118" i="9"/>
  <c r="C105" i="9"/>
  <c r="H102" i="9"/>
  <c r="R24" i="31" l="1"/>
  <c r="D7" i="53"/>
  <c r="B21" i="72" s="1"/>
  <c r="H119" i="9"/>
  <c r="H5" i="52" s="1"/>
  <c r="H101" i="9"/>
  <c r="C104" i="9"/>
  <c r="H4" i="52"/>
  <c r="R25" i="31" l="1"/>
  <c r="S25" i="31" s="1"/>
  <c r="S24" i="31"/>
  <c r="D45" i="9"/>
  <c r="H107" i="9"/>
  <c r="M48" i="9"/>
  <c r="D5" i="53"/>
  <c r="S22" i="31" l="1"/>
  <c r="R22" i="31" s="1"/>
  <c r="D6" i="53"/>
  <c r="B22" i="72" s="1"/>
  <c r="B20" i="72"/>
  <c r="H108" i="9"/>
  <c r="D122" i="9"/>
  <c r="M49" i="9"/>
  <c r="D13" i="53"/>
  <c r="C93" i="9"/>
  <c r="C86" i="9" s="1"/>
  <c r="D55" i="9"/>
  <c r="M53" i="9" s="1"/>
  <c r="D53" i="9"/>
  <c r="C64" i="9"/>
  <c r="C63" i="9" s="1"/>
  <c r="C67" i="9" s="1"/>
  <c r="C72" i="9"/>
  <c r="C85" i="9"/>
  <c r="D52" i="9"/>
  <c r="C78" i="9"/>
  <c r="C73" i="9" s="1"/>
  <c r="B5" i="74"/>
  <c r="F14" i="74"/>
  <c r="C79" i="9" l="1"/>
  <c r="B20" i="31"/>
  <c r="B21" i="31" s="1"/>
  <c r="C5" i="74"/>
  <c r="D5" i="74"/>
  <c r="C80" i="9"/>
  <c r="E80" i="9" s="1"/>
  <c r="E81" i="9" s="1"/>
  <c r="C68" i="9"/>
  <c r="D54" i="9" s="1"/>
  <c r="D59" i="9"/>
  <c r="M55" i="9" s="1"/>
  <c r="D14" i="53"/>
  <c r="B32" i="72" s="1"/>
  <c r="B30" i="72"/>
  <c r="C6" i="74"/>
  <c r="D15" i="53"/>
  <c r="B31" i="72" s="1"/>
  <c r="L68" i="9"/>
  <c r="M68" i="9" s="1"/>
  <c r="L63" i="9"/>
  <c r="M63" i="9" s="1"/>
  <c r="L65" i="9"/>
  <c r="M65" i="9" s="1"/>
  <c r="L64" i="9"/>
  <c r="M64" i="9" s="1"/>
  <c r="L67" i="9"/>
  <c r="M67" i="9" s="1"/>
  <c r="L66" i="9"/>
  <c r="M66" i="9" s="1"/>
  <c r="C95" i="9"/>
  <c r="D8" i="52"/>
  <c r="D123" i="9"/>
  <c r="D9" i="52" s="1"/>
  <c r="M69" i="9" l="1"/>
  <c r="N69" i="9" s="1"/>
  <c r="C81" i="9"/>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<sst xmlns="http://schemas.openxmlformats.org/spreadsheetml/2006/main" count="9290" uniqueCount="3571">
  <si>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</si>
  <si>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</si>
  <si>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</si>
  <si>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</si>
  <si>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</si>
  <si>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</si>
  <si>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</si>
  <si>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</si>
  <si>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</si>
  <si>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</si>
  <si>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</si>
  <si>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</si>
  <si>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</si>
  <si>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</si>
  <si>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</si>
  <si>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</si>
  <si>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</si>
  <si>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</si>
  <si>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</si>
  <si>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</si>
  <si>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</si>
  <si>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</si>
  <si>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</si>
  <si>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</si>
  <si>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</si>
  <si>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</si>
  <si>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</si>
  <si>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</si>
  <si>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</si>
  <si>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</si>
  <si>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</si>
  <si>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</si>
  <si>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</si>
  <si>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</si>
  <si>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</si>
  <si>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</si>
  <si>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</si>
  <si>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</si>
  <si>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</si>
  <si>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</si>
  <si>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</si>
  <si>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</si>
  <si>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</si>
  <si>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</si>
  <si>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</si>
  <si>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</si>
  <si>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</si>
  <si>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</si>
  <si>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</si>
  <si>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</si>
  <si>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</si>
  <si>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</si>
  <si>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</si>
  <si>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</si>
  <si>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</si>
  <si>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</si>
  <si>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</si>
  <si>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</si>
  <si>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</si>
  <si>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</si>
  <si>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</si>
  <si>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</si>
  <si>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</si>
  <si>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</si>
  <si>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</si>
  <si>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</si>
  <si>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</si>
  <si>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</si>
  <si>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</si>
  <si>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</si>
  <si>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</si>
  <si>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</si>
  <si>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</si>
  <si>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</si>
  <si>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</si>
  <si>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</si>
  <si>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</si>
  <si>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</si>
  <si>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</si>
  <si>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</si>
  <si>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</si>
  <si>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</si>
  <si>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</si>
  <si>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</si>
  <si>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</si>
  <si>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</si>
  <si>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</si>
  <si>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</si>
  <si>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</si>
  <si>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</si>
  <si>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</si>
  <si>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</si>
  <si>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</si>
  <si>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</si>
  <si>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</si>
  <si>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</si>
  <si>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</si>
  <si>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</si>
  <si>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</si>
  <si>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</si>
  <si>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</si>
  <si>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</si>
  <si>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</si>
  <si>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</si>
  <si>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</si>
  <si>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</si>
  <si>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</si>
  <si>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</si>
  <si>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</si>
  <si>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</si>
  <si>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</si>
  <si>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</si>
  <si>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</si>
  <si>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</si>
  <si>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</si>
  <si>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</si>
  <si>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</si>
  <si>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</si>
  <si>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</si>
  <si>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</si>
  <si>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</si>
  <si>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</si>
  <si>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</si>
  <si>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</si>
  <si>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</si>
  <si>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</si>
  <si>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</si>
  <si>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</si>
  <si>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</si>
  <si>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</si>
  <si>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</si>
  <si>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</si>
  <si>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</si>
  <si>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</si>
  <si>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</si>
  <si>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</si>
  <si>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</si>
  <si>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</si>
  <si>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</si>
  <si>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</si>
  <si>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</si>
  <si>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</si>
  <si>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</si>
  <si>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</si>
  <si>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</si>
  <si>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</si>
  <si>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</si>
  <si>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</si>
  <si>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</si>
  <si>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</si>
  <si>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</si>
  <si>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</si>
  <si>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</si>
  <si>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</si>
  <si>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</si>
  <si>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</si>
  <si>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</si>
  <si>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</si>
  <si>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</si>
  <si>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</si>
  <si>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</si>
  <si>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</si>
  <si>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</si>
  <si>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</si>
  <si>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</si>
  <si>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</si>
  <si>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</si>
  <si>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</si>
  <si>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</si>
  <si>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</si>
  <si>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</si>
  <si>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</si>
  <si>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</si>
  <si>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</si>
  <si>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</si>
  <si>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</si>
  <si>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</si>
  <si>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</si>
  <si>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</si>
  <si>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</si>
  <si>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</si>
  <si>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</si>
  <si>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</si>
  <si>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</si>
  <si>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</si>
  <si>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</si>
  <si>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</si>
  <si>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</si>
  <si>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</si>
  <si>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</si>
  <si>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</si>
  <si>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</si>
  <si>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</si>
  <si>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</si>
  <si>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</si>
  <si>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</si>
  <si>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</si>
  <si>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</si>
  <si>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</si>
  <si>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</si>
  <si>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</si>
  <si>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</si>
  <si>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</si>
  <si>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</si>
  <si>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</si>
  <si>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</si>
  <si>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</si>
  <si>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</si>
  <si>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</si>
  <si>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</si>
  <si>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</si>
  <si>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</si>
  <si>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</si>
  <si>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</si>
  <si>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</si>
  <si>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</si>
  <si>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</si>
  <si>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</si>
  <si>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</si>
  <si>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</si>
  <si>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</si>
  <si>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</si>
  <si>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</si>
  <si>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</si>
  <si>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</si>
  <si>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</si>
  <si>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</si>
  <si>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</si>
  <si>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</si>
  <si>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</si>
  <si>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</si>
  <si>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</si>
  <si>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</si>
  <si>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</si>
  <si>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</si>
  <si>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</si>
  <si>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</si>
  <si>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</si>
  <si>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</si>
  <si>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</si>
  <si>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</si>
  <si>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</si>
  <si>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</si>
  <si>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</si>
  <si>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</si>
  <si>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</si>
  <si>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</si>
  <si>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</si>
  <si>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</si>
  <si>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</si>
  <si>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</si>
  <si>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</si>
  <si>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</si>
  <si>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</si>
  <si>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</si>
  <si>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</si>
  <si>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</si>
  <si>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</si>
  <si>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</si>
  <si>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</si>
  <si>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</si>
  <si>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</si>
  <si>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</si>
  <si>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</si>
  <si>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</si>
  <si>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</si>
  <si>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</si>
  <si>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</si>
  <si>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</si>
  <si>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</si>
  <si>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</si>
  <si>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</si>
  <si>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</si>
  <si>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</si>
  <si>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</si>
  <si>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</si>
  <si>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</si>
  <si>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</si>
  <si>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</si>
  <si>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</si>
  <si>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</si>
  <si>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</si>
  <si>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</si>
  <si>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</si>
  <si>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</si>
  <si>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</si>
  <si>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</si>
  <si>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</si>
  <si>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</si>
  <si>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</si>
  <si>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</si>
  <si>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</si>
  <si>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</si>
  <si>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</si>
  <si>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</si>
  <si>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</si>
  <si>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</si>
  <si>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</si>
  <si>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</si>
  <si>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</si>
  <si>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</si>
  <si>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</si>
  <si>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</si>
  <si>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</si>
  <si>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</si>
  <si>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</si>
  <si>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</si>
  <si>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</si>
  <si>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</si>
  <si>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</si>
  <si>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</si>
  <si>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</si>
  <si>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</si>
  <si>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</si>
  <si>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</si>
  <si>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</si>
  <si>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</si>
  <si>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</si>
  <si>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</si>
  <si>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</si>
  <si>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</si>
  <si>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</si>
  <si>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</si>
  <si>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</si>
  <si>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</si>
  <si>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</si>
  <si>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</si>
  <si>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</si>
  <si>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</si>
  <si>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</si>
  <si>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</si>
  <si>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</si>
  <si>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</si>
  <si>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</si>
  <si>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</si>
  <si>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</si>
  <si>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</si>
  <si>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</si>
  <si>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</si>
  <si>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</si>
  <si>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</si>
  <si>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</si>
  <si>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</si>
  <si>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</si>
  <si>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</si>
  <si>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</si>
  <si>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</si>
  <si>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</si>
  <si>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</si>
  <si>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</si>
  <si>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</si>
  <si>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</si>
  <si>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</si>
  <si>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</si>
  <si>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</si>
  <si>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</si>
  <si>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</si>
  <si>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</si>
  <si>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</si>
  <si>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</si>
  <si>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</si>
  <si>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</si>
  <si>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</si>
  <si>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</si>
  <si>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</si>
  <si>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</si>
  <si>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</si>
  <si>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</si>
  <si>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</si>
  <si>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</si>
  <si>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</si>
  <si>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</si>
  <si>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</si>
  <si>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</si>
  <si>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</si>
  <si>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</si>
  <si>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</si>
  <si>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</si>
  <si>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</si>
  <si>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</si>
  <si>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</si>
  <si>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</si>
  <si>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</si>
  <si>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</si>
  <si>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</si>
  <si>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</si>
  <si>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</si>
  <si>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</si>
  <si>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</si>
  <si>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</si>
  <si>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</si>
  <si>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</si>
  <si>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</si>
  <si>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</si>
  <si>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</si>
  <si>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</si>
  <si>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</si>
  <si>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</si>
  <si>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</si>
  <si>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</si>
  <si>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</si>
  <si>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</si>
  <si>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</si>
  <si>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</si>
  <si>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</si>
  <si>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</si>
  <si>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</si>
  <si>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</si>
  <si>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</si>
  <si>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</si>
  <si>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</si>
  <si>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</si>
  <si>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</si>
  <si>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</si>
  <si>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</si>
  <si>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</si>
  <si>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</si>
  <si>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</si>
  <si>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</si>
  <si>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</si>
  <si>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</si>
  <si>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</si>
  <si>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</si>
  <si>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</si>
  <si>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</si>
  <si>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</si>
  <si>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</si>
  <si>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</si>
  <si>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</si>
  <si>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</si>
  <si>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</si>
  <si>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</si>
  <si>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</si>
  <si>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</si>
  <si>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</si>
  <si>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</si>
  <si>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</si>
  <si>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</si>
  <si>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</si>
  <si>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</si>
  <si>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</si>
  <si>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</si>
  <si>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</si>
  <si>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</si>
  <si>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</si>
  <si>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</si>
  <si>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</si>
  <si>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</si>
  <si>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</si>
  <si>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</si>
  <si>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</si>
  <si>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</si>
  <si>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</si>
  <si>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</si>
  <si>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</si>
  <si>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</si>
  <si>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</si>
  <si>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</si>
  <si>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</si>
  <si>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</si>
  <si>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</si>
  <si>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</si>
  <si>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</si>
  <si>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</si>
  <si>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</si>
  <si>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</si>
  <si>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</si>
  <si>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</si>
  <si>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</si>
  <si>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</si>
  <si>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</si>
  <si>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</si>
  <si>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</si>
  <si>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</si>
  <si>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</si>
  <si>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</si>
  <si>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</si>
  <si>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</si>
  <si>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</si>
  <si>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</si>
  <si>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</si>
  <si>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</si>
  <si>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</si>
  <si>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</si>
  <si>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</si>
  <si>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</si>
  <si>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</si>
  <si>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</si>
  <si>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</si>
  <si>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</si>
  <si>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</si>
  <si>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</si>
  <si>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</si>
  <si>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</si>
  <si>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</si>
  <si>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</si>
  <si>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</si>
  <si>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</si>
  <si>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</si>
  <si>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</si>
  <si>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</si>
  <si>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</si>
  <si>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</si>
  <si>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</si>
  <si>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</si>
  <si>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</si>
  <si>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</si>
  <si>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</si>
  <si>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</si>
  <si>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</si>
  <si>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</si>
  <si>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</si>
  <si>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</si>
  <si>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</si>
  <si>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</si>
  <si>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</si>
  <si>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</si>
  <si>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</si>
  <si>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</si>
  <si>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</si>
  <si>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</si>
  <si>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</si>
  <si>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</si>
  <si>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</si>
  <si>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</si>
  <si>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</si>
  <si>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</si>
  <si>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</si>
  <si>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</si>
  <si>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</si>
  <si>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</si>
  <si>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</si>
  <si>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</si>
  <si>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</si>
  <si>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</si>
  <si>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</si>
  <si>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</si>
  <si>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</si>
  <si>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</si>
  <si>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</si>
  <si>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</si>
  <si>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</si>
  <si>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</si>
  <si>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</si>
  <si>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</si>
  <si>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</si>
  <si>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</si>
  <si>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</si>
  <si>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</si>
  <si>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</si>
  <si>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</si>
  <si>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</si>
  <si>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</si>
  <si>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</si>
  <si>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</si>
  <si>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</si>
  <si>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</si>
  <si>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</si>
  <si>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</si>
  <si>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</si>
  <si>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</si>
  <si>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</si>
  <si>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</si>
  <si>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</si>
  <si>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</si>
  <si>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</si>
  <si>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</si>
  <si>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</si>
  <si>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</si>
  <si>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</si>
  <si>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</si>
  <si>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</si>
  <si>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</si>
  <si>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</si>
  <si>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</si>
  <si>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</si>
  <si>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</si>
  <si>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</si>
  <si>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</si>
  <si>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</si>
  <si>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</si>
  <si>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</si>
  <si>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</si>
  <si>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</si>
  <si>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</si>
  <si>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</si>
  <si>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</si>
  <si>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</si>
  <si>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</si>
  <si>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</si>
  <si>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</si>
  <si>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</si>
  <si>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</si>
  <si>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</si>
  <si>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</si>
  <si>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</si>
  <si>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</si>
  <si>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</si>
  <si>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</si>
  <si>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</si>
  <si>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</si>
  <si>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</si>
  <si>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</si>
  <si>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</si>
  <si>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</si>
  <si>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</si>
  <si>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</si>
  <si>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</si>
  <si>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</si>
  <si>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</si>
  <si>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</si>
  <si>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</si>
  <si>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</si>
  <si>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</si>
  <si>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</si>
  <si>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</si>
  <si>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</si>
  <si>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</si>
  <si>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</si>
  <si>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</si>
  <si>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</si>
  <si>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</si>
  <si>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</si>
  <si>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</si>
  <si>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</si>
  <si>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</si>
  <si>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</si>
  <si>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</si>
  <si>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</si>
  <si>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</si>
  <si>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</si>
  <si>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</si>
  <si>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</si>
  <si>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</si>
  <si>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</si>
  <si>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</si>
  <si>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</si>
  <si>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</si>
  <si>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</si>
  <si>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</si>
  <si>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</si>
  <si>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</si>
  <si>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</si>
  <si>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</si>
  <si>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</si>
  <si>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</si>
  <si>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</si>
  <si>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</si>
  <si>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</si>
  <si>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</si>
  <si>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</si>
  <si>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</si>
  <si>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</si>
  <si>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</si>
  <si>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</si>
  <si>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</si>
  <si>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</si>
  <si>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</si>
  <si>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</si>
  <si>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</si>
  <si>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</si>
  <si>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</si>
  <si>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</si>
  <si>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</si>
  <si>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</si>
  <si>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</si>
  <si>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</si>
  <si>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</si>
  <si>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</si>
  <si>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</si>
  <si>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</si>
  <si>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</si>
  <si>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</si>
  <si>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</si>
  <si>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</si>
  <si>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</si>
  <si>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</si>
  <si>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</si>
  <si>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</si>
  <si>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</si>
  <si>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</si>
  <si>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</si>
  <si>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</si>
  <si>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</si>
  <si>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</si>
  <si>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</si>
  <si>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</si>
  <si>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</si>
  <si>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</si>
  <si>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</si>
  <si>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</si>
  <si>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</si>
  <si>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</si>
  <si>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</si>
  <si>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</si>
  <si>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</si>
  <si>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</si>
  <si>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</si>
  <si>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</si>
  <si>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</si>
  <si>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</si>
  <si>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</si>
  <si>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</si>
  <si>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</si>
  <si>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</si>
  <si>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</si>
  <si>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</si>
  <si>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</si>
  <si>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</si>
  <si>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</si>
  <si>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</si>
  <si>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</si>
  <si>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</si>
  <si>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</si>
  <si>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</si>
  <si>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</si>
  <si>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</si>
  <si>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</si>
  <si>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</si>
  <si>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</si>
  <si>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</si>
  <si>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</si>
  <si>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</si>
  <si>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</si>
  <si>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</si>
  <si>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</si>
  <si>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</si>
  <si>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</si>
  <si>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</si>
  <si>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</si>
  <si>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</si>
  <si>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</si>
  <si>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</si>
  <si>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</si>
  <si>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</si>
  <si>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</si>
  <si>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</si>
  <si>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</si>
  <si>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</si>
  <si>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</si>
  <si>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</si>
  <si>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</si>
  <si>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</si>
  <si>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</si>
  <si>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</si>
  <si>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</si>
  <si>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</si>
  <si>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</si>
  <si>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</si>
  <si>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</si>
  <si>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</si>
  <si>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</si>
  <si>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</si>
  <si>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</si>
  <si>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</si>
  <si>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</si>
  <si>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</si>
  <si>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</si>
  <si>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</si>
  <si>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</si>
  <si>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</si>
  <si>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</si>
  <si>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</si>
  <si>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</si>
  <si>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</si>
  <si>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</si>
  <si>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</si>
  <si>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</si>
  <si>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</si>
  <si>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</si>
  <si>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</si>
  <si>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</si>
  <si>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</si>
  <si>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</si>
  <si>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</si>
  <si>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</si>
  <si>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</si>
  <si>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</si>
  <si>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</si>
  <si>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</si>
  <si>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</si>
  <si>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</si>
  <si>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</si>
  <si>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</si>
  <si>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</si>
  <si>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</si>
  <si>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</si>
  <si>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</si>
  <si>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</si>
  <si>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</si>
  <si>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</si>
  <si>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</si>
  <si>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</si>
  <si>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</si>
  <si>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</si>
  <si>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</si>
  <si>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</si>
  <si>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</si>
  <si>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</si>
  <si>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</si>
  <si>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</si>
  <si>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</si>
  <si>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</si>
  <si>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</si>
  <si>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</si>
  <si>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</si>
  <si>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</si>
  <si>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</si>
  <si>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</si>
  <si>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</si>
  <si>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</si>
  <si>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</si>
  <si>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</si>
  <si>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</si>
  <si>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</si>
  <si>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</si>
  <si>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</si>
  <si>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</si>
  <si>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</si>
  <si>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</si>
  <si>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</si>
  <si>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</si>
  <si>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</si>
  <si>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</si>
  <si>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</si>
  <si>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</si>
  <si>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</si>
  <si>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</si>
  <si>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</si>
  <si>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</si>
  <si>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</si>
  <si>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</si>
  <si>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</si>
  <si>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</si>
  <si>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</si>
  <si>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</si>
  <si>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</si>
  <si>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</si>
  <si>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</si>
  <si>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</si>
  <si>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</si>
  <si>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</si>
  <si>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</si>
  <si>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</si>
  <si>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</si>
  <si>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</si>
  <si>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</si>
  <si>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</si>
  <si>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</si>
  <si>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</si>
  <si>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</si>
  <si>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</si>
  <si>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</si>
  <si>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</si>
  <si>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</si>
  <si>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</si>
  <si>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</si>
  <si>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</si>
  <si>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</si>
  <si>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</si>
  <si>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</si>
  <si>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</si>
  <si>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</si>
  <si>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</si>
  <si>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</si>
  <si>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</si>
  <si>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</si>
  <si>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</si>
  <si>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</si>
  <si>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</si>
  <si>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</si>
  <si>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</si>
  <si>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</si>
  <si>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</si>
  <si>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</si>
  <si>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</si>
  <si>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</si>
  <si>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</si>
  <si>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</si>
  <si>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</si>
  <si>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</si>
  <si>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</si>
  <si>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</si>
  <si>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</si>
  <si>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</si>
  <si>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</si>
  <si>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</si>
  <si>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</si>
  <si>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</si>
  <si>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</si>
  <si>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</si>
  <si>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</si>
  <si>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</si>
  <si>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</si>
  <si>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</si>
  <si>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</si>
  <si>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</si>
  <si>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</si>
  <si>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</si>
  <si>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</si>
  <si>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</si>
  <si>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</si>
  <si>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</si>
  <si>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</si>
  <si>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</si>
  <si>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</si>
  <si>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</si>
  <si>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</si>
  <si>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</si>
  <si>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</si>
  <si>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</si>
  <si>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</si>
  <si>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</si>
  <si>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</si>
  <si>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</si>
  <si>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</si>
  <si>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</si>
  <si>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</si>
  <si>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</si>
  <si>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</si>
  <si>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</si>
  <si>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</si>
  <si>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</si>
  <si>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</si>
  <si>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</si>
  <si>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</si>
  <si>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</si>
  <si>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</si>
  <si>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</si>
  <si>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</si>
  <si>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</si>
  <si>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</si>
  <si>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</si>
  <si>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</si>
  <si>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</si>
  <si>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</si>
  <si>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</si>
  <si>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</si>
  <si>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</si>
  <si>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</si>
  <si>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</si>
  <si>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</si>
  <si>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</si>
  <si>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</si>
  <si>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</si>
  <si>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</si>
  <si>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</si>
  <si>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</si>
  <si>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</si>
  <si>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</si>
  <si>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</si>
  <si>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</si>
  <si>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</si>
  <si>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</si>
  <si>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</si>
  <si>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</si>
  <si>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</si>
  <si>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</si>
  <si>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</si>
  <si>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</si>
  <si>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</si>
  <si>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</si>
  <si>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</si>
  <si>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</si>
  <si>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</si>
  <si>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</si>
  <si>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</si>
  <si>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</si>
  <si>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</si>
  <si>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</si>
  <si>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</si>
  <si>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</si>
  <si>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</si>
  <si>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</si>
  <si>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</si>
  <si>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</si>
  <si>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</si>
  <si>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</si>
  <si>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</si>
  <si>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</si>
  <si>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</si>
  <si>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</si>
  <si>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</si>
  <si>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</si>
  <si>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</si>
  <si>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</si>
  <si>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</si>
  <si>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</si>
  <si>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</si>
  <si>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</si>
  <si>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</si>
  <si>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</si>
  <si>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</si>
  <si>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</si>
  <si>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</si>
  <si>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</si>
  <si>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</si>
  <si>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</si>
  <si>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</si>
  <si>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</si>
  <si>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</si>
  <si>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</si>
  <si>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</si>
  <si>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</si>
  <si>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</si>
  <si>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</si>
  <si>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</si>
  <si>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</si>
  <si>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</si>
  <si>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</si>
  <si>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</si>
  <si>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</si>
  <si>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</si>
  <si>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</si>
  <si>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</si>
  <si>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</si>
  <si>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</si>
  <si>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</si>
  <si>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</si>
  <si>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</si>
  <si>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</si>
  <si>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</si>
  <si>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</si>
  <si>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</si>
  <si>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</si>
  <si>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</si>
  <si>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</si>
  <si>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</si>
  <si>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</si>
  <si>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</si>
  <si>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</si>
  <si>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</si>
  <si>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</si>
  <si>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</si>
  <si>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</si>
  <si>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</si>
  <si>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</si>
  <si>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</si>
  <si>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</si>
  <si>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</si>
  <si>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</si>
  <si>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</si>
  <si>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</si>
  <si>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</si>
  <si>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</si>
  <si>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</si>
  <si>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</si>
  <si>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</si>
  <si>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</si>
  <si>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</si>
  <si>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</si>
  <si>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</si>
  <si>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</si>
  <si>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</si>
  <si>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</si>
  <si>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</si>
  <si>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</si>
  <si>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</si>
  <si>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</si>
  <si>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</si>
  <si>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</si>
  <si>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</si>
  <si>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</si>
  <si>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</si>
  <si>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</si>
  <si>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</si>
  <si>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</si>
  <si>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</si>
  <si>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</si>
  <si>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</si>
  <si>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</si>
  <si>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</si>
  <si>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</si>
  <si>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</si>
  <si>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</si>
  <si>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</si>
  <si>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</si>
  <si>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</si>
  <si>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</si>
  <si>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</si>
  <si>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</si>
  <si>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</si>
  <si>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</si>
  <si>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</si>
  <si>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</si>
  <si>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</si>
  <si>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</si>
  <si>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</si>
  <si>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</si>
  <si>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</si>
  <si>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</si>
  <si>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</si>
  <si>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</si>
  <si>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</si>
  <si>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</si>
  <si>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</si>
  <si>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</si>
  <si>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</si>
  <si>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</si>
  <si>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</si>
  <si>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</si>
  <si>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</si>
  <si>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</si>
  <si>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</si>
  <si>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</si>
  <si>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</si>
  <si>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</si>
  <si>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</si>
  <si>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</si>
  <si>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</si>
  <si>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</si>
  <si>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</si>
  <si>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</si>
  <si>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</si>
  <si>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</si>
  <si>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</si>
  <si>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</si>
  <si>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</si>
  <si>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</si>
  <si>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</si>
  <si>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</si>
  <si>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</si>
  <si>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</si>
  <si>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</si>
  <si>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</si>
  <si>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</si>
  <si>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</si>
  <si>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</si>
  <si>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</si>
  <si>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</si>
  <si>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</si>
  <si>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</si>
  <si>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</si>
  <si>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</si>
  <si>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</si>
  <si>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</si>
  <si>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</si>
  <si>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</si>
  <si>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</si>
  <si>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</si>
  <si>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</si>
  <si>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</si>
  <si>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</si>
  <si>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</si>
  <si>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</si>
  <si>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</si>
  <si>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</si>
  <si>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</si>
  <si>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</si>
  <si>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</si>
  <si>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</si>
  <si>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</si>
  <si>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</si>
  <si>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</si>
  <si>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</si>
  <si>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</si>
  <si>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</si>
  <si>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</si>
  <si>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</si>
  <si>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</si>
  <si>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</si>
  <si>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</si>
  <si>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</si>
  <si>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</si>
  <si>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</si>
  <si>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</si>
  <si>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</si>
  <si>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</si>
  <si>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</si>
  <si>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</si>
  <si>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</si>
  <si>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</si>
  <si>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</si>
  <si>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</si>
  <si>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</si>
  <si>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</si>
  <si>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</si>
  <si>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</si>
  <si>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</si>
  <si>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</si>
  <si>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</si>
  <si>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</si>
  <si>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</si>
  <si>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</si>
  <si>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</si>
  <si>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</si>
  <si>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</si>
  <si>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</si>
  <si>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</si>
  <si>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</si>
  <si>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</si>
  <si>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</si>
  <si>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</si>
  <si>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</si>
  <si>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</si>
  <si>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</si>
  <si>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</si>
  <si>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</si>
  <si>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</si>
  <si>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</si>
  <si>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</si>
  <si>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</si>
  <si>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</si>
  <si>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</si>
  <si>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</si>
  <si>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</si>
  <si>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</si>
  <si>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</si>
  <si>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</si>
  <si>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</si>
  <si>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</si>
  <si>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</si>
  <si>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</si>
  <si>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</si>
  <si>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</si>
  <si>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</si>
  <si>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</si>
  <si>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</si>
  <si>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</si>
  <si>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</si>
  <si>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</si>
  <si>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</si>
  <si>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</si>
  <si>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</si>
  <si>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</si>
  <si>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</si>
  <si>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</si>
  <si>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</si>
  <si>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</si>
  <si>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</si>
  <si>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</si>
  <si>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</si>
  <si>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</si>
  <si>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</si>
  <si>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</si>
  <si>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</si>
  <si>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</si>
  <si>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</si>
  <si>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</si>
  <si>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</si>
  <si>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</si>
  <si>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</si>
  <si>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</si>
  <si>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</si>
  <si>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</si>
  <si>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</si>
  <si>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</si>
  <si>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</si>
  <si>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</si>
  <si>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</si>
  <si>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</si>
  <si>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</si>
  <si>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</si>
  <si>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</si>
  <si>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</si>
  <si>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</si>
  <si>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</si>
  <si>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</si>
  <si>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</si>
  <si>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</si>
  <si>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</si>
  <si>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</si>
  <si>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</si>
  <si>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</si>
  <si>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</si>
  <si>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</si>
  <si>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</si>
  <si>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</si>
  <si>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</si>
  <si>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</si>
  <si>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</si>
  <si>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</si>
  <si>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</si>
  <si>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</si>
  <si>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</si>
  <si>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</si>
  <si>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</si>
  <si>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</si>
  <si>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</si>
  <si>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</si>
  <si>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</si>
  <si>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</si>
  <si>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</si>
  <si>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</si>
  <si>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</si>
  <si>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</si>
  <si>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</si>
  <si>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</si>
  <si>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</si>
  <si>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</si>
  <si>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</si>
  <si>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</si>
  <si>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</si>
  <si>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</si>
  <si>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</si>
  <si>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</si>
  <si>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</si>
  <si>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</si>
  <si>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</si>
  <si>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</si>
  <si>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</si>
  <si>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</si>
  <si>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</si>
  <si>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</si>
  <si>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</si>
  <si>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</si>
  <si>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</si>
  <si>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</si>
  <si>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</si>
  <si>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</si>
  <si>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</si>
  <si>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</si>
  <si>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</si>
  <si>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</si>
  <si>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</si>
  <si>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</si>
  <si>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</si>
  <si>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</si>
  <si>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</si>
  <si>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</si>
  <si>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</si>
  <si>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</si>
  <si>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</si>
  <si>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</si>
  <si>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</si>
  <si>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</si>
  <si>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</si>
  <si>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</si>
  <si>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</si>
  <si>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</si>
  <si>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</si>
  <si>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</si>
  <si>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</si>
  <si>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</si>
  <si>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</si>
  <si>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</si>
  <si>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</si>
  <si>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</si>
  <si>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</si>
  <si>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</si>
  <si>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</si>
  <si>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</si>
  <si>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</si>
  <si>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</si>
  <si>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</si>
  <si>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</si>
  <si>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</si>
  <si>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</si>
  <si>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</si>
  <si>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</si>
  <si>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</si>
  <si>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</si>
  <si>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</si>
  <si>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</si>
  <si>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</si>
  <si>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</si>
  <si>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</si>
  <si>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</si>
  <si>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</si>
  <si>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</si>
  <si>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</si>
  <si>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</si>
  <si>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</si>
  <si>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</si>
  <si>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</si>
  <si>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</si>
  <si>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</si>
  <si>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</si>
  <si>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</si>
  <si>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</si>
  <si>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</si>
  <si>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</si>
  <si>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</si>
  <si>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</si>
  <si>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</si>
  <si>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</si>
  <si>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</si>
  <si>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</si>
  <si>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</si>
  <si>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</si>
  <si>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</si>
  <si>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</si>
  <si>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</si>
  <si>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</si>
  <si>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</si>
  <si>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</si>
  <si>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</si>
  <si>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</si>
  <si>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</si>
  <si>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</si>
  <si>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</si>
  <si>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</si>
  <si>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</si>
  <si>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</si>
  <si>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</si>
  <si>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</si>
  <si>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</si>
  <si>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</si>
  <si>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</si>
  <si>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</si>
  <si>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</si>
  <si>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</si>
  <si>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</si>
  <si>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</si>
  <si>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</si>
  <si>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</si>
  <si>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</si>
  <si>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</si>
  <si>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</si>
  <si>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</si>
  <si>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</si>
  <si>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</si>
  <si>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</si>
  <si>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</si>
  <si>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</si>
  <si>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</si>
  <si>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</si>
  <si>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</si>
  <si>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</si>
  <si>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</si>
  <si>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</si>
  <si>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</si>
  <si>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</si>
  <si>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</si>
  <si>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</si>
  <si>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</si>
  <si>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</si>
  <si>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</si>
  <si>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</si>
  <si>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</si>
  <si>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</si>
  <si>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</si>
  <si>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</si>
  <si>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</si>
  <si>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</si>
  <si>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</si>
  <si>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</si>
  <si>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</si>
  <si>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</si>
  <si>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</si>
  <si>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</si>
  <si>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</si>
  <si>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</si>
  <si>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</si>
  <si>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</si>
  <si>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</si>
  <si>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</si>
  <si>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</si>
  <si>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</si>
  <si>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</si>
  <si>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</si>
  <si>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</si>
  <si>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</si>
  <si>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</si>
  <si>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</si>
  <si>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</si>
  <si>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</si>
  <si>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</si>
  <si>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</si>
  <si>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</si>
  <si>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</si>
  <si>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</si>
  <si>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</si>
  <si>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</si>
  <si>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</si>
  <si>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</si>
  <si>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</si>
  <si>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</si>
  <si>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</si>
  <si>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</si>
  <si>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</si>
  <si>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</si>
  <si>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</si>
  <si>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</si>
  <si>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</si>
  <si>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</si>
  <si>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</si>
  <si>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</si>
  <si>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</si>
  <si>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</si>
  <si>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</si>
  <si>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</si>
  <si>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</si>
  <si>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</si>
  <si>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</si>
  <si>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</si>
  <si>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</si>
  <si>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</si>
  <si>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</si>
  <si>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</si>
  <si>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</si>
  <si>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</si>
  <si>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</si>
  <si>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</si>
  <si>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</si>
  <si>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</si>
  <si>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</si>
  <si>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</si>
  <si>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</si>
  <si>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</si>
  <si>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</si>
  <si>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</si>
  <si>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</si>
  <si>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</si>
  <si>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</si>
  <si>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</si>
  <si>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</si>
  <si>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</si>
  <si>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</si>
  <si>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</si>
  <si>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</si>
  <si>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</si>
  <si>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</si>
  <si>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</si>
  <si>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</si>
  <si>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</si>
  <si>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</si>
  <si>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</si>
  <si>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</si>
  <si>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</si>
  <si>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</si>
  <si>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</si>
  <si>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</si>
  <si>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</si>
  <si>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</si>
  <si>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</si>
  <si>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</si>
  <si>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</si>
  <si>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</si>
  <si>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</si>
  <si>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</si>
  <si>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</si>
  <si>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</si>
  <si>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</si>
  <si>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</si>
  <si>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</si>
  <si>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</si>
  <si>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</si>
  <si>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</si>
  <si>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</si>
  <si>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</si>
  <si>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</si>
  <si>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</si>
  <si>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</si>
  <si>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</si>
  <si>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</si>
  <si>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</si>
  <si>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</si>
  <si>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</si>
  <si>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</si>
  <si>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</si>
  <si>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</si>
  <si>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</si>
  <si>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</si>
  <si>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</si>
  <si>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</si>
  <si>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</si>
  <si>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</si>
  <si>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</si>
  <si>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</si>
  <si>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</si>
  <si>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</si>
  <si>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</si>
  <si>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</si>
  <si>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</si>
  <si>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</si>
  <si>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</si>
  <si>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</si>
  <si>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</si>
  <si>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</si>
  <si>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</si>
  <si>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</si>
  <si>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</si>
  <si>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</si>
  <si>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</si>
  <si>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</si>
  <si>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</si>
  <si>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</si>
  <si>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</si>
  <si>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</si>
  <si>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</si>
  <si>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</si>
  <si>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</si>
  <si>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</si>
  <si>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</si>
  <si>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</si>
  <si>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</si>
  <si>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</si>
  <si>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</si>
  <si>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</si>
  <si>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</si>
  <si>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</si>
  <si>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</si>
  <si>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</si>
  <si>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</si>
  <si>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</si>
  <si>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</si>
  <si>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</si>
  <si>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</si>
  <si>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</si>
  <si>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</si>
  <si>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</si>
  <si>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</si>
  <si>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</si>
  <si>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</si>
  <si>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</si>
  <si>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</si>
  <si>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</si>
  <si>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</si>
  <si>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</si>
  <si>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</si>
  <si>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</si>
  <si>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</si>
  <si>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</si>
  <si>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</si>
  <si>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</si>
  <si>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</si>
  <si>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</si>
  <si>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</si>
  <si>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</si>
  <si>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</si>
  <si>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</si>
  <si>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</si>
  <si>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</si>
  <si>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</si>
  <si>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</si>
  <si>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</si>
  <si>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</si>
  <si>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</si>
  <si>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</si>
  <si>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</si>
  <si>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</si>
  <si>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</si>
  <si>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</si>
  <si>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</si>
  <si>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</si>
  <si>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</si>
  <si>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</si>
  <si>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</si>
  <si>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</si>
  <si>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</si>
  <si>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</si>
  <si>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</si>
  <si>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</si>
  <si>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</si>
  <si>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</si>
  <si>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</si>
  <si>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</si>
  <si>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</si>
  <si>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</si>
  <si>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</si>
  <si>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</si>
  <si>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</si>
  <si>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</si>
  <si>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</si>
  <si>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</si>
  <si>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</si>
  <si>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</si>
  <si>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</si>
  <si>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</si>
  <si>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</si>
  <si>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</si>
  <si>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</si>
  <si>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</si>
  <si>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</si>
  <si>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</si>
  <si>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</si>
  <si>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</si>
  <si>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</si>
  <si>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</si>
  <si>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</si>
  <si>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</si>
  <si>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</si>
  <si>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</si>
  <si>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</si>
  <si>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</si>
  <si>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</si>
  <si>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</si>
  <si>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</si>
  <si>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</si>
  <si>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</si>
  <si>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</si>
  <si>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</si>
  <si>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</si>
  <si>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</si>
  <si>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</si>
  <si>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</si>
  <si>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</si>
  <si>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</si>
  <si>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</si>
  <si>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</si>
  <si>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</si>
  <si>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</si>
  <si>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</si>
  <si>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</si>
  <si>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</si>
  <si>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</si>
  <si>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</si>
  <si>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</si>
  <si>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</si>
  <si>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</si>
  <si>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</si>
  <si>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</si>
  <si>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</si>
  <si>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</si>
  <si>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</si>
  <si>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</si>
  <si>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</si>
  <si>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</si>
  <si>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</si>
  <si>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</si>
  <si>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</si>
  <si>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</si>
  <si>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</si>
  <si>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</si>
  <si>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</si>
  <si>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</si>
  <si>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</si>
  <si>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</si>
  <si>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</si>
  <si>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</si>
  <si>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</si>
  <si>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</si>
  <si>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</si>
  <si>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</si>
  <si>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</si>
  <si>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</si>
  <si>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</si>
  <si>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</si>
  <si>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</si>
  <si>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</si>
  <si>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</si>
  <si>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</si>
  <si>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</si>
  <si>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</si>
  <si>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</si>
  <si>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</si>
  <si>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</si>
  <si>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</si>
  <si>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</si>
  <si>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</si>
  <si>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</si>
  <si>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</si>
  <si>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</si>
  <si>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</si>
  <si>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</si>
  <si>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</si>
  <si>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</si>
  <si>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</si>
  <si>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</si>
  <si>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</si>
  <si>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</si>
  <si>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</si>
  <si>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</si>
  <si>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</si>
  <si>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</si>
  <si>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</si>
  <si>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</si>
  <si>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</si>
  <si>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</si>
  <si>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</si>
  <si>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</si>
  <si>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</si>
  <si>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</si>
  <si>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</si>
  <si>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</si>
  <si>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</si>
  <si>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</si>
  <si>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</si>
  <si>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</si>
  <si>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</si>
  <si>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</si>
  <si>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</si>
  <si>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</si>
  <si>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</si>
  <si>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</si>
  <si>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</si>
  <si>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</si>
  <si>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</si>
  <si>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</si>
  <si>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</si>
  <si>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</si>
  <si>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</si>
  <si>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</si>
  <si>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</si>
  <si>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</si>
  <si>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</si>
  <si>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</si>
  <si>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</si>
  <si>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</si>
  <si>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</si>
  <si>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</si>
  <si>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</si>
  <si>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</si>
  <si>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</si>
  <si>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</si>
  <si>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</si>
  <si>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</si>
  <si>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</si>
  <si>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</si>
  <si>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</si>
  <si>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</si>
  <si>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</si>
  <si>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</si>
  <si>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</si>
  <si>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</si>
  <si>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</si>
  <si>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</si>
  <si>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</si>
  <si>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</si>
  <si>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</si>
  <si>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</si>
  <si>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</si>
  <si>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</si>
  <si>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</si>
  <si>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</si>
  <si>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</si>
  <si>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</si>
  <si>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</si>
  <si>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</si>
  <si>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</si>
  <si>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</si>
  <si>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</si>
  <si>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</si>
  <si>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</si>
  <si>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</si>
  <si>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</si>
  <si>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</si>
  <si>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</si>
  <si>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</si>
  <si>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</si>
  <si>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</si>
  <si>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</si>
  <si>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</si>
  <si>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</si>
  <si>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</si>
  <si>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</si>
  <si>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</si>
  <si>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</si>
  <si>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</si>
  <si>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</si>
  <si>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</si>
  <si>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</si>
  <si>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</si>
  <si>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</si>
  <si>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</si>
  <si>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</si>
  <si>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</si>
  <si>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</si>
  <si>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</si>
  <si>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</si>
  <si>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</si>
  <si>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</si>
  <si>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</si>
  <si>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</si>
  <si>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</si>
  <si>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</si>
  <si>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</si>
  <si>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</si>
  <si>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</si>
  <si>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</si>
  <si>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</si>
  <si>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</si>
  <si>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</si>
  <si>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</si>
  <si>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</si>
  <si>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</si>
  <si>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</si>
  <si>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</si>
  <si>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</si>
  <si>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</si>
  <si>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</si>
  <si>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</si>
  <si>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</si>
  <si>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</si>
  <si>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</si>
  <si>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</si>
  <si>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</si>
  <si>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</si>
  <si>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</si>
  <si>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</si>
  <si>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</si>
  <si>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</si>
  <si>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</si>
  <si>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</si>
  <si>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</si>
  <si>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</si>
  <si>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</si>
  <si>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</si>
  <si>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</si>
  <si>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</si>
  <si>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</si>
  <si>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</si>
  <si>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</si>
  <si>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</si>
  <si>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</si>
  <si>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</si>
  <si>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</si>
  <si>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</si>
  <si>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</si>
  <si>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</si>
  <si>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</si>
  <si>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</si>
  <si>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</si>
  <si>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</si>
  <si>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</si>
  <si>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</si>
  <si>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</si>
  <si>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</si>
  <si>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</si>
  <si>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</si>
  <si>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</si>
  <si>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</si>
  <si>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</si>
  <si>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</si>
  <si>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</si>
  <si>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</si>
  <si>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</si>
  <si>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</si>
  <si>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</si>
  <si>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</si>
  <si>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</si>
  <si>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</si>
  <si>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</si>
  <si>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</si>
  <si>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</si>
  <si>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</si>
  <si>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</si>
  <si>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</si>
  <si>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</si>
  <si>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</si>
  <si>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</si>
  <si>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</si>
  <si>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</si>
  <si>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</si>
  <si>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</si>
  <si>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</si>
  <si>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</si>
  <si>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</si>
  <si>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</si>
  <si>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</si>
  <si>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</si>
  <si>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</si>
  <si>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</si>
  <si>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</si>
  <si>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</si>
  <si>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</si>
  <si>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</si>
  <si>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</si>
  <si>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</si>
  <si>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</si>
  <si>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</si>
  <si>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</si>
  <si>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</si>
  <si>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</si>
  <si>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</si>
  <si>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</si>
  <si>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</si>
  <si>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</si>
  <si>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</si>
  <si>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</si>
  <si>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</si>
  <si>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</si>
  <si>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</si>
  <si>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</si>
  <si>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</si>
  <si>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</si>
  <si>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</si>
  <si>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</si>
  <si>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</si>
  <si>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</si>
  <si>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</si>
  <si>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</si>
  <si>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</si>
  <si>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</si>
  <si>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</si>
  <si>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</si>
  <si>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</si>
  <si>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</si>
  <si>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</si>
  <si>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</si>
  <si>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</si>
  <si>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</si>
  <si>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</si>
  <si>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</si>
  <si>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</si>
  <si>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</si>
  <si>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</si>
  <si>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</si>
  <si>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</si>
  <si>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</si>
  <si>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</si>
  <si>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</si>
  <si>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</si>
  <si>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</si>
  <si>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</si>
  <si>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</si>
  <si>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</si>
  <si>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</si>
  <si>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</si>
  <si>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</si>
  <si>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</si>
  <si>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</si>
  <si>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</si>
  <si>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</si>
  <si>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</si>
  <si>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</si>
  <si>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</si>
  <si>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</si>
  <si>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</si>
  <si>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</si>
  <si>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</si>
  <si>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</si>
  <si>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</si>
  <si>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</si>
  <si>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</si>
  <si>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</si>
  <si>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</si>
  <si>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</si>
  <si>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</si>
  <si>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</si>
  <si>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</si>
  <si>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</si>
  <si>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</si>
  <si>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</si>
  <si>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</si>
  <si>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</si>
  <si>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</si>
  <si>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</si>
  <si>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</si>
  <si>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</si>
  <si>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</si>
  <si>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</si>
  <si>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</si>
  <si>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</si>
  <si>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</si>
  <si>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</si>
  <si>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</si>
  <si>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</si>
  <si>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</si>
  <si>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</si>
  <si>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</si>
  <si>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</si>
  <si>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</si>
  <si>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</si>
  <si>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</si>
  <si>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</si>
  <si>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</si>
  <si>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</si>
  <si>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</si>
  <si>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</si>
  <si>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</si>
  <si>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</si>
  <si>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</si>
  <si>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</si>
  <si>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</si>
  <si>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</si>
  <si>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</si>
  <si>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</si>
  <si>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</si>
  <si>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</si>
  <si>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</si>
  <si>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</si>
  <si>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</si>
  <si>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</si>
  <si>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</si>
  <si>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</si>
  <si>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</si>
  <si>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</si>
  <si>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</si>
  <si>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</si>
  <si>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</si>
  <si>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</si>
  <si>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</si>
  <si>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</si>
  <si>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</si>
  <si>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</si>
  <si>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</si>
  <si>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</si>
  <si>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</si>
  <si>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</si>
  <si>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</si>
  <si>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</si>
  <si>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</si>
  <si>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</si>
  <si>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</si>
  <si>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</si>
  <si>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</si>
  <si>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</si>
  <si>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</si>
  <si>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</si>
  <si>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</si>
  <si>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</si>
  <si>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</si>
  <si>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</si>
  <si>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</si>
  <si>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</si>
  <si>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</si>
  <si>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</si>
  <si>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</si>
  <si>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</si>
  <si>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</si>
  <si>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</si>
  <si>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</si>
  <si>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</si>
  <si>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</si>
  <si>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</si>
  <si>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</si>
  <si>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</si>
  <si>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</si>
  <si>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</si>
  <si>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</si>
  <si>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</si>
  <si>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</si>
  <si>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</si>
  <si>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</si>
  <si>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</si>
  <si>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</si>
  <si>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</si>
  <si>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</si>
  <si>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</si>
  <si>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</si>
  <si>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</si>
  <si>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</si>
  <si>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</si>
  <si>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</si>
  <si>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</si>
  <si>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</si>
  <si>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</si>
  <si>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</si>
  <si>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</si>
  <si>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</si>
  <si>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</si>
  <si>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</si>
  <si>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</si>
  <si>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</si>
  <si>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</si>
  <si>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</si>
  <si>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</si>
  <si>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</si>
  <si>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</si>
  <si>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</si>
  <si>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</si>
  <si>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</si>
  <si>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</si>
  <si>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</si>
  <si>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</si>
  <si>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</si>
  <si>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</si>
  <si>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</si>
  <si>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</si>
  <si>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</si>
  <si>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</si>
  <si>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</si>
  <si>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</si>
  <si>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</si>
  <si>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</si>
  <si>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</si>
  <si>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</si>
  <si>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</si>
  <si>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</si>
  <si>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</si>
  <si>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</si>
  <si>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</si>
  <si>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</si>
  <si>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</si>
  <si>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</si>
  <si>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</si>
  <si>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</si>
  <si>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</si>
  <si>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</si>
  <si>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</si>
  <si>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</si>
  <si>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</si>
  <si>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</si>
  <si>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</si>
  <si>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</si>
  <si>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</si>
  <si>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</si>
  <si>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</si>
  <si>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</si>
  <si>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</si>
  <si>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</si>
  <si>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</si>
  <si>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</si>
  <si>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</si>
  <si>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</si>
  <si>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</si>
  <si>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</si>
  <si>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</si>
  <si>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</si>
  <si>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</si>
  <si>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</si>
  <si>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</si>
  <si>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</si>
  <si>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</si>
  <si>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</si>
  <si>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</si>
  <si>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</si>
  <si>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</si>
  <si>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</si>
  <si>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</si>
  <si>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</si>
  <si>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</si>
  <si>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</si>
  <si>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</si>
  <si>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</si>
  <si>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</si>
  <si>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</si>
  <si>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</si>
  <si>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</si>
  <si>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</si>
  <si>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</si>
  <si>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</si>
  <si>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</si>
  <si>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</si>
  <si>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</si>
  <si>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</si>
  <si>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</si>
  <si>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</si>
  <si>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</si>
  <si>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</si>
  <si>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</si>
  <si>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</si>
  <si>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</si>
  <si>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</si>
  <si>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</si>
  <si>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</si>
  <si>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</si>
  <si>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</si>
  <si>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</si>
  <si>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</si>
  <si>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</si>
  <si>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</si>
  <si>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</si>
  <si>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</si>
  <si>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</si>
  <si>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</si>
  <si>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</si>
  <si>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</si>
  <si>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</si>
  <si>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</si>
  <si>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</si>
  <si>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</si>
  <si>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</si>
  <si>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</si>
  <si>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</si>
  <si>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</si>
  <si>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</si>
  <si>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</si>
  <si>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</si>
  <si>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</si>
  <si>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</si>
  <si>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</si>
  <si>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</si>
  <si>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</si>
  <si>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</si>
  <si>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</si>
  <si>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</si>
  <si>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</si>
  <si>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</si>
  <si>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</si>
  <si>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</si>
  <si>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</si>
  <si>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</si>
  <si>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</si>
  <si>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</si>
  <si>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</si>
  <si>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</si>
  <si>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</si>
  <si>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</si>
  <si>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</si>
  <si>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</si>
  <si>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</si>
  <si>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</si>
  <si>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</si>
  <si>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</si>
  <si>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</si>
  <si>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</si>
  <si>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</si>
  <si>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</si>
  <si>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</si>
  <si>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</si>
  <si>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</si>
  <si>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</si>
  <si>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</si>
  <si>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</si>
  <si>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</si>
  <si>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</si>
  <si>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</si>
  <si>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</si>
  <si>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</si>
  <si>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</si>
  <si>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</si>
  <si>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</si>
  <si>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</si>
  <si>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</si>
  <si>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</si>
  <si>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</si>
  <si>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</si>
  <si>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</si>
  <si>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</si>
  <si>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</si>
  <si>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</si>
  <si>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</si>
  <si>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</si>
  <si>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</si>
  <si>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</si>
  <si>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</si>
  <si>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</si>
  <si>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</si>
  <si>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</si>
  <si>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</si>
  <si>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</si>
  <si>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</si>
  <si>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</si>
  <si>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</si>
  <si>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</si>
  <si>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</si>
  <si>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</si>
  <si>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</si>
  <si>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</si>
  <si>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</si>
  <si>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</si>
  <si>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</si>
  <si>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</si>
  <si>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</si>
  <si>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</si>
  <si>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</si>
  <si>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</si>
  <si>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</si>
  <si>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</si>
  <si>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</si>
  <si>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</si>
  <si>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</si>
  <si>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</si>
  <si>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</si>
  <si>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</si>
  <si>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</si>
  <si>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</si>
  <si>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</si>
  <si>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</si>
  <si>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</si>
  <si>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</si>
  <si>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</si>
  <si>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</si>
  <si>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</si>
  <si>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</si>
  <si>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</si>
  <si>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</si>
  <si>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</si>
  <si>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</si>
  <si>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</si>
  <si>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</si>
  <si>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</si>
  <si>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</si>
  <si>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</si>
  <si>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</si>
  <si>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</si>
  <si>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</si>
  <si>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</si>
  <si>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</si>
  <si>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</si>
  <si>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</si>
  <si>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</si>
  <si>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</si>
  <si>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</si>
  <si>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</si>
  <si>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</si>
  <si>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</si>
  <si>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</si>
  <si>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</si>
  <si>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</si>
  <si>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</si>
  <si>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</si>
  <si>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</si>
  <si>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</si>
  <si>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</si>
  <si>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</si>
  <si>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</si>
  <si>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</si>
  <si>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</si>
  <si>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</si>
  <si>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</si>
  <si>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</si>
  <si>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</si>
  <si>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</si>
  <si>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</si>
  <si>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</si>
  <si>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</si>
  <si>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</si>
  <si>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</si>
  <si>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</si>
  <si>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</si>
  <si>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</si>
  <si>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</si>
  <si>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</si>
  <si>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</si>
  <si>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</si>
  <si>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</si>
  <si>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</si>
  <si>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</si>
  <si>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</si>
  <si>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</si>
  <si>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</si>
  <si>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</si>
  <si>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</si>
  <si>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</si>
  <si>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</si>
  <si>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</si>
  <si>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</si>
  <si>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</si>
  <si>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</si>
  <si>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</si>
  <si>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</si>
  <si>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</si>
  <si>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</si>
  <si>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</si>
  <si>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</si>
  <si>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</si>
  <si>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</si>
  <si>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</si>
  <si>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</si>
  <si>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</si>
  <si>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</si>
  <si>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</si>
  <si>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</si>
  <si>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</si>
  <si>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</si>
  <si>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</si>
  <si>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</si>
  <si>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</si>
  <si>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</si>
  <si>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</si>
  <si>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</si>
  <si>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</si>
  <si>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</si>
  <si>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</si>
  <si>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</si>
  <si>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</si>
  <si>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</si>
  <si>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</si>
  <si>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</si>
  <si>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</si>
  <si>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</si>
  <si>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</si>
  <si>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</si>
  <si>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</si>
  <si>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</si>
  <si>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</si>
  <si>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</si>
  <si>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</si>
  <si>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</si>
  <si>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</si>
  <si>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</si>
  <si>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</si>
  <si>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</si>
  <si>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</si>
  <si>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</si>
  <si>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</si>
  <si>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</si>
  <si>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</si>
  <si>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</si>
  <si>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</si>
  <si>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</si>
  <si>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</si>
  <si>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</si>
  <si>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</si>
  <si>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</si>
  <si>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</si>
  <si>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</si>
  <si>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</si>
  <si>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</si>
  <si>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</si>
  <si>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</si>
  <si>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</si>
  <si>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</si>
  <si>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</si>
  <si>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</si>
  <si>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</si>
  <si>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</si>
  <si>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</si>
  <si>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</si>
  <si>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</si>
  <si>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</si>
  <si>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</si>
  <si>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</si>
  <si>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</si>
  <si>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</si>
  <si>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</si>
  <si>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</si>
  <si>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</si>
  <si>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</si>
  <si>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</si>
  <si>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</si>
  <si>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</si>
  <si>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</si>
  <si>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</si>
  <si>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</si>
  <si>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</si>
  <si>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</si>
  <si>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</si>
  <si>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</si>
  <si>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</si>
  <si>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</si>
  <si>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</si>
  <si>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</si>
  <si>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</si>
  <si>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</si>
  <si>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</si>
  <si>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</si>
  <si>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</si>
  <si>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</si>
  <si>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</si>
  <si>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</si>
  <si>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</si>
  <si>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</si>
  <si>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</si>
  <si>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</si>
  <si>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</si>
  <si>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</si>
  <si>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</si>
  <si>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</si>
  <si>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</si>
  <si>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</si>
  <si>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</si>
  <si>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</si>
  <si>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</si>
  <si>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</si>
  <si>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</si>
  <si>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</si>
  <si>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</si>
  <si>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</si>
  <si>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</si>
  <si>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</si>
  <si>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</si>
  <si>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</si>
  <si>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</si>
  <si>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</si>
  <si>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</si>
  <si>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</si>
  <si>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</si>
  <si>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</si>
  <si>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</si>
  <si>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</si>
  <si>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</si>
  <si>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</si>
  <si>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</si>
  <si>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</si>
  <si>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</si>
  <si>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</si>
  <si>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</si>
  <si>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</si>
  <si>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</si>
  <si>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</si>
  <si>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</si>
  <si>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</si>
  <si>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</si>
  <si>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</si>
  <si>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</si>
  <si>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</si>
  <si>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</si>
  <si>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</si>
  <si>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</si>
  <si>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</si>
  <si>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</si>
  <si>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</si>
  <si>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</si>
  <si>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</si>
  <si>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</si>
  <si>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</si>
  <si>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</si>
  <si>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</si>
  <si>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</si>
  <si>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</si>
  <si>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</si>
  <si>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</si>
  <si>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</si>
  <si>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</si>
  <si>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</si>
  <si>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</si>
  <si>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</si>
  <si>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</si>
  <si>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</si>
  <si>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</si>
  <si>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</si>
  <si>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</si>
  <si>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</si>
  <si>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</si>
  <si>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</si>
  <si>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</si>
  <si>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</si>
  <si>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</si>
  <si>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</si>
  <si>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</si>
  <si>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</si>
  <si>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</si>
  <si>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</si>
  <si>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</si>
  <si>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</si>
  <si>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</si>
  <si>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</si>
  <si>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</si>
  <si>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</si>
  <si>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</si>
  <si>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</si>
  <si>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</si>
  <si>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</si>
  <si>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</si>
  <si>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</si>
  <si>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</si>
  <si>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</si>
  <si>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</si>
  <si>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</si>
  <si>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</si>
  <si>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</si>
  <si>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</si>
  <si>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</si>
  <si>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</si>
  <si>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</si>
  <si>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</si>
  <si>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</si>
  <si>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</si>
  <si>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</si>
  <si>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</si>
  <si>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</si>
  <si>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</si>
  <si>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</si>
  <si>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</si>
  <si>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</si>
  <si>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</si>
  <si>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</si>
  <si>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</si>
  <si>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</si>
  <si>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</si>
  <si>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</si>
  <si>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</si>
  <si>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</si>
  <si>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</si>
  <si>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</si>
  <si>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</si>
  <si>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</si>
  <si>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</si>
  <si>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</si>
  <si>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</si>
  <si>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</si>
  <si>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</si>
  <si>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</si>
  <si>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</si>
  <si>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</si>
  <si>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</si>
  <si>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</si>
  <si>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</si>
  <si>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</si>
  <si>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</si>
  <si>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</si>
  <si>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</si>
  <si>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</si>
  <si>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</si>
  <si>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</si>
  <si>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</si>
  <si>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</si>
  <si>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</si>
  <si>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</si>
  <si>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</si>
  <si>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</si>
  <si>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</si>
  <si>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</si>
  <si>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</si>
  <si>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</si>
  <si>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</si>
  <si>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</si>
  <si>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</si>
  <si>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</si>
  <si>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</si>
  <si>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</si>
  <si>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</si>
  <si>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</si>
  <si>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</si>
  <si>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</si>
  <si>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</si>
  <si>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</si>
  <si>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</si>
  <si>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</si>
  <si>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</si>
  <si>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</si>
  <si>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</si>
  <si>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</si>
  <si>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</si>
  <si>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</si>
  <si>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</si>
  <si>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</si>
  <si>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</si>
  <si>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</si>
  <si>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</si>
  <si>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</si>
  <si>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</si>
  <si>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</si>
  <si>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</si>
  <si>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</si>
  <si>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</si>
  <si>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</si>
  <si>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</si>
  <si>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</si>
  <si>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</si>
  <si>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</si>
  <si>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</si>
  <si>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</si>
  <si>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</si>
  <si>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</si>
  <si>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</si>
  <si>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</si>
  <si>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</si>
  <si>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</si>
  <si>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</si>
  <si>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</si>
  <si>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</si>
  <si>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</si>
  <si>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</si>
  <si>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</si>
  <si>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</si>
  <si>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</si>
  <si>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</si>
  <si>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</si>
  <si>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</si>
  <si>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</si>
  <si>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</si>
  <si>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</si>
  <si>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</si>
  <si>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</si>
  <si>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</si>
  <si>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</si>
  <si>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</si>
  <si>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</si>
  <si>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</si>
  <si>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</si>
  <si>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</si>
  <si>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</si>
  <si>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</si>
  <si>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</si>
  <si>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</si>
  <si>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</si>
  <si>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</si>
  <si>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</si>
  <si>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</si>
  <si>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</si>
  <si>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</si>
  <si>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</si>
  <si>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</si>
  <si>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</si>
  <si>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</si>
  <si>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</si>
  <si>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</si>
  <si>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</si>
  <si>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</si>
  <si>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</si>
  <si>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</si>
  <si>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</si>
  <si>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</si>
  <si>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</si>
  <si>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</si>
  <si>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</si>
  <si>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</si>
  <si>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</si>
  <si>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</si>
  <si>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</si>
  <si>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</si>
  <si>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</si>
  <si>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</si>
  <si>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</si>
  <si>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</si>
  <si>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</si>
  <si>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</si>
  <si>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</si>
  <si>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</si>
  <si>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</si>
  <si>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</si>
  <si>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</si>
  <si>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</si>
  <si>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</si>
  <si>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</si>
  <si>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</si>
  <si>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</si>
  <si>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</si>
  <si>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</si>
  <si>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</si>
  <si>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</si>
  <si>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</si>
  <si>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</si>
  <si>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</si>
  <si>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</si>
  <si>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</si>
  <si>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</si>
  <si>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</si>
  <si>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</si>
  <si>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</si>
  <si>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</si>
  <si>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</si>
  <si>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</si>
  <si>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</si>
  <si>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</si>
  <si>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</si>
  <si>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</si>
  <si>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</si>
  <si>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</si>
  <si>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</si>
  <si>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</si>
  <si>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</si>
  <si>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</si>
  <si>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</si>
  <si>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</si>
  <si>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</si>
  <si>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</si>
  <si>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</si>
  <si>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</si>
  <si>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</si>
  <si>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</si>
  <si>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</si>
  <si>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</si>
  <si>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</si>
  <si>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</si>
  <si>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</si>
  <si>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</si>
  <si>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</si>
  <si>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</si>
  <si>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</si>
  <si>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</si>
  <si>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</si>
  <si>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</si>
  <si>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</si>
  <si>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</si>
  <si>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</si>
  <si>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</si>
  <si>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</si>
  <si>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</si>
  <si>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</si>
  <si>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</si>
  <si>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</si>
  <si>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</si>
  <si>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</si>
  <si>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</si>
  <si>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</si>
  <si>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</si>
  <si>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</si>
  <si>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</si>
  <si>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</si>
  <si>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</si>
  <si>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</si>
  <si>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</si>
  <si>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</si>
  <si>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</si>
  <si>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</si>
  <si>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</si>
  <si>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</si>
  <si>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</si>
  <si>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</si>
  <si>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</si>
  <si>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</si>
  <si>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</si>
  <si>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</si>
  <si>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</si>
  <si>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</si>
  <si>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</si>
  <si>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</si>
  <si>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</si>
  <si>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</si>
  <si>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</si>
  <si>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</si>
  <si>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</si>
  <si>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</si>
  <si>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</si>
  <si>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</si>
  <si>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</si>
  <si>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</si>
  <si>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</si>
  <si>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</si>
  <si>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</si>
  <si>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</si>
  <si>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</si>
  <si>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</si>
  <si>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</si>
  <si>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</si>
  <si>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</si>
  <si>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</si>
  <si>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</si>
  <si>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</si>
  <si>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</si>
  <si>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</si>
  <si>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</si>
  <si>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</si>
  <si>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</si>
  <si>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</si>
  <si>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</si>
  <si>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</si>
  <si>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</si>
  <si>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</si>
  <si>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</si>
  <si>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</si>
  <si>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</si>
  <si>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</si>
  <si>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</si>
  <si>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</si>
  <si>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</si>
  <si>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</si>
  <si>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</si>
  <si>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</si>
  <si>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</si>
  <si>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</si>
  <si>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</si>
  <si>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</si>
  <si>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</si>
  <si>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</si>
  <si>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</si>
  <si>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</si>
  <si>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</si>
  <si>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</si>
  <si>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</si>
  <si>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</si>
  <si>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</si>
  <si>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</si>
  <si>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</si>
  <si>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</si>
  <si>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</si>
  <si>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</si>
  <si>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</si>
  <si>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</si>
  <si>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</si>
  <si>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</si>
  <si>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</si>
  <si>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</si>
  <si>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</si>
  <si>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</si>
  <si>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</si>
  <si>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</si>
  <si>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</si>
  <si>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</si>
  <si>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</si>
  <si>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</si>
  <si>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</si>
  <si>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</si>
  <si>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</si>
  <si>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</si>
  <si>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</si>
  <si>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</si>
  <si>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</si>
  <si>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</si>
  <si>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</si>
  <si>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</si>
  <si>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</si>
  <si>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</si>
  <si>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</si>
  <si>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</si>
  <si>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</si>
  <si>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</si>
  <si>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</si>
  <si>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</si>
  <si>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</si>
  <si>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</si>
  <si>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</si>
  <si>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</si>
  <si>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</si>
  <si>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</si>
  <si>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</si>
  <si>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</si>
  <si>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</si>
  <si>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</si>
  <si>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</si>
  <si>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</si>
  <si>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</si>
  <si>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</si>
  <si>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</si>
  <si>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</si>
  <si>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</si>
  <si>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</si>
  <si>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</si>
  <si>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</si>
  <si>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</si>
  <si>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</si>
  <si>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</si>
  <si>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</si>
  <si>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</si>
  <si>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</si>
  <si>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</si>
  <si>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</si>
  <si>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</si>
  <si>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</si>
  <si>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</si>
  <si>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</si>
  <si>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</si>
  <si>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</si>
  <si>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</si>
  <si>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</si>
  <si>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</si>
  <si>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</si>
  <si>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</si>
  <si>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</si>
  <si>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</si>
  <si>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</si>
  <si>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</si>
  <si>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</si>
  <si>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</si>
  <si>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</si>
  <si>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</si>
  <si>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</si>
  <si>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</si>
  <si>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</si>
  <si>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</si>
  <si>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</si>
  <si>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</si>
  <si>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</si>
  <si>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</si>
  <si>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</si>
  <si>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</si>
  <si>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</si>
  <si>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</si>
  <si>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</si>
  <si>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</si>
  <si>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</si>
  <si>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</si>
  <si>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</si>
  <si>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</si>
  <si>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</si>
  <si>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</si>
  <si>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</si>
  <si>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</si>
  <si>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</si>
  <si>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</si>
  <si>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</si>
  <si>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</si>
  <si>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</si>
  <si>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</si>
  <si>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</si>
  <si>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</si>
  <si>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</si>
  <si>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</si>
  <si>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</si>
  <si>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</si>
  <si>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</si>
  <si>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</si>
  <si>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</si>
  <si>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</si>
  <si>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</si>
  <si>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</si>
  <si>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</si>
  <si>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</si>
  <si>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</si>
  <si>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</si>
  <si>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</si>
  <si>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</si>
  <si>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</si>
  <si>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</si>
  <si>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</si>
  <si>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</si>
  <si>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</si>
  <si>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</si>
  <si>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</si>
  <si>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</si>
  <si>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</si>
  <si>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</si>
  <si>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</si>
  <si>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</si>
  <si>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</si>
  <si>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</si>
  <si>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</si>
  <si>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</si>
  <si>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</si>
  <si>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</si>
  <si>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</si>
  <si>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</si>
  <si>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</si>
  <si>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</si>
  <si>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</si>
  <si>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</si>
  <si>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</si>
  <si>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</si>
  <si>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</si>
  <si>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</si>
  <si>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</si>
  <si>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</si>
  <si>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</si>
  <si>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</si>
  <si>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</si>
  <si>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</si>
  <si>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</si>
  <si>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</si>
  <si>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</si>
  <si>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</si>
  <si>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</si>
  <si>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</si>
  <si>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</si>
  <si>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</si>
  <si>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</si>
  <si>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</si>
  <si>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</si>
  <si>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</si>
  <si>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</si>
  <si>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</si>
  <si>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</si>
  <si>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</si>
  <si>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</si>
  <si>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</si>
  <si>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</si>
  <si>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</si>
  <si>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</si>
  <si>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</si>
  <si>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</si>
  <si>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</si>
  <si>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</si>
  <si>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</si>
  <si>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</si>
  <si>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</si>
  <si>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</si>
  <si>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</si>
  <si>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</si>
  <si>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</si>
  <si>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</si>
  <si>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</si>
  <si>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</si>
  <si>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</si>
  <si>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</si>
  <si>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</si>
  <si>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</si>
  <si>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</si>
  <si>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</si>
  <si>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</si>
  <si>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</si>
  <si>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</si>
  <si>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</si>
  <si>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</si>
  <si>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</si>
  <si>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</si>
  <si>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</si>
  <si>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</si>
  <si>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</si>
  <si>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</si>
  <si>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</si>
  <si>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</si>
  <si>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</si>
  <si>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</si>
  <si>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</si>
  <si>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</si>
  <si>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</si>
  <si>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</si>
  <si>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</si>
  <si>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</si>
  <si>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</si>
  <si>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</si>
  <si>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</si>
  <si>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</si>
  <si>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</si>
  <si>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</si>
  <si>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</si>
  <si>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</si>
  <si>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</si>
  <si>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</si>
  <si>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</si>
  <si>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</si>
  <si>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</si>
  <si>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</si>
  <si>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</si>
  <si>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</si>
  <si>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</si>
  <si>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</si>
  <si>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</si>
  <si>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</si>
  <si>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</si>
  <si>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</si>
  <si>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</si>
  <si>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</si>
  <si>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</si>
  <si>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</si>
  <si>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</si>
  <si>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</si>
  <si>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</si>
  <si>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</si>
  <si>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</si>
  <si>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</si>
  <si>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</si>
  <si>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</si>
  <si>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</si>
  <si>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</si>
  <si>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</si>
  <si>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</si>
  <si>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</si>
  <si>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</si>
  <si>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</si>
  <si>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</si>
  <si>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</si>
  <si>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</si>
  <si>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</si>
  <si>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</si>
  <si>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</si>
  <si>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</si>
  <si>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</si>
  <si>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</si>
  <si>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</si>
  <si>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</si>
  <si>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</si>
  <si>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</si>
  <si>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</si>
  <si>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</si>
  <si>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</si>
  <si>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</si>
  <si>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</si>
  <si>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</si>
  <si>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</si>
  <si>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</si>
  <si>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</si>
  <si>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</si>
  <si>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</si>
  <si>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</si>
  <si>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</si>
  <si>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</si>
  <si>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</si>
  <si>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</si>
  <si>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</si>
  <si>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</si>
  <si>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</si>
  <si>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</si>
  <si>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</si>
  <si>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</si>
  <si>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</si>
  <si>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</si>
  <si>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</si>
  <si>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</si>
  <si>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</si>
  <si>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</si>
  <si>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</si>
  <si>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</si>
  <si>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</si>
  <si>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</si>
  <si>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</si>
  <si>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</si>
  <si>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</si>
  <si>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</si>
  <si>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</si>
  <si>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</si>
  <si>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</si>
  <si>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</si>
  <si>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</si>
  <si>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</si>
  <si>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</si>
  <si>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</si>
  <si>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</si>
  <si>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</si>
  <si>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</si>
  <si>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</si>
  <si>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</si>
  <si>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</si>
  <si>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</si>
  <si>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</si>
  <si>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</si>
  <si>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</si>
  <si>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</si>
  <si>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</si>
  <si>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</si>
  <si>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</si>
  <si>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</si>
  <si>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</si>
  <si>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</si>
  <si>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</si>
  <si>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</si>
  <si>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</si>
  <si>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</si>
  <si>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</si>
  <si>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</si>
  <si>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</si>
  <si>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</si>
  <si>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</si>
  <si>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</si>
  <si>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</si>
  <si>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</si>
  <si>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</si>
  <si>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</si>
  <si>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</si>
  <si>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</si>
  <si>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</si>
  <si>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</si>
  <si>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</si>
  <si>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</si>
  <si>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</si>
  <si>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</si>
  <si>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</si>
  <si>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</si>
  <si>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</si>
  <si>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</si>
  <si>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</si>
  <si>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</si>
  <si>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</si>
  <si>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</si>
  <si>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</si>
  <si>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</si>
  <si>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</si>
  <si>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</si>
  <si>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</si>
  <si>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</si>
  <si>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</si>
  <si>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</si>
  <si>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</si>
  <si>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</si>
  <si>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</si>
  <si>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</si>
  <si>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</si>
  <si>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</si>
  <si>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</si>
  <si>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</si>
  <si>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</si>
  <si>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</si>
  <si>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</si>
  <si>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</si>
  <si>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</si>
  <si>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</si>
  <si>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</si>
  <si>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</si>
  <si>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</si>
  <si>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</si>
  <si>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</si>
  <si>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</si>
  <si>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</si>
  <si>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</si>
  <si>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</si>
  <si>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</si>
  <si>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</si>
  <si>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</si>
  <si>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</si>
  <si>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</si>
  <si>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</si>
  <si>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</si>
  <si>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</si>
  <si>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</si>
  <si>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</si>
  <si>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</si>
  <si>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</si>
  <si>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</si>
  <si>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</si>
  <si>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</si>
  <si>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</si>
  <si>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</si>
  <si>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</si>
  <si>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</si>
  <si>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</si>
  <si>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</si>
  <si>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</si>
  <si>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</si>
  <si>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</si>
  <si>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</si>
  <si>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</si>
  <si>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</si>
  <si>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</si>
  <si>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</si>
  <si>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</si>
  <si>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</si>
  <si>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</si>
  <si>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</si>
  <si>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</si>
  <si>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</si>
  <si>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</si>
  <si>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</si>
  <si>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</si>
  <si>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</si>
  <si>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</si>
  <si>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</si>
  <si>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</si>
  <si>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</si>
  <si>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</si>
  <si>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</si>
  <si>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</si>
  <si>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</si>
  <si>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</si>
  <si>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</si>
  <si>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</si>
  <si>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</si>
  <si>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</si>
  <si>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</si>
  <si>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</si>
  <si>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</si>
  <si>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</si>
  <si>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</si>
  <si>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</si>
  <si>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</si>
  <si>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郑燚</t>
  </si>
  <si>
    <t>崔锴</t>
  </si>
  <si>
    <t>北京市</t>
  </si>
  <si>
    <t>企业</t>
  </si>
  <si>
    <t>链家曹江</t>
    <phoneticPr fontId="134" type="noConversion"/>
  </si>
  <si>
    <r>
      <t>左图中案例位于1层临主街，挂单价</t>
    </r>
    <r>
      <rPr>
        <sz val="11"/>
        <color theme="1"/>
        <rFont val="宋体"/>
        <family val="3"/>
        <charset val="134"/>
        <scheme val="minor"/>
      </rPr>
      <t>59572元，有客户想买出价单价50000元，年租金17万，日租金7.22元</t>
    </r>
    <phoneticPr fontId="134" type="noConversion"/>
  </si>
  <si>
    <t>目前绿地中央广场1层南边一半出租，北边全空置，</t>
    <phoneticPr fontId="134" type="noConversion"/>
  </si>
  <si>
    <t>现房</t>
  </si>
  <si>
    <t>商业项目</t>
  </si>
  <si>
    <t>建成年代</t>
    <phoneticPr fontId="3" type="noConversion"/>
  </si>
  <si>
    <t>直线</t>
    <phoneticPr fontId="3" type="noConversion"/>
  </si>
  <si>
    <t>成新度</t>
  </si>
  <si>
    <t>是</t>
  </si>
  <si>
    <t>地上</t>
  </si>
  <si>
    <t>押一</t>
  </si>
  <si>
    <t>钢混</t>
  </si>
  <si>
    <t>非生产用房</t>
  </si>
  <si>
    <t>否</t>
  </si>
  <si>
    <t>不临65条商业街</t>
  </si>
  <si>
    <t>楼层修正</t>
  </si>
  <si>
    <t>2层</t>
    <phoneticPr fontId="134" type="noConversion"/>
  </si>
  <si>
    <r>
      <t>2</t>
    </r>
    <r>
      <rPr>
        <sz val="11"/>
        <color theme="1"/>
        <rFont val="宋体"/>
        <family val="3"/>
        <charset val="134"/>
        <scheme val="minor"/>
      </rPr>
      <t>024.6.10-2026.6.9</t>
    </r>
    <phoneticPr fontId="134" type="noConversion"/>
  </si>
  <si>
    <t>月租金</t>
    <phoneticPr fontId="134" type="noConversion"/>
  </si>
  <si>
    <t>押金</t>
    <phoneticPr fontId="134" type="noConversion"/>
  </si>
  <si>
    <t>含物业、供暖，不含税</t>
    <phoneticPr fontId="134" type="noConversion"/>
  </si>
  <si>
    <t>日租金</t>
    <phoneticPr fontId="134" type="noConversion"/>
  </si>
  <si>
    <t>1层</t>
    <phoneticPr fontId="134" type="noConversion"/>
  </si>
  <si>
    <t>2024.3.20-2026.3.19</t>
    <phoneticPr fontId="134" type="noConversion"/>
  </si>
  <si>
    <t>税</t>
    <phoneticPr fontId="134" type="noConversion"/>
  </si>
  <si>
    <t>租期</t>
    <phoneticPr fontId="134" type="noConversion"/>
  </si>
  <si>
    <t>2年</t>
    <phoneticPr fontId="134" type="noConversion"/>
  </si>
  <si>
    <t>6年</t>
    <phoneticPr fontId="134" type="noConversion"/>
  </si>
  <si>
    <t>付款方式</t>
    <phoneticPr fontId="134" type="noConversion"/>
  </si>
  <si>
    <t>押一付三</t>
    <phoneticPr fontId="134" type="noConversion"/>
  </si>
  <si>
    <t>押二付三</t>
    <phoneticPr fontId="134" type="noConversion"/>
  </si>
  <si>
    <t>租赁面积</t>
    <phoneticPr fontId="134" type="noConversion"/>
  </si>
  <si>
    <t>含税和物业</t>
    <phoneticPr fontId="134" type="noConversion"/>
  </si>
  <si>
    <t>2层</t>
    <phoneticPr fontId="134" type="noConversion"/>
  </si>
  <si>
    <t>2024.5.28-2026.5.27</t>
    <phoneticPr fontId="134" type="noConversion"/>
  </si>
  <si>
    <t>押一付三</t>
    <phoneticPr fontId="134" type="noConversion"/>
  </si>
  <si>
    <t>海淀绿地中央广场</t>
    <phoneticPr fontId="3" type="noConversion"/>
  </si>
  <si>
    <t>正常</t>
  </si>
  <si>
    <t>商业</t>
    <phoneticPr fontId="30" type="noConversion"/>
  </si>
  <si>
    <t>报价</t>
  </si>
  <si>
    <t>报价</t>
    <phoneticPr fontId="30" type="noConversion"/>
  </si>
  <si>
    <t>时间</t>
  </si>
  <si>
    <t>楼栋号</t>
  </si>
  <si>
    <t>单元号</t>
  </si>
  <si>
    <t>总楼层</t>
  </si>
  <si>
    <t>楼层号</t>
  </si>
  <si>
    <t>房间号</t>
  </si>
  <si>
    <t>许可证号</t>
  </si>
  <si>
    <t>物业类型</t>
  </si>
  <si>
    <t>户型</t>
  </si>
  <si>
    <t>成交面积(㎡)</t>
  </si>
  <si>
    <t>成交金额(万元)</t>
  </si>
  <si>
    <t>成交单价(元/㎡)</t>
  </si>
  <si>
    <t>2号楼</t>
  </si>
  <si>
    <t>现：京(2019)海不动产权第0029663号</t>
  </si>
  <si>
    <t>其他</t>
  </si>
  <si>
    <t>5号楼</t>
  </si>
  <si>
    <t>现：京(2019)海不动产权第0029656号</t>
  </si>
  <si>
    <t>1号楼</t>
  </si>
  <si>
    <t>现：京(2019)海不动产权第0009559号</t>
  </si>
  <si>
    <t>现：京(2019)海不动产权第0029645号</t>
  </si>
  <si>
    <t>3号楼</t>
  </si>
  <si>
    <t>现：京(2019)海不动产权第0029651号</t>
  </si>
  <si>
    <t>一般</t>
  </si>
  <si>
    <t>较好</t>
  </si>
  <si>
    <t>七通</t>
  </si>
  <si>
    <t>配套商业</t>
  </si>
  <si>
    <t>配套商业</t>
    <phoneticPr fontId="30" type="noConversion"/>
  </si>
  <si>
    <t>钢混</t>
    <phoneticPr fontId="30" type="noConversion"/>
  </si>
  <si>
    <t>七通</t>
    <phoneticPr fontId="30" type="noConversion"/>
  </si>
  <si>
    <t>六通</t>
    <phoneticPr fontId="30" type="noConversion"/>
  </si>
  <si>
    <t>五通</t>
    <phoneticPr fontId="30" type="noConversion"/>
  </si>
  <si>
    <t>四通</t>
    <phoneticPr fontId="30" type="noConversion"/>
  </si>
  <si>
    <t>可餐饮</t>
  </si>
  <si>
    <t>可餐饮</t>
    <phoneticPr fontId="30" type="noConversion"/>
  </si>
  <si>
    <t>精装修</t>
    <phoneticPr fontId="30" type="noConversion"/>
  </si>
  <si>
    <t>普通装修</t>
    <phoneticPr fontId="30" type="noConversion"/>
  </si>
  <si>
    <t>简单装修</t>
  </si>
  <si>
    <t>简单装修</t>
    <phoneticPr fontId="30" type="noConversion"/>
  </si>
  <si>
    <t>毛坯</t>
    <phoneticPr fontId="30" type="noConversion"/>
  </si>
  <si>
    <t>单套模式</t>
  </si>
  <si>
    <t>售价</t>
  </si>
  <si>
    <t>4号楼</t>
  </si>
  <si>
    <t>现：京(2019)海不动产权第0009562号</t>
  </si>
  <si>
    <t>现：京(2019)海不动产权第0009561号</t>
  </si>
  <si>
    <r>
      <t>1</t>
    </r>
    <r>
      <rPr>
        <sz val="11"/>
        <color theme="1"/>
        <rFont val="宋体"/>
        <family val="3"/>
        <charset val="134"/>
        <scheme val="minor"/>
      </rPr>
      <t>-2层日租金</t>
    </r>
    <phoneticPr fontId="134" type="noConversion"/>
  </si>
  <si>
    <t>依据中指</t>
    <phoneticPr fontId="3" type="noConversion"/>
  </si>
  <si>
    <t>商业</t>
    <phoneticPr fontId="6" type="noConversion"/>
  </si>
  <si>
    <t>合同信息</t>
    <phoneticPr fontId="134" type="noConversion"/>
  </si>
  <si>
    <t>物业费</t>
    <phoneticPr fontId="134" type="noConversion"/>
  </si>
  <si>
    <t>房号</t>
    <phoneticPr fontId="134" type="noConversion"/>
  </si>
  <si>
    <t>楼层</t>
    <phoneticPr fontId="134" type="noConversion"/>
  </si>
  <si>
    <t>租赁期限</t>
    <phoneticPr fontId="134" type="noConversion"/>
  </si>
  <si>
    <t>租赁期限</t>
    <phoneticPr fontId="134" type="noConversion"/>
  </si>
  <si>
    <t>110的1层有一半面积空置，约60平方</t>
    <phoneticPr fontId="134" type="noConversion"/>
  </si>
  <si>
    <t>备注</t>
    <phoneticPr fontId="134" type="noConversion"/>
  </si>
  <si>
    <t>含税日租金</t>
    <phoneticPr fontId="134" type="noConversion"/>
  </si>
  <si>
    <r>
      <t>元/月</t>
    </r>
    <r>
      <rPr>
        <sz val="11"/>
        <color theme="1"/>
        <rFont val="宋体"/>
        <family val="3"/>
        <charset val="134"/>
        <scheme val="minor"/>
      </rPr>
      <t>/平方米</t>
    </r>
    <phoneticPr fontId="134" type="noConversion"/>
  </si>
  <si>
    <t>元/日/平方米</t>
    <phoneticPr fontId="134" type="noConversion"/>
  </si>
  <si>
    <t>‌北京市非居民供热价格标准为城六区45元/建筑平方米•采暖季</t>
  </si>
  <si>
    <t>取暖费</t>
    <phoneticPr fontId="134" type="noConversion"/>
  </si>
  <si>
    <r>
      <t>1</t>
    </r>
    <r>
      <rPr>
        <sz val="11"/>
        <color theme="1"/>
        <rFont val="宋体"/>
        <family val="3"/>
        <charset val="134"/>
        <scheme val="minor"/>
      </rPr>
      <t>-2层平均日租金</t>
    </r>
    <phoneticPr fontId="134" type="noConversion"/>
  </si>
  <si>
    <t>好</t>
  </si>
  <si>
    <t>较差</t>
  </si>
  <si>
    <t>差</t>
  </si>
  <si>
    <t>多</t>
  </si>
  <si>
    <t>较多</t>
  </si>
  <si>
    <t>较少</t>
  </si>
  <si>
    <t>少</t>
    <phoneticPr fontId="134" type="noConversion"/>
  </si>
  <si>
    <t>较好</t>
    <phoneticPr fontId="30" type="noConversion"/>
  </si>
  <si>
    <t>平面位置可视性</t>
    <phoneticPr fontId="3" type="noConversion"/>
  </si>
  <si>
    <t>较好</t>
    <phoneticPr fontId="24" type="noConversion"/>
  </si>
  <si>
    <t>一般</t>
    <phoneticPr fontId="24" type="noConversion"/>
  </si>
  <si>
    <t>楼面单价</t>
  </si>
  <si>
    <t>自定义</t>
  </si>
  <si>
    <t>中指</t>
    <phoneticPr fontId="134" type="noConversion"/>
  </si>
  <si>
    <t>海淀绿地中央广场</t>
    <phoneticPr fontId="134" type="noConversion"/>
  </si>
  <si>
    <r>
      <t>1</t>
    </r>
    <r>
      <rPr>
        <sz val="11"/>
        <color theme="1"/>
        <rFont val="宋体"/>
        <family val="3"/>
        <charset val="134"/>
        <scheme val="minor"/>
      </rPr>
      <t xml:space="preserve">04全部出租 </t>
    </r>
    <phoneticPr fontId="134" type="noConversion"/>
  </si>
  <si>
    <t>上庄馨瑞嘉园</t>
    <phoneticPr fontId="30" type="noConversion"/>
  </si>
  <si>
    <t>不可餐饮</t>
  </si>
  <si>
    <t>不可餐饮</t>
    <phoneticPr fontId="30" type="noConversion"/>
  </si>
  <si>
    <t>毛坯</t>
  </si>
  <si>
    <t>土地成交时间</t>
    <phoneticPr fontId="3" type="noConversion"/>
  </si>
  <si>
    <t>依据中指</t>
    <phoneticPr fontId="3" type="noConversion"/>
  </si>
  <si>
    <t>社区内底商</t>
    <phoneticPr fontId="134" type="noConversion"/>
  </si>
  <si>
    <t>租金</t>
    <phoneticPr fontId="134" type="noConversion"/>
  </si>
  <si>
    <t>面积</t>
    <phoneticPr fontId="134" type="noConversion"/>
  </si>
  <si>
    <t>日租金</t>
    <phoneticPr fontId="134" type="noConversion"/>
  </si>
  <si>
    <t>租售比</t>
    <phoneticPr fontId="134" type="noConversion"/>
  </si>
  <si>
    <t>馨瑞嘉园</t>
    <phoneticPr fontId="30" type="noConversion"/>
  </si>
  <si>
    <t>建成年代</t>
    <phoneticPr fontId="30" type="noConversion"/>
  </si>
  <si>
    <t>直线</t>
    <phoneticPr fontId="30" type="noConversion"/>
  </si>
  <si>
    <t>2023.3.16-2029.3.15</t>
    <phoneticPr fontId="134" type="noConversion"/>
  </si>
  <si>
    <t>北京澳博汇洋信息咨询有限公司</t>
    <phoneticPr fontId="6" type="noConversion"/>
  </si>
  <si>
    <t>1层层高6米，2层层高约4.2米</t>
    <phoneticPr fontId="134" type="noConversion"/>
  </si>
  <si>
    <t>110将1层分隔为两层，每层层高约3米。实际共3层</t>
    <phoneticPr fontId="134" type="noConversion"/>
  </si>
  <si>
    <t>根据现场勘查5号楼与15号楼为同一栋楼，1层和2层可独立使用，2层有独立入口。现状1层作为商业使用，2层作为办公使用。110分割为两层后，一层又分割为两部分，一部分出租作为烟酒店，一部分空置。</t>
    <phoneticPr fontId="134" type="noConversion"/>
  </si>
  <si>
    <t>需求</t>
    <phoneticPr fontId="8" type="noConversion"/>
  </si>
  <si>
    <t>单价</t>
    <phoneticPr fontId="8" type="noConversion"/>
  </si>
  <si>
    <t>目前空置</t>
    <phoneticPr fontId="134" type="noConversion"/>
  </si>
  <si>
    <t>左右</t>
    <phoneticPr fontId="134" type="noConversion"/>
  </si>
  <si>
    <t>建筑面积</t>
    <phoneticPr fontId="134" type="noConversion"/>
  </si>
  <si>
    <r>
      <t>1</t>
    </r>
    <r>
      <rPr>
        <sz val="11"/>
        <color theme="1"/>
        <rFont val="宋体"/>
        <family val="3"/>
        <charset val="134"/>
        <scheme val="minor"/>
      </rPr>
      <t>-2层</t>
    </r>
    <phoneticPr fontId="134" type="noConversion"/>
  </si>
  <si>
    <r>
      <t>1层面积</t>
    </r>
    <r>
      <rPr>
        <sz val="11"/>
        <color theme="1"/>
        <rFont val="宋体"/>
        <family val="3"/>
        <charset val="134"/>
        <scheme val="minor"/>
      </rPr>
      <t>125</t>
    </r>
    <phoneticPr fontId="134" type="noConversion"/>
  </si>
  <si>
    <t>2层面积169.52</t>
    <phoneticPr fontId="134" type="noConversion"/>
  </si>
  <si>
    <t>剩余租赁期</t>
    <phoneticPr fontId="134" type="noConversion"/>
  </si>
  <si>
    <t>一般</t>
    <phoneticPr fontId="30" type="noConversion"/>
  </si>
  <si>
    <t>收益法 (元)110</t>
  </si>
  <si>
    <t>收益法 (元)110</t>
    <phoneticPr fontId="16" type="noConversion"/>
  </si>
  <si>
    <t>收益法 (元)104</t>
  </si>
  <si>
    <t>收益法 (元)104</t>
    <phoneticPr fontId="16" type="noConversion"/>
  </si>
  <si>
    <t>比较法-商业110</t>
  </si>
  <si>
    <t>比较法-商业110</t>
    <phoneticPr fontId="16" type="noConversion"/>
  </si>
  <si>
    <t>比较法-商业104</t>
    <phoneticPr fontId="16" type="noConversion"/>
  </si>
  <si>
    <t>估价对象2</t>
    <phoneticPr fontId="134" type="noConversion"/>
  </si>
  <si>
    <r>
      <t>1</t>
    </r>
    <r>
      <rPr>
        <sz val="11"/>
        <color indexed="8"/>
        <rFont val="宋体"/>
        <family val="3"/>
        <charset val="134"/>
      </rPr>
      <t>层（挑高）</t>
    </r>
    <phoneticPr fontId="30" type="noConversion"/>
  </si>
  <si>
    <t>普通装修</t>
  </si>
  <si>
    <t>夏霖园</t>
    <phoneticPr fontId="30" type="noConversion"/>
  </si>
  <si>
    <t>夏霖园</t>
    <phoneticPr fontId="134" type="noConversion"/>
  </si>
  <si>
    <t>比较法-商业104</t>
  </si>
  <si>
    <r>
      <t>1</t>
    </r>
    <r>
      <rPr>
        <sz val="11"/>
        <rFont val="宋体"/>
        <family val="3"/>
        <charset val="134"/>
      </rPr>
      <t>层挑高</t>
    </r>
    <phoneticPr fontId="30" type="noConversion"/>
  </si>
  <si>
    <r>
      <t>1</t>
    </r>
    <r>
      <rPr>
        <sz val="11"/>
        <rFont val="宋体"/>
        <family val="3"/>
        <charset val="134"/>
      </rPr>
      <t>层</t>
    </r>
    <phoneticPr fontId="30" type="noConversion"/>
  </si>
  <si>
    <r>
      <t>2</t>
    </r>
    <r>
      <rPr>
        <sz val="11"/>
        <rFont val="宋体"/>
        <family val="3"/>
        <charset val="134"/>
      </rPr>
      <t>层</t>
    </r>
    <phoneticPr fontId="30" type="noConversion"/>
  </si>
  <si>
    <r>
      <t>1-2</t>
    </r>
    <r>
      <rPr>
        <sz val="11"/>
        <rFont val="宋体"/>
        <family val="3"/>
        <charset val="134"/>
      </rPr>
      <t>层挑高</t>
    </r>
    <phoneticPr fontId="30" type="noConversion"/>
  </si>
  <si>
    <r>
      <t>1-2</t>
    </r>
    <r>
      <rPr>
        <sz val="11"/>
        <color indexed="8"/>
        <rFont val="宋体"/>
        <family val="3"/>
        <charset val="134"/>
      </rPr>
      <t>层</t>
    </r>
    <phoneticPr fontId="30"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</si>
  <si>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</si>
  <si>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</si>
  <si>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1-2</t>
    </r>
    <r>
      <rPr>
        <sz val="11"/>
        <color indexed="8"/>
        <rFont val="宋体"/>
        <family val="3"/>
        <charset val="134"/>
      </rPr>
      <t>层（挑高）</t>
    </r>
    <phoneticPr fontId="30" type="noConversion"/>
  </si>
  <si>
    <t>1-2层（挑高）</t>
  </si>
  <si>
    <t>临次干道</t>
  </si>
  <si>
    <t>临次干道</t>
    <phoneticPr fontId="30" type="noConversion"/>
  </si>
  <si>
    <t>临支路</t>
  </si>
  <si>
    <t>临支路</t>
    <phoneticPr fontId="30" type="noConversion"/>
  </si>
  <si>
    <t>不临路</t>
  </si>
  <si>
    <t>不临路</t>
    <phoneticPr fontId="30" type="noConversion"/>
  </si>
  <si>
    <t>修正系数</t>
    <phoneticPr fontId="134" type="noConversion"/>
  </si>
  <si>
    <t>租金</t>
    <phoneticPr fontId="134" type="noConversion"/>
  </si>
  <si>
    <r>
      <rPr>
        <sz val="11"/>
        <color indexed="53"/>
        <rFont val="宋体"/>
        <family val="3"/>
        <charset val="134"/>
      </rPr>
      <t>案例</t>
    </r>
    <r>
      <rPr>
        <sz val="11"/>
        <color indexed="53"/>
        <rFont val="Arial"/>
        <family val="2"/>
      </rPr>
      <t>1</t>
    </r>
    <phoneticPr fontId="30" type="noConversion"/>
  </si>
  <si>
    <r>
      <rPr>
        <sz val="11"/>
        <color indexed="53"/>
        <rFont val="宋体"/>
        <family val="3"/>
        <charset val="134"/>
      </rPr>
      <t>案例</t>
    </r>
    <r>
      <rPr>
        <sz val="11"/>
        <color indexed="53"/>
        <rFont val="Arial"/>
        <family val="2"/>
      </rPr>
      <t>2</t>
    </r>
    <phoneticPr fontId="30" type="noConversion"/>
  </si>
  <si>
    <r>
      <rPr>
        <sz val="11"/>
        <color indexed="8"/>
        <rFont val="宋体"/>
        <family val="3"/>
        <charset val="134"/>
      </rPr>
      <t>案例</t>
    </r>
    <r>
      <rPr>
        <sz val="11"/>
        <color indexed="8"/>
        <rFont val="Arial"/>
        <family val="2"/>
      </rPr>
      <t>3</t>
    </r>
    <phoneticPr fontId="30" type="noConversion"/>
  </si>
  <si>
    <r>
      <t>1</t>
    </r>
    <r>
      <rPr>
        <sz val="11"/>
        <rFont val="宋体"/>
        <family val="3"/>
        <charset val="134"/>
      </rPr>
      <t>层调高</t>
    </r>
    <phoneticPr fontId="30" type="noConversion"/>
  </si>
  <si>
    <r>
      <t>1</t>
    </r>
    <r>
      <rPr>
        <sz val="11"/>
        <rFont val="宋体"/>
        <family val="3"/>
        <charset val="134"/>
      </rPr>
      <t>层</t>
    </r>
    <phoneticPr fontId="30" type="noConversion"/>
  </si>
  <si>
    <t>1层（挑高）</t>
  </si>
  <si>
    <t>1层</t>
  </si>
  <si>
    <t>上庄馨瑞嘉园</t>
    <phoneticPr fontId="30" type="noConversion"/>
  </si>
  <si>
    <r>
      <rPr>
        <sz val="10"/>
        <color theme="9" tint="-0.249977111117893"/>
        <rFont val="宋体"/>
        <family val="3"/>
        <charset val="134"/>
      </rPr>
      <t>海淀区林风二路</t>
    </r>
    <r>
      <rPr>
        <sz val="10"/>
        <color theme="9" tint="-0.249977111117893"/>
        <rFont val="Arial"/>
        <family val="2"/>
      </rPr>
      <t>38</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110</t>
    </r>
    <phoneticPr fontId="6" type="noConversion"/>
  </si>
  <si>
    <t>估价对象1（本表）104</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</si>
</sst>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color rgb="FF333333"/>
      <name val="Arial"/>
      <family val="2"/>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77" fillId="12" borderId="0" xfId="0" applyFont="1" applyFill="1" applyAlignment="1" applyProtection="1">
      <alignment vertical="center"/>
      <protection locked="0"/>
    </xf>
    <xf numFmtId="9"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4" fontId="0" fillId="0" borderId="0" xfId="0" applyNumberFormat="1">
      <alignment vertical="center"/>
    </xf>
    <xf numFmtId="14" fontId="0" fillId="5" borderId="0" xfId="0" applyNumberFormat="1" applyFill="1">
      <alignment vertical="center"/>
    </xf>
    <xf numFmtId="0" fontId="0" fillId="5" borderId="0" xfId="0" applyFill="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4" fontId="0" fillId="0" borderId="0" xfId="0" applyNumberFormat="1" applyFill="1">
      <alignment vertical="center"/>
    </xf>
    <xf numFmtId="0" fontId="0" fillId="0" borderId="0" xfId="0" applyFill="1">
      <alignment vertical="center"/>
    </xf>
    <xf numFmtId="176" fontId="47" fillId="12" borderId="0" xfId="0" applyNumberFormat="1" applyFont="1" applyFill="1" applyAlignment="1" applyProtection="1">
      <alignment vertical="center"/>
      <protection locked="0"/>
    </xf>
    <xf numFmtId="0" fontId="269"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70"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5" fillId="5" borderId="0" xfId="0" applyFont="1" applyFill="1">
      <alignment vertical="center"/>
    </xf>
    <xf numFmtId="0" fontId="77" fillId="12" borderId="0" xfId="0" applyFont="1" applyFill="1" applyAlignment="1" applyProtection="1">
      <alignment horizontal="center" vertical="center"/>
      <protection locked="0"/>
    </xf>
    <xf numFmtId="0" fontId="94" fillId="12" borderId="0" xfId="0" applyFont="1" applyFill="1" applyBorder="1" applyAlignment="1" applyProtection="1">
      <alignment horizontal="center" vertical="center"/>
      <protection locked="0"/>
    </xf>
    <xf numFmtId="0" fontId="77" fillId="7" borderId="54" xfId="0" applyFont="1" applyFill="1" applyBorder="1" applyAlignment="1" applyProtection="1">
      <alignment vertical="center" wrapText="1"/>
      <protection locked="0"/>
    </xf>
    <xf numFmtId="9" fontId="51" fillId="0" borderId="37"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176" fontId="68" fillId="12" borderId="0" xfId="0" applyNumberFormat="1" applyFont="1" applyFill="1" applyBorder="1" applyAlignment="1" applyProtection="1">
      <alignment horizontal="center" vertical="center" wrapText="1"/>
      <protection locked="0"/>
    </xf>
    <xf numFmtId="176" fontId="44" fillId="12" borderId="0" xfId="0" applyNumberFormat="1" applyFont="1" applyFill="1" applyBorder="1" applyAlignment="1" applyProtection="1">
      <alignment horizontal="center" vertical="center" wrapText="1"/>
      <protection locked="0"/>
    </xf>
    <xf numFmtId="176" fontId="49" fillId="12" borderId="0" xfId="0" applyNumberFormat="1" applyFont="1" applyFill="1" applyBorder="1" applyAlignment="1" applyProtection="1">
      <alignment horizontal="center" vertical="center" wrapText="1"/>
      <protection locked="0"/>
    </xf>
    <xf numFmtId="185" fontId="68" fillId="12" borderId="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15240</xdr:rowOff>
    </xdr:from>
    <xdr:to>
      <xdr:col>16</xdr:col>
      <xdr:colOff>458149</xdr:colOff>
      <xdr:row>32</xdr:row>
      <xdr:rowOff>76712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5240"/>
          <a:ext cx="10950889" cy="5913632"/>
        </a:xfrm>
        <a:prstGeom prst="rect">
          <a:avLst/>
        </a:prstGeom>
      </xdr:spPr>
    </xdr:pic>
    <xdr:clientData/>
  </xdr:twoCellAnchor>
  <xdr:twoCellAnchor editAs="oneCell">
    <xdr:from>
      <xdr:col>0</xdr:col>
      <xdr:colOff>0</xdr:colOff>
      <xdr:row>33</xdr:row>
      <xdr:rowOff>0</xdr:rowOff>
    </xdr:from>
    <xdr:to>
      <xdr:col>15</xdr:col>
      <xdr:colOff>549544</xdr:colOff>
      <xdr:row>46</xdr:row>
      <xdr:rowOff>167861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6035040"/>
          <a:ext cx="10432684" cy="2545301"/>
        </a:xfrm>
        <a:prstGeom prst="rect">
          <a:avLst/>
        </a:prstGeom>
      </xdr:spPr>
    </xdr:pic>
    <xdr:clientData/>
  </xdr:twoCellAnchor>
  <xdr:twoCellAnchor editAs="oneCell">
    <xdr:from>
      <xdr:col>17</xdr:col>
      <xdr:colOff>0</xdr:colOff>
      <xdr:row>1</xdr:row>
      <xdr:rowOff>0</xdr:rowOff>
    </xdr:from>
    <xdr:to>
      <xdr:col>36</xdr:col>
      <xdr:colOff>122934</xdr:colOff>
      <xdr:row>34</xdr:row>
      <xdr:rowOff>61488</xdr:rowOff>
    </xdr:to>
    <xdr:pic>
      <xdr:nvPicPr>
        <xdr:cNvPr id="2" name="图片 1"/>
        <xdr:cNvPicPr>
          <a:picLocks noChangeAspect="1"/>
        </xdr:cNvPicPr>
      </xdr:nvPicPr>
      <xdr:blipFill>
        <a:blip xmlns:r="http://schemas.openxmlformats.org/officeDocument/2006/relationships" r:embed="rId3"/>
        <a:stretch>
          <a:fillRect/>
        </a:stretch>
      </xdr:blipFill>
      <xdr:spPr>
        <a:xfrm>
          <a:off x="11102340" y="182880"/>
          <a:ext cx="11705334" cy="60965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8</xdr:col>
      <xdr:colOff>435257</xdr:colOff>
      <xdr:row>27</xdr:row>
      <xdr:rowOff>121921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312057" cy="4145280"/>
        </a:xfrm>
        <a:prstGeom prst="rect">
          <a:avLst/>
        </a:prstGeom>
      </xdr:spPr>
    </xdr:pic>
    <xdr:clientData/>
  </xdr:twoCellAnchor>
  <xdr:twoCellAnchor editAs="oneCell">
    <xdr:from>
      <xdr:col>8</xdr:col>
      <xdr:colOff>76200</xdr:colOff>
      <xdr:row>5</xdr:row>
      <xdr:rowOff>0</xdr:rowOff>
    </xdr:from>
    <xdr:to>
      <xdr:col>11</xdr:col>
      <xdr:colOff>228802</xdr:colOff>
      <xdr:row>22</xdr:row>
      <xdr:rowOff>106959</xdr:rowOff>
    </xdr:to>
    <xdr:pic>
      <xdr:nvPicPr>
        <xdr:cNvPr id="3" name="图片 2"/>
        <xdr:cNvPicPr>
          <a:picLocks noChangeAspect="1"/>
        </xdr:cNvPicPr>
      </xdr:nvPicPr>
      <xdr:blipFill>
        <a:blip xmlns:r="http://schemas.openxmlformats.org/officeDocument/2006/relationships" r:embed="rId2"/>
        <a:stretch>
          <a:fillRect/>
        </a:stretch>
      </xdr:blipFill>
      <xdr:spPr>
        <a:xfrm>
          <a:off x="4953000" y="0"/>
          <a:ext cx="2324302" cy="3215919"/>
        </a:xfrm>
        <a:prstGeom prst="rect">
          <a:avLst/>
        </a:prstGeom>
      </xdr:spPr>
    </xdr:pic>
    <xdr:clientData/>
  </xdr:twoCellAnchor>
  <xdr:twoCellAnchor editAs="oneCell">
    <xdr:from>
      <xdr:col>0</xdr:col>
      <xdr:colOff>0</xdr:colOff>
      <xdr:row>34</xdr:row>
      <xdr:rowOff>68580</xdr:rowOff>
    </xdr:from>
    <xdr:to>
      <xdr:col>7</xdr:col>
      <xdr:colOff>30853</xdr:colOff>
      <xdr:row>59</xdr:row>
      <xdr:rowOff>122321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372100"/>
          <a:ext cx="4298053" cy="4625741"/>
        </a:xfrm>
        <a:prstGeom prst="rect">
          <a:avLst/>
        </a:prstGeom>
      </xdr:spPr>
    </xdr:pic>
    <xdr:clientData/>
  </xdr:twoCellAnchor>
  <xdr:twoCellAnchor editAs="oneCell">
    <xdr:from>
      <xdr:col>0</xdr:col>
      <xdr:colOff>0</xdr:colOff>
      <xdr:row>60</xdr:row>
      <xdr:rowOff>30480</xdr:rowOff>
    </xdr:from>
    <xdr:to>
      <xdr:col>10</xdr:col>
      <xdr:colOff>21033</xdr:colOff>
      <xdr:row>88</xdr:row>
      <xdr:rowOff>160556</xdr:rowOff>
    </xdr:to>
    <xdr:pic>
      <xdr:nvPicPr>
        <xdr:cNvPr id="6" name="图片 5"/>
        <xdr:cNvPicPr>
          <a:picLocks noChangeAspect="1"/>
        </xdr:cNvPicPr>
      </xdr:nvPicPr>
      <xdr:blipFill>
        <a:blip xmlns:r="http://schemas.openxmlformats.org/officeDocument/2006/relationships" r:embed="rId4"/>
        <a:stretch>
          <a:fillRect/>
        </a:stretch>
      </xdr:blipFill>
      <xdr:spPr>
        <a:xfrm>
          <a:off x="0" y="9357360"/>
          <a:ext cx="6459933" cy="5250716"/>
        </a:xfrm>
        <a:prstGeom prst="rect">
          <a:avLst/>
        </a:prstGeom>
      </xdr:spPr>
    </xdr:pic>
    <xdr:clientData/>
  </xdr:twoCellAnchor>
  <xdr:twoCellAnchor editAs="oneCell">
    <xdr:from>
      <xdr:col>16</xdr:col>
      <xdr:colOff>419100</xdr:colOff>
      <xdr:row>88</xdr:row>
      <xdr:rowOff>137160</xdr:rowOff>
    </xdr:from>
    <xdr:to>
      <xdr:col>19</xdr:col>
      <xdr:colOff>564112</xdr:colOff>
      <xdr:row>115</xdr:row>
      <xdr:rowOff>69002</xdr:rowOff>
    </xdr:to>
    <xdr:pic>
      <xdr:nvPicPr>
        <xdr:cNvPr id="9" name="图片 8"/>
        <xdr:cNvPicPr>
          <a:picLocks noChangeAspect="1"/>
        </xdr:cNvPicPr>
      </xdr:nvPicPr>
      <xdr:blipFill>
        <a:blip xmlns:r="http://schemas.openxmlformats.org/officeDocument/2006/relationships" r:embed="rId5"/>
        <a:stretch>
          <a:fillRect/>
        </a:stretch>
      </xdr:blipFill>
      <xdr:spPr>
        <a:xfrm>
          <a:off x="10271760" y="15316200"/>
          <a:ext cx="2674852" cy="4869602"/>
        </a:xfrm>
        <a:prstGeom prst="rect">
          <a:avLst/>
        </a:prstGeom>
      </xdr:spPr>
    </xdr:pic>
    <xdr:clientData/>
  </xdr:twoCellAnchor>
  <xdr:twoCellAnchor editAs="oneCell">
    <xdr:from>
      <xdr:col>0</xdr:col>
      <xdr:colOff>0</xdr:colOff>
      <xdr:row>90</xdr:row>
      <xdr:rowOff>68580</xdr:rowOff>
    </xdr:from>
    <xdr:to>
      <xdr:col>10</xdr:col>
      <xdr:colOff>384712</xdr:colOff>
      <xdr:row>117</xdr:row>
      <xdr:rowOff>168178</xdr:rowOff>
    </xdr:to>
    <xdr:pic>
      <xdr:nvPicPr>
        <xdr:cNvPr id="5" name="图片 4"/>
        <xdr:cNvPicPr>
          <a:picLocks noChangeAspect="1"/>
        </xdr:cNvPicPr>
      </xdr:nvPicPr>
      <xdr:blipFill>
        <a:blip xmlns:r="http://schemas.openxmlformats.org/officeDocument/2006/relationships" r:embed="rId6"/>
        <a:stretch>
          <a:fillRect/>
        </a:stretch>
      </xdr:blipFill>
      <xdr:spPr>
        <a:xfrm>
          <a:off x="0" y="15613380"/>
          <a:ext cx="6823612" cy="5037358"/>
        </a:xfrm>
        <a:prstGeom prst="rect">
          <a:avLst/>
        </a:prstGeom>
      </xdr:spPr>
    </xdr:pic>
    <xdr:clientData/>
  </xdr:twoCellAnchor>
  <xdr:twoCellAnchor editAs="oneCell">
    <xdr:from>
      <xdr:col>0</xdr:col>
      <xdr:colOff>314325</xdr:colOff>
      <xdr:row>119</xdr:row>
      <xdr:rowOff>66675</xdr:rowOff>
    </xdr:from>
    <xdr:to>
      <xdr:col>17</xdr:col>
      <xdr:colOff>350874</xdr:colOff>
      <xdr:row>148</xdr:row>
      <xdr:rowOff>161292</xdr:rowOff>
    </xdr:to>
    <xdr:pic>
      <xdr:nvPicPr>
        <xdr:cNvPr id="7" name="图片 6"/>
        <xdr:cNvPicPr>
          <a:picLocks noChangeAspect="1"/>
        </xdr:cNvPicPr>
      </xdr:nvPicPr>
      <xdr:blipFill>
        <a:blip xmlns:r="http://schemas.openxmlformats.org/officeDocument/2006/relationships" r:embed="rId7"/>
        <a:stretch>
          <a:fillRect/>
        </a:stretch>
      </xdr:blipFill>
      <xdr:spPr>
        <a:xfrm>
          <a:off x="314325" y="20469225"/>
          <a:ext cx="12409524" cy="5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2" customWidth="1"/>
    <col min="2" max="2" width="81" style="1209" customWidth="1"/>
    <col min="3" max="16384" width="9" style="1207"/>
  </cols>
  <sheetData>
    <row r="1" spans="1:2" s="1195" customFormat="1" ht="16.2" thickBot="1">
      <c r="A1" s="1194" t="s">
        <v>521</v>
      </c>
      <c r="B1" s="1193" t="s">
        <v>600</v>
      </c>
    </row>
    <row r="2" spans="1:2" s="1198" customFormat="1" ht="16.2" thickTop="1">
      <c r="A2" s="1196" t="s">
        <v>522</v>
      </c>
      <c r="B2" s="1197" t="str">
        <f>'预评函-封皮'!B37:I37</f>
        <v>北京市海淀区林风二路38号院5号楼1至2层110房地产抵押价值预评估</v>
      </c>
    </row>
    <row r="3" spans="1:2" s="1201" customFormat="1">
      <c r="A3" s="1199" t="s">
        <v>523</v>
      </c>
      <c r="B3" s="1200">
        <f>'预评函-封皮'!B40</f>
        <v>0</v>
      </c>
    </row>
    <row r="4" spans="1:2" s="1201" customFormat="1">
      <c r="A4" s="1199" t="s">
        <v>524</v>
      </c>
      <c r="B4" s="1200" t="str">
        <f ca="1">'预评函-封皮'!B46</f>
        <v>郑燚（注册号：1120070131)、崔锴（注册号：1120100036)</v>
      </c>
    </row>
    <row r="5" spans="1:2" s="1195" customFormat="1" ht="16.2" thickBot="1">
      <c r="A5" s="1202" t="s">
        <v>525</v>
      </c>
      <c r="B5" s="1203" t="str">
        <f>'预评函-封皮'!B49</f>
        <v>康正预评字号</v>
      </c>
    </row>
    <row r="6" spans="1:2" s="1198" customFormat="1" ht="16.2" thickTop="1">
      <c r="A6" s="1196" t="s">
        <v>526</v>
      </c>
      <c r="B6" s="1197" t="str">
        <f>'预评函-1'!A4</f>
        <v>受贵公司委托，我公司对北京市海淀区林风二路38号院5号楼1至2层110房地产抵押价值进行了预评估。</v>
      </c>
    </row>
    <row r="7" spans="1:2" s="1201" customFormat="1">
      <c r="A7" s="1199" t="s">
        <v>566</v>
      </c>
      <c r="B7" s="1200" t="str">
        <f>'预评函-1'!A7</f>
        <v>估价对象为北京市海淀区林风二路38号院5号楼1至2层110房地产，为北京澳博汇洋信息咨询有限公司所有。根据《国有土地使用证》[]，估价对象（分摊）出让国有建设用地使用权面积为0平方米，建筑面积为521.57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海淀区林风二路38号院5号楼1至2层110房地产,属北京澳博汇洋信息咨询有限公司开发建设的商业项目，该项目尚在开发建设中。根据《国有土地使用证》[]，估价对象（分摊）出让国有建设用地使用权面积为0平方米，规划建筑面积为521.57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海淀区林风二路38号院5号楼1至2层110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2024年7月31日（评估专业人员实地查勘之日）</v>
      </c>
    </row>
    <row r="13" spans="1:2" s="1201" customFormat="1">
      <c r="A13" s="1199" t="s">
        <v>529</v>
      </c>
      <c r="B13" s="1200" t="str">
        <f>'预评函-1'!A18</f>
        <v>本次估价的“房地产价值”是指在正常市场情况下，在价值时点2024年7月31日，估价对象规划用途为商业，土地取得方式为出让，出让国有建设用地使用权剩余土地使用年限为30，假定未设立法定优先受偿款下的房地产市场价值。</v>
      </c>
    </row>
    <row r="14" spans="1:2" s="1201" customFormat="1">
      <c r="A14" s="1199" t="s">
        <v>530</v>
      </c>
      <c r="B14" s="1200" t="str">
        <f>'预评函-1'!A19</f>
        <v>其中，“出让国有建设用地使用权价值”是指估价对象用途为商业，实际开发程度为宗地红线外“七通”（即、、、、、、）、红线内场地平整条件下，剩余土地使用年限为30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6.2" thickBot="1">
      <c r="A18" s="1202" t="s">
        <v>534</v>
      </c>
      <c r="B18" s="1203" t="str">
        <f>'预评函-1'!A24</f>
        <v>本次评估采用的主估价方法为比较法和收益法。</v>
      </c>
    </row>
    <row r="19" spans="1:2" s="1198" customFormat="1" ht="16.2"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914</v>
      </c>
    </row>
    <row r="21" spans="1:2" s="1201" customFormat="1">
      <c r="A21" s="1199" t="s">
        <v>537</v>
      </c>
      <c r="B21" s="1200">
        <f ca="1">'预评函-2'!D7</f>
        <v>34052</v>
      </c>
    </row>
    <row r="22" spans="1:2" s="1201" customFormat="1">
      <c r="A22" s="1199" t="s">
        <v>538</v>
      </c>
      <c r="B22" s="1200" t="str">
        <f ca="1">'预评函-2'!D6</f>
        <v>玖佰壹拾肆万元整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914</v>
      </c>
    </row>
    <row r="31" spans="1:2" s="1201" customFormat="1">
      <c r="A31" s="1199" t="s">
        <v>576</v>
      </c>
      <c r="B31" s="1200">
        <f ca="1">'预评函-2'!D15</f>
        <v>34052</v>
      </c>
    </row>
    <row r="32" spans="1:2" s="1201" customFormat="1">
      <c r="A32" s="1199" t="s">
        <v>543</v>
      </c>
      <c r="B32" s="1200" t="str">
        <f ca="1">'预评函-2'!D14</f>
        <v>玖佰壹拾肆万元整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北京市海淀区林风二路38号院5号楼1至2层110房地产</v>
      </c>
    </row>
    <row r="42" spans="1:2" s="1201" customFormat="1" ht="31.2">
      <c r="A42" s="1199" t="s">
        <v>590</v>
      </c>
      <c r="B42" s="1200" t="str">
        <f>'预评函-3'!B2</f>
        <v>建筑面积</v>
      </c>
    </row>
    <row r="43" spans="1:2" s="1201" customFormat="1">
      <c r="A43" s="1199" t="s">
        <v>591</v>
      </c>
      <c r="B43" s="1200">
        <f>'预评函-3'!B4</f>
        <v>521.56999999999994</v>
      </c>
    </row>
    <row r="44" spans="1:2" s="1201" customFormat="1" ht="31.2">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'预评函-3'!D4</f>
        <v>0</v>
      </c>
    </row>
    <row r="48" spans="1:2" s="1201" customFormat="1">
      <c r="A48" s="1199" t="s">
        <v>549</v>
      </c>
      <c r="B48" s="1200">
        <f>'预评函-3'!E4</f>
        <v>0</v>
      </c>
    </row>
    <row r="49" spans="1:2" s="1201" customFormat="1">
      <c r="A49" s="1199" t="s">
        <v>550</v>
      </c>
      <c r="B49" s="1200" t="str">
        <f>'预评函-3'!D5</f>
        <v>零元整</v>
      </c>
    </row>
    <row r="50" spans="1:2" s="1201" customFormat="1">
      <c r="A50" s="1199" t="s">
        <v>574</v>
      </c>
      <c r="B50" s="1200" t="str">
        <f>'预评函-3'!F2</f>
        <v>在建建筑物价值</v>
      </c>
    </row>
    <row r="51" spans="1:2" s="1201" customFormat="1">
      <c r="A51" s="1199" t="s">
        <v>551</v>
      </c>
      <c r="B51" s="1200">
        <f>'预评函-3'!F4</f>
        <v>0</v>
      </c>
    </row>
    <row r="52" spans="1:2" s="1201" customFormat="1">
      <c r="A52" s="1199" t="s">
        <v>552</v>
      </c>
      <c r="B52" s="1200">
        <f>'预评函-3'!G4</f>
        <v>0</v>
      </c>
    </row>
    <row r="53" spans="1:2" s="1201" customFormat="1">
      <c r="A53" s="1199" t="s">
        <v>580</v>
      </c>
      <c r="B53" s="1200" t="str">
        <f>'预评函-3'!F5</f>
        <v>零元整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6.2" thickBot="1">
      <c r="A57" s="1202" t="s">
        <v>599</v>
      </c>
      <c r="B57" s="1203" t="str">
        <f>'预评函-3'!A6</f>
        <v>估价师知悉的法定优先受偿款</v>
      </c>
    </row>
    <row r="58" spans="1:2" s="1198" customFormat="1" ht="16.2"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6.2" thickBot="1">
      <c r="A69" s="1202" t="s">
        <v>561</v>
      </c>
      <c r="B69" s="1204">
        <f>'预评函-4'!C31</f>
        <v>42551</v>
      </c>
    </row>
    <row r="70" spans="1:2" ht="16.2" thickTop="1">
      <c r="A70" s="1205" t="s">
        <v>562</v>
      </c>
      <c r="B70" s="1206" t="str">
        <f>'预评函-4'!A4</f>
        <v>郑燚</v>
      </c>
    </row>
    <row r="71" spans="1:2">
      <c r="A71" s="1199" t="s">
        <v>563</v>
      </c>
      <c r="B71" s="1200">
        <f ca="1">'预评函-4'!B4</f>
        <v>1120070131</v>
      </c>
    </row>
    <row r="72" spans="1:2">
      <c r="A72" s="1199" t="s">
        <v>564</v>
      </c>
      <c r="B72" s="1208" t="str">
        <f>'预评函-4'!A5</f>
        <v>崔锴</v>
      </c>
    </row>
    <row r="73" spans="1:2" s="1195" customFormat="1" ht="16.2" thickBot="1">
      <c r="A73" s="1202" t="s">
        <v>565</v>
      </c>
      <c r="B73" s="1203">
        <f ca="1">'预评函-4'!B5</f>
        <v>1120100036</v>
      </c>
    </row>
    <row r="74" spans="1:2" ht="16.2"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4.4"/>
  <cols>
    <col min="1" max="1" width="13.44140625" style="1554" customWidth="1"/>
    <col min="2" max="2" width="23.21875" style="1505" customWidth="1"/>
    <col min="3" max="3" width="13" style="1549" customWidth="1"/>
    <col min="4" max="4" width="5.77734375" style="1546" customWidth="1"/>
    <col min="5" max="5" width="7.109375" style="1546" customWidth="1"/>
    <col min="6" max="6" width="10.6640625" style="1546" customWidth="1"/>
    <col min="7" max="7" width="7.44140625" style="1546" customWidth="1"/>
    <col min="8" max="8" width="11.88671875" style="1549" customWidth="1"/>
    <col min="9" max="9" width="11.6640625" style="1549" customWidth="1"/>
    <col min="10" max="10" width="9" style="1549" customWidth="1"/>
    <col min="11" max="19" width="9" style="1546" customWidth="1"/>
    <col min="20" max="23" width="9" style="1549" customWidth="1"/>
    <col min="24" max="24" width="21.109375" style="1505" customWidth="1"/>
    <col min="25" max="16384" width="9" style="1505"/>
  </cols>
  <sheetData>
    <row r="1" spans="1:23" s="1543" customFormat="1" ht="43.2">
      <c r="A1" s="1537" t="s">
        <v>44</v>
      </c>
      <c r="B1" s="1538" t="s">
        <v>975</v>
      </c>
      <c r="C1" s="1539" t="s">
        <v>314</v>
      </c>
      <c r="D1" s="1541" t="s">
        <v>3349</v>
      </c>
      <c r="E1" s="1540" t="s">
        <v>976</v>
      </c>
      <c r="F1" s="1540" t="s">
        <v>977</v>
      </c>
      <c r="G1" s="1540" t="s">
        <v>978</v>
      </c>
      <c r="H1" s="1540" t="s">
        <v>979</v>
      </c>
      <c r="I1" s="1540" t="s">
        <v>980</v>
      </c>
      <c r="J1" s="1540" t="s">
        <v>981</v>
      </c>
      <c r="K1" s="1540" t="s">
        <v>982</v>
      </c>
      <c r="L1" s="1540" t="s">
        <v>983</v>
      </c>
      <c r="M1" s="1540" t="s">
        <v>984</v>
      </c>
      <c r="N1" s="1540" t="s">
        <v>985</v>
      </c>
      <c r="O1" s="1540" t="s">
        <v>986</v>
      </c>
      <c r="P1" s="1541" t="s">
        <v>309</v>
      </c>
      <c r="Q1" s="1541" t="s">
        <v>447</v>
      </c>
      <c r="R1" s="1540" t="s">
        <v>441</v>
      </c>
      <c r="S1" s="1540" t="s">
        <v>987</v>
      </c>
      <c r="T1" s="1542" t="s">
        <v>988</v>
      </c>
      <c r="U1" s="1540" t="s">
        <v>989</v>
      </c>
      <c r="V1" s="1540" t="s">
        <v>990</v>
      </c>
      <c r="W1" s="1540" t="s">
        <v>311</v>
      </c>
    </row>
    <row r="2" spans="1:23">
      <c r="A2" s="1544" t="s">
        <v>19</v>
      </c>
      <c r="B2" s="1544" t="s">
        <v>991</v>
      </c>
      <c r="C2" s="1545" t="s">
        <v>315</v>
      </c>
      <c r="D2" s="1546" t="s">
        <v>992</v>
      </c>
      <c r="E2" s="1546" t="s">
        <v>993</v>
      </c>
      <c r="F2" s="1546" t="s">
        <v>994</v>
      </c>
      <c r="G2" s="1546">
        <v>20</v>
      </c>
      <c r="H2" s="1546" t="s">
        <v>994</v>
      </c>
      <c r="I2" s="1546" t="s">
        <v>3335</v>
      </c>
      <c r="J2" s="1546" t="s">
        <v>995</v>
      </c>
      <c r="K2" s="1546" t="s">
        <v>996</v>
      </c>
      <c r="L2" s="1546" t="s">
        <v>996</v>
      </c>
      <c r="M2" s="1546" t="s">
        <v>996</v>
      </c>
      <c r="N2" s="1546" t="s">
        <v>996</v>
      </c>
      <c r="O2" s="1546" t="s">
        <v>996</v>
      </c>
      <c r="P2" s="1546" t="s">
        <v>996</v>
      </c>
      <c r="Q2" s="1546" t="s">
        <v>996</v>
      </c>
      <c r="R2" s="1546" t="s">
        <v>443</v>
      </c>
      <c r="S2" s="1546" t="s">
        <v>996</v>
      </c>
      <c r="T2" s="1546" t="s">
        <v>997</v>
      </c>
      <c r="U2" s="1546" t="s">
        <v>996</v>
      </c>
      <c r="V2" s="1546" t="s">
        <v>998</v>
      </c>
      <c r="W2" s="1546" t="s">
        <v>996</v>
      </c>
    </row>
    <row r="3" spans="1:23">
      <c r="A3" s="1544" t="s">
        <v>999</v>
      </c>
      <c r="B3" s="1547" t="s">
        <v>448</v>
      </c>
      <c r="C3" s="1548" t="s">
        <v>316</v>
      </c>
      <c r="D3" s="1546" t="s">
        <v>1000</v>
      </c>
      <c r="E3" s="1546" t="s">
        <v>13</v>
      </c>
      <c r="F3" s="1546" t="s">
        <v>1001</v>
      </c>
      <c r="G3" s="1546">
        <v>40</v>
      </c>
      <c r="H3" s="1546" t="s">
        <v>1001</v>
      </c>
      <c r="I3" s="1546" t="s">
        <v>3336</v>
      </c>
      <c r="J3" s="1546" t="s">
        <v>1002</v>
      </c>
      <c r="K3" s="1546" t="s">
        <v>1003</v>
      </c>
      <c r="L3" s="1546" t="s">
        <v>1003</v>
      </c>
      <c r="M3" s="1546" t="s">
        <v>1003</v>
      </c>
      <c r="N3" s="1546" t="s">
        <v>1003</v>
      </c>
      <c r="O3" s="1546" t="s">
        <v>1003</v>
      </c>
      <c r="P3" s="1546" t="s">
        <v>1003</v>
      </c>
      <c r="Q3" s="1546" t="s">
        <v>1003</v>
      </c>
      <c r="R3" s="1546" t="s">
        <v>442</v>
      </c>
      <c r="S3" s="1546" t="s">
        <v>1003</v>
      </c>
      <c r="T3" s="1546" t="s">
        <v>1004</v>
      </c>
      <c r="U3" s="1546" t="s">
        <v>1003</v>
      </c>
      <c r="V3" s="1546" t="s">
        <v>1005</v>
      </c>
      <c r="W3" s="1546" t="s">
        <v>1003</v>
      </c>
    </row>
    <row r="4" spans="1:23">
      <c r="A4" s="1544" t="s">
        <v>1006</v>
      </c>
      <c r="B4" s="1544" t="s">
        <v>1007</v>
      </c>
      <c r="C4" s="1545" t="s">
        <v>317</v>
      </c>
      <c r="D4" s="1546" t="s">
        <v>389</v>
      </c>
      <c r="E4" s="1546" t="s">
        <v>1008</v>
      </c>
      <c r="F4" s="1546" t="s">
        <v>1009</v>
      </c>
      <c r="G4" s="1546">
        <v>50</v>
      </c>
      <c r="H4" s="1546" t="s">
        <v>1009</v>
      </c>
      <c r="I4" s="1546" t="s">
        <v>3337</v>
      </c>
      <c r="K4" s="1546" t="s">
        <v>1010</v>
      </c>
      <c r="L4" s="1546" t="s">
        <v>1010</v>
      </c>
      <c r="M4" s="1546" t="s">
        <v>1010</v>
      </c>
      <c r="N4" s="1546" t="s">
        <v>1010</v>
      </c>
      <c r="O4" s="1546" t="s">
        <v>1010</v>
      </c>
      <c r="P4" s="1546" t="s">
        <v>1010</v>
      </c>
      <c r="Q4" s="1546" t="s">
        <v>1010</v>
      </c>
      <c r="R4" s="1546" t="s">
        <v>444</v>
      </c>
      <c r="S4" s="1546" t="s">
        <v>1010</v>
      </c>
      <c r="T4" s="1546" t="s">
        <v>1011</v>
      </c>
      <c r="U4" s="1546" t="s">
        <v>1010</v>
      </c>
      <c r="W4" s="1546" t="s">
        <v>1010</v>
      </c>
    </row>
    <row r="5" spans="1:23">
      <c r="A5" s="1544" t="s">
        <v>1012</v>
      </c>
      <c r="B5" s="1544" t="s">
        <v>1013</v>
      </c>
      <c r="C5" s="1545" t="s">
        <v>318</v>
      </c>
      <c r="F5" s="1546" t="s">
        <v>1014</v>
      </c>
      <c r="G5" s="1546">
        <v>70</v>
      </c>
      <c r="H5" s="1546" t="s">
        <v>1015</v>
      </c>
      <c r="I5" s="1546" t="s">
        <v>3338</v>
      </c>
      <c r="K5" s="1546" t="s">
        <v>1016</v>
      </c>
      <c r="L5" s="1546" t="s">
        <v>1016</v>
      </c>
      <c r="M5" s="1546" t="s">
        <v>1016</v>
      </c>
      <c r="N5" s="1546" t="s">
        <v>1016</v>
      </c>
      <c r="O5" s="1546" t="s">
        <v>1016</v>
      </c>
      <c r="P5" s="1546" t="s">
        <v>1016</v>
      </c>
      <c r="Q5" s="1546" t="s">
        <v>1016</v>
      </c>
      <c r="R5" s="1546" t="s">
        <v>445</v>
      </c>
      <c r="S5" s="1546" t="s">
        <v>1016</v>
      </c>
      <c r="T5" s="1546" t="s">
        <v>1017</v>
      </c>
      <c r="U5" s="1546" t="s">
        <v>1016</v>
      </c>
      <c r="W5" s="1546" t="s">
        <v>1016</v>
      </c>
    </row>
    <row r="6" spans="1:23">
      <c r="A6" s="1544" t="s">
        <v>1018</v>
      </c>
      <c r="B6" s="1547" t="s">
        <v>449</v>
      </c>
      <c r="C6" s="1550" t="s">
        <v>24</v>
      </c>
      <c r="F6" s="1546" t="s">
        <v>1015</v>
      </c>
      <c r="H6" s="1546" t="s">
        <v>1019</v>
      </c>
      <c r="I6" s="1546" t="s">
        <v>3339</v>
      </c>
      <c r="K6" s="1546" t="s">
        <v>1020</v>
      </c>
      <c r="L6" s="1546" t="s">
        <v>1020</v>
      </c>
      <c r="M6" s="1546" t="s">
        <v>1020</v>
      </c>
      <c r="N6" s="1546" t="s">
        <v>1020</v>
      </c>
      <c r="O6" s="1546" t="s">
        <v>1020</v>
      </c>
      <c r="P6" s="1546" t="s">
        <v>1020</v>
      </c>
      <c r="Q6" s="1546" t="s">
        <v>1020</v>
      </c>
      <c r="R6" s="1546" t="s">
        <v>446</v>
      </c>
      <c r="S6" s="1546" t="s">
        <v>1020</v>
      </c>
      <c r="T6" s="1546"/>
      <c r="U6" s="1546" t="s">
        <v>1020</v>
      </c>
      <c r="W6" s="1546" t="s">
        <v>1020</v>
      </c>
    </row>
    <row r="7" spans="1:23">
      <c r="A7" s="1544" t="s">
        <v>1021</v>
      </c>
      <c r="B7" s="1547" t="s">
        <v>450</v>
      </c>
      <c r="C7" s="1545" t="s">
        <v>25</v>
      </c>
      <c r="F7" s="1546" t="s">
        <v>1022</v>
      </c>
      <c r="H7" s="1546" t="s">
        <v>1023</v>
      </c>
      <c r="I7" s="1546" t="s">
        <v>3340</v>
      </c>
    </row>
    <row r="8" spans="1:23">
      <c r="A8" s="1544" t="s">
        <v>1024</v>
      </c>
      <c r="B8" s="1544" t="s">
        <v>1025</v>
      </c>
      <c r="C8" s="1545" t="s">
        <v>319</v>
      </c>
      <c r="F8" s="1546" t="s">
        <v>1026</v>
      </c>
      <c r="H8" s="1546" t="s">
        <v>2576</v>
      </c>
      <c r="I8" s="1546" t="s">
        <v>3341</v>
      </c>
    </row>
    <row r="9" spans="1:23">
      <c r="A9" s="1544" t="s">
        <v>1027</v>
      </c>
      <c r="B9" s="1544" t="s">
        <v>1028</v>
      </c>
      <c r="C9" s="1545" t="s">
        <v>320</v>
      </c>
      <c r="F9" s="1546" t="s">
        <v>1029</v>
      </c>
      <c r="H9" s="1546"/>
      <c r="I9" s="1549" t="s">
        <v>3342</v>
      </c>
    </row>
    <row r="10" spans="1:23">
      <c r="A10" s="1544" t="s">
        <v>1030</v>
      </c>
      <c r="B10" s="1544" t="s">
        <v>1031</v>
      </c>
      <c r="C10" s="1545" t="s">
        <v>321</v>
      </c>
      <c r="F10" s="1546" t="s">
        <v>2577</v>
      </c>
      <c r="I10" s="1549" t="s">
        <v>3343</v>
      </c>
    </row>
    <row r="11" spans="1:23">
      <c r="A11" s="1544" t="s">
        <v>1032</v>
      </c>
      <c r="B11" s="1544" t="s">
        <v>1033</v>
      </c>
      <c r="C11" s="1545" t="s">
        <v>322</v>
      </c>
      <c r="F11" s="1546" t="s">
        <v>13</v>
      </c>
      <c r="I11" s="1549" t="s">
        <v>3344</v>
      </c>
    </row>
    <row r="12" spans="1:23">
      <c r="A12" s="1544" t="s">
        <v>1034</v>
      </c>
      <c r="B12" s="1544" t="s">
        <v>1035</v>
      </c>
      <c r="C12" s="1545" t="s">
        <v>323</v>
      </c>
      <c r="I12" s="1549" t="s">
        <v>3345</v>
      </c>
    </row>
    <row r="13" spans="1:23">
      <c r="A13" s="1544" t="s">
        <v>1036</v>
      </c>
      <c r="B13" s="1544" t="s">
        <v>1037</v>
      </c>
      <c r="C13" s="1545" t="s">
        <v>324</v>
      </c>
      <c r="I13" s="1549" t="s">
        <v>3346</v>
      </c>
    </row>
    <row r="14" spans="1:23">
      <c r="A14" s="1544" t="s">
        <v>1038</v>
      </c>
      <c r="B14" s="1544" t="s">
        <v>1039</v>
      </c>
      <c r="C14" s="1546" t="s">
        <v>13</v>
      </c>
      <c r="I14" s="1549" t="s">
        <v>3347</v>
      </c>
    </row>
    <row r="15" spans="1:23">
      <c r="A15" s="1544" t="s">
        <v>1040</v>
      </c>
      <c r="B15" s="1544" t="s">
        <v>1041</v>
      </c>
      <c r="C15" s="1545"/>
      <c r="I15" s="1549" t="s">
        <v>3348</v>
      </c>
    </row>
    <row r="16" spans="1:23">
      <c r="A16" s="1544" t="s">
        <v>1042</v>
      </c>
      <c r="B16" s="1544" t="s">
        <v>312</v>
      </c>
      <c r="C16" s="1545"/>
    </row>
    <row r="17" spans="1:3">
      <c r="A17" s="1544" t="s">
        <v>1043</v>
      </c>
      <c r="B17" s="1544" t="s">
        <v>2288</v>
      </c>
      <c r="C17" s="1545"/>
    </row>
    <row r="18" spans="1:3">
      <c r="A18" s="1544" t="s">
        <v>1044</v>
      </c>
      <c r="B18" s="1544" t="s">
        <v>2432</v>
      </c>
      <c r="C18" s="1545"/>
    </row>
    <row r="19" spans="1:3">
      <c r="A19" s="1544" t="s">
        <v>1045</v>
      </c>
      <c r="B19" s="1544" t="s">
        <v>3532</v>
      </c>
      <c r="C19" s="1545"/>
    </row>
    <row r="20" spans="1:3">
      <c r="A20" s="1544" t="s">
        <v>1046</v>
      </c>
      <c r="B20" s="1544" t="s">
        <v>3534</v>
      </c>
      <c r="C20" s="1545"/>
    </row>
    <row r="21" spans="1:3">
      <c r="A21" s="1544" t="s">
        <v>1047</v>
      </c>
      <c r="B21" s="1544" t="s">
        <v>3536</v>
      </c>
      <c r="C21" s="1545"/>
    </row>
    <row r="22" spans="1:3">
      <c r="A22" s="1544" t="s">
        <v>1048</v>
      </c>
      <c r="B22" s="1544" t="s">
        <v>3537</v>
      </c>
      <c r="C22" s="1545"/>
    </row>
    <row r="23" spans="1:3">
      <c r="A23" s="1544" t="s">
        <v>1049</v>
      </c>
      <c r="B23" s="1544" t="s">
        <v>313</v>
      </c>
      <c r="C23" s="1545"/>
    </row>
    <row r="24" spans="1:3">
      <c r="A24" s="1544" t="s">
        <v>1050</v>
      </c>
      <c r="B24" s="1544" t="s">
        <v>313</v>
      </c>
      <c r="C24" s="1545"/>
    </row>
    <row r="25" spans="1:3">
      <c r="A25" s="1544" t="s">
        <v>1051</v>
      </c>
      <c r="B25" s="1544" t="s">
        <v>313</v>
      </c>
      <c r="C25" s="1545"/>
    </row>
    <row r="26" spans="1:3">
      <c r="A26" s="1544" t="s">
        <v>1052</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林风二路38号院5号楼1至2层110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31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555"/>
      <c r="B54" s="1552" t="s">
        <v>385</v>
      </c>
      <c r="C54" s="1549" t="s">
        <v>583</v>
      </c>
    </row>
    <row r="55" spans="1:4">
      <c r="A55" s="3555"/>
      <c r="B55" s="1552" t="s">
        <v>386</v>
      </c>
      <c r="C55" s="1549" t="s">
        <v>584</v>
      </c>
    </row>
    <row r="56" spans="1:4">
      <c r="A56" s="3555"/>
      <c r="B56" s="1552" t="s">
        <v>387</v>
      </c>
      <c r="C56" s="1549" t="s">
        <v>588</v>
      </c>
    </row>
    <row r="57" spans="1:4">
      <c r="A57" s="355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3"/>
    <col min="8" max="8" width="5.44140625" style="3013" customWidth="1"/>
    <col min="9" max="13" width="9.44140625" style="3055" customWidth="1"/>
    <col min="14" max="18" width="9.44140625" style="3013" customWidth="1"/>
    <col min="19" max="16384" width="15.2187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56" t="s">
        <v>2579</v>
      </c>
      <c r="J2" s="3556"/>
      <c r="K2" s="3556"/>
      <c r="L2" s="3556"/>
      <c r="M2" s="3556"/>
      <c r="N2" s="3556"/>
      <c r="O2" s="3556"/>
      <c r="P2" s="3556"/>
      <c r="Q2" s="3556"/>
      <c r="R2" s="3556"/>
    </row>
    <row r="3" spans="1:18">
      <c r="A3" s="3017" t="s">
        <v>2500</v>
      </c>
      <c r="B3" s="3018">
        <f>项目基本情况!D3</f>
        <v>45504</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2.38</v>
      </c>
      <c r="D5" s="3022">
        <f>IF(ISERROR(ROUND(POWER(1+E5,A5-C5)*(POWER(1+E5,C5)-1)/(POWER(1+E5,A5)-1),3)),0,ROUND(POWER(1+E5,A5-C5)*(POWER(1+E5,C5)-1)/(POWER(1+E5,A5)-1),4))</f>
        <v>0.11260000000000001</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12.39</v>
      </c>
      <c r="D6" s="3022">
        <f>IF(ISERROR(ROUND(POWER(1+E6,A6-C6)*(POWER(1+E6,C6)-1)/(POWER(1+E6,A6)-1),3)),0,ROUND(POWER(1+E6,A6-C6)*(POWER(1+E6,C6)-1)/(POWER(1+E6,A6)-1),4))</f>
        <v>0.44790000000000002</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32.4</v>
      </c>
      <c r="D7" s="3022">
        <f>IF(ISERROR(ROUND(POWER(1+E7,A7-C7)*(POWER(1+E7,C7)-1)/(POWER(1+E7,A7)-1),3)),0,ROUND(POWER(1+E7,A7-C7)*(POWER(1+E7,C7)-1)/(POWER(1+E7,A7)-1),4))</f>
        <v>0.76870000000000005</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5" thickBot="1">
      <c r="A18" s="3028" t="s">
        <v>2515</v>
      </c>
      <c r="B18" s="3029">
        <f>ROUND(B17*F11/F12,2)</f>
        <v>5541.87</v>
      </c>
      <c r="C18" s="3029">
        <f>ROUND(F11/F12,4)</f>
        <v>1.1521999999999999</v>
      </c>
      <c r="D18" s="3030"/>
      <c r="E18" s="3030"/>
      <c r="F18" s="3031"/>
    </row>
    <row r="19" spans="1:13" ht="15" thickBot="1"/>
    <row r="20" spans="1:13" s="3066" customFormat="1" ht="1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3.2"/>
  <cols>
    <col min="1" max="1" width="16.88671875" style="1743" customWidth="1"/>
    <col min="2" max="2" width="10" style="1743" customWidth="1"/>
    <col min="3" max="3" width="11.44140625" style="1743" customWidth="1"/>
    <col min="4" max="4" width="10" style="1743" customWidth="1"/>
    <col min="5" max="5" width="12.6640625" style="1743" customWidth="1"/>
    <col min="6" max="6" width="10" style="1743" customWidth="1"/>
    <col min="7" max="7" width="10.77734375" style="1743" customWidth="1"/>
    <col min="8" max="8" width="10" style="1743" customWidth="1"/>
    <col min="9" max="9" width="11.10937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8" thickBot="1">
      <c r="A1" s="2364" t="s">
        <v>2163</v>
      </c>
      <c r="B1" s="3557" t="str">
        <f>IF(B10="北京市","北京市",C10)&amp;F10&amp;IF(结果表110!G1="在建","出让国有建设用地使用权及在建建筑物",IF(结果表110!G1="土地","出让国有建设用地使用权",))&amp;B9&amp;"预评估"</f>
        <v>北京市海淀区林风二路38号院5号楼1至2层110房地产抵押价值预评估</v>
      </c>
      <c r="C1" s="3558"/>
      <c r="D1" s="3558"/>
      <c r="E1" s="3558"/>
      <c r="F1" s="3558"/>
      <c r="G1" s="3558"/>
      <c r="H1" s="3558"/>
      <c r="I1" s="3559"/>
      <c r="J1" s="2468"/>
      <c r="K1" s="2366"/>
      <c r="L1" s="2367"/>
      <c r="M1" s="2367"/>
      <c r="N1" s="2368"/>
      <c r="O1" s="1574"/>
      <c r="P1" s="2368"/>
      <c r="Q1" s="2368"/>
      <c r="R1" s="2368"/>
      <c r="S1" s="1680" t="str">
        <f>IF(B10="北京市","北京市",C10)&amp;F10&amp;IF(结果表110!G1="在建","出让国有建设用地使用权及在建建筑物房地产抵押价值",IF(结果表110!G1="土地","出让国有建设用地使用权抵押价值",B9))</f>
        <v>北京市海淀区林风二路38号院5号楼1至2层110房地产抵押价值</v>
      </c>
      <c r="T1" s="1743"/>
      <c r="U1" s="1743"/>
      <c r="V1" s="1743"/>
      <c r="W1" s="1743"/>
      <c r="X1" s="1743"/>
      <c r="Y1" s="1743"/>
      <c r="Z1" s="1743"/>
      <c r="AA1" s="1743"/>
      <c r="AB1" s="1743"/>
    </row>
    <row r="2" spans="1:30">
      <c r="A2" s="2365" t="s">
        <v>2164</v>
      </c>
      <c r="B2" s="2369"/>
      <c r="C2" s="2370"/>
      <c r="D2" s="2667"/>
      <c r="E2" s="2659"/>
      <c r="F2" s="2659"/>
      <c r="G2" s="2660"/>
      <c r="H2" s="2660"/>
      <c r="I2" s="2660"/>
      <c r="J2" s="2468"/>
      <c r="K2" s="2366"/>
      <c r="L2" s="2367"/>
      <c r="M2" s="2367"/>
      <c r="N2" s="2368"/>
      <c r="O2" s="1574"/>
      <c r="P2" s="2368"/>
      <c r="Q2" s="2368"/>
      <c r="R2" s="2368"/>
      <c r="S2" s="1680" t="str">
        <f>IF(B10="北京市","北京市",C10)&amp;F10&amp;IF(结果表110!G1="在建","出让国有建设用地使用权及在建建筑物房地产",IF(结果表110!G1="土地","出让国有建设用地使用权","房地产"))</f>
        <v>北京市海淀区林风二路38号院5号楼1至2层110房地产</v>
      </c>
      <c r="T2" s="1743"/>
      <c r="U2" s="1743"/>
      <c r="V2" s="1743"/>
      <c r="W2" s="1743"/>
      <c r="X2" s="1743"/>
      <c r="Y2" s="1743"/>
      <c r="Z2" s="1743"/>
      <c r="AA2" s="1743"/>
      <c r="AB2" s="1743"/>
    </row>
    <row r="3" spans="1:30">
      <c r="A3" s="302" t="s">
        <v>2165</v>
      </c>
      <c r="B3" s="2371">
        <f>D3</f>
        <v>45504</v>
      </c>
      <c r="C3" s="2372" t="s">
        <v>2166</v>
      </c>
      <c r="D3" s="2371">
        <v>45504</v>
      </c>
      <c r="E3" s="2660"/>
      <c r="F3" s="2660"/>
      <c r="G3" s="2660"/>
      <c r="H3" s="2660"/>
      <c r="I3" s="2660"/>
      <c r="J3" s="2468"/>
      <c r="K3" s="2366"/>
      <c r="L3" s="2367"/>
      <c r="M3" s="2367"/>
      <c r="N3" s="2368"/>
      <c r="O3" s="1574"/>
      <c r="P3" s="2368"/>
      <c r="Q3" s="2368"/>
      <c r="R3" s="2368"/>
      <c r="S3" s="1680"/>
      <c r="T3" s="1743"/>
      <c r="U3" s="1743"/>
      <c r="V3" s="1743"/>
      <c r="W3" s="1743"/>
      <c r="X3" s="1743"/>
      <c r="Y3" s="1743"/>
      <c r="Z3" s="1743"/>
      <c r="AA3" s="1743"/>
      <c r="AB3" s="1743"/>
    </row>
    <row r="4" spans="1:30" ht="13.8" thickBot="1">
      <c r="A4" s="1088" t="s">
        <v>2167</v>
      </c>
      <c r="B4" s="2373" t="s">
        <v>3380</v>
      </c>
      <c r="C4" s="2374">
        <f ca="1">SUMIF(注册房地产估价师,B4,估价师及机构信息!B3:B24)</f>
        <v>1120070131</v>
      </c>
      <c r="D4" s="2373" t="s">
        <v>3381</v>
      </c>
      <c r="E4" s="2375">
        <f ca="1">SUMIF(注册房地产估价师,D4,估价师及机构信息!B3:B24)</f>
        <v>1120100036</v>
      </c>
      <c r="F4" s="2373"/>
      <c r="G4" s="2375">
        <f>SUMIF(注册房地产估价师,F4,估价师及机构信息!B3:B24)</f>
        <v>0</v>
      </c>
      <c r="H4" s="2373"/>
      <c r="I4" s="2375">
        <f>SUMIF(注册房地产估价师,H4,估价师及机构信息!B3:B24)</f>
        <v>0</v>
      </c>
      <c r="J4" s="2436"/>
      <c r="K4" s="2376" t="str">
        <f ca="1">CONCATENATE(B4,"（注册号：",C4,")、",D4,"（注册号：",E4,")")</f>
        <v>郑燚（注册号：1120070131)、崔锴（注册号：1120100036)</v>
      </c>
      <c r="L4" s="2367"/>
      <c r="M4" s="2367"/>
      <c r="N4" s="2368"/>
      <c r="O4" s="1574"/>
      <c r="P4" s="2368"/>
      <c r="Q4" s="2368"/>
      <c r="R4" s="2368"/>
      <c r="S4" s="1680"/>
      <c r="T4" s="1743"/>
      <c r="U4" s="1743"/>
      <c r="V4" s="1743"/>
      <c r="W4" s="1743"/>
      <c r="X4" s="1743"/>
      <c r="Y4" s="1743"/>
      <c r="Z4" s="1743"/>
      <c r="AA4" s="1743"/>
      <c r="AB4" s="1743"/>
    </row>
    <row r="5" spans="1:30" ht="13.8" thickTop="1">
      <c r="A5" s="2377" t="s">
        <v>2168</v>
      </c>
      <c r="B5" s="2378"/>
      <c r="C5" s="2379"/>
      <c r="D5" s="2380"/>
      <c r="E5" s="2661"/>
      <c r="F5" s="2661"/>
      <c r="G5" s="2661"/>
      <c r="H5" s="2661"/>
      <c r="I5" s="2661"/>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2169</v>
      </c>
      <c r="B6" s="2382"/>
      <c r="C6" s="2383"/>
      <c r="D6" s="2384"/>
      <c r="E6" s="2659"/>
      <c r="F6" s="2661"/>
      <c r="G6" s="2661"/>
      <c r="H6" s="2661"/>
      <c r="I6" s="2661"/>
      <c r="J6" s="2436"/>
      <c r="K6" s="2612" t="str">
        <f>IF(COUNTIF(B6,"*上海银行*"),"上海银行","")</f>
        <v/>
      </c>
      <c r="L6" s="2610"/>
      <c r="M6" s="2610"/>
      <c r="N6" s="2436"/>
      <c r="O6" s="2447"/>
      <c r="P6" s="2436"/>
      <c r="Q6" s="2436"/>
      <c r="R6" s="2436"/>
    </row>
    <row r="7" spans="1:30">
      <c r="A7" s="2381" t="s">
        <v>2170</v>
      </c>
      <c r="B7" s="2385"/>
      <c r="C7" s="2383"/>
      <c r="D7" s="2384"/>
      <c r="E7" s="2659"/>
      <c r="F7" s="2661"/>
      <c r="G7" s="2661"/>
      <c r="H7" s="2661"/>
      <c r="I7" s="2661"/>
      <c r="J7" s="2436"/>
      <c r="K7" s="2613"/>
      <c r="L7" s="2610"/>
      <c r="M7" s="2610"/>
      <c r="N7" s="2436"/>
      <c r="O7" s="2447"/>
      <c r="P7" s="2436"/>
      <c r="Q7" s="2436"/>
      <c r="R7" s="2436"/>
    </row>
    <row r="8" spans="1:30">
      <c r="A8" s="2386" t="s">
        <v>2171</v>
      </c>
      <c r="B8" s="2387" t="s">
        <v>3378</v>
      </c>
      <c r="C8" s="2388"/>
      <c r="D8" s="3560" t="s">
        <v>2172</v>
      </c>
      <c r="E8" s="2389" t="s">
        <v>3379</v>
      </c>
      <c r="F8" s="2390"/>
      <c r="G8" s="2660"/>
      <c r="H8" s="2660"/>
      <c r="I8" s="2660"/>
      <c r="J8" s="2436"/>
      <c r="K8" s="2611"/>
      <c r="L8" s="2610"/>
      <c r="M8" s="2610"/>
      <c r="N8" s="2436"/>
      <c r="O8" s="2447"/>
      <c r="P8" s="2436"/>
      <c r="Q8" s="2436"/>
      <c r="R8" s="2436"/>
    </row>
    <row r="9" spans="1:30" ht="13.8" thickBot="1">
      <c r="A9" s="2391" t="s">
        <v>2173</v>
      </c>
      <c r="B9" s="2392" t="s">
        <v>3379</v>
      </c>
      <c r="C9" s="2393"/>
      <c r="D9" s="3561"/>
      <c r="E9" s="2392"/>
      <c r="F9" s="2394"/>
      <c r="G9" s="2662"/>
      <c r="H9" s="2662"/>
      <c r="I9" s="2662"/>
      <c r="J9" s="2436"/>
      <c r="K9" s="2613"/>
      <c r="L9" s="2610"/>
      <c r="M9" s="2610"/>
      <c r="N9" s="2436"/>
      <c r="O9" s="2447"/>
      <c r="P9" s="2436"/>
      <c r="Q9" s="2436"/>
      <c r="R9" s="2436"/>
    </row>
    <row r="10" spans="1:30" ht="13.8" thickTop="1">
      <c r="A10" s="2395" t="s">
        <v>2174</v>
      </c>
      <c r="B10" s="2396" t="s">
        <v>3382</v>
      </c>
      <c r="C10" s="2397"/>
      <c r="D10" s="2380"/>
      <c r="E10" s="2398" t="s">
        <v>2175</v>
      </c>
      <c r="F10" s="2663" t="s">
        <v>3569</v>
      </c>
      <c r="G10" s="2664"/>
      <c r="H10" s="2665"/>
      <c r="I10" s="2666"/>
      <c r="J10" s="2436"/>
      <c r="K10" s="2613"/>
      <c r="L10" s="2610"/>
      <c r="M10" s="2610"/>
      <c r="N10" s="2436"/>
      <c r="O10" s="2447"/>
      <c r="P10" s="2436"/>
      <c r="Q10" s="2436"/>
      <c r="R10" s="2436"/>
    </row>
    <row r="11" spans="1:30" ht="36">
      <c r="A11" s="2399" t="s">
        <v>2176</v>
      </c>
      <c r="B11" s="2400" t="s">
        <v>3383</v>
      </c>
      <c r="C11" s="3491" t="s">
        <v>3517</v>
      </c>
      <c r="D11" s="2401"/>
      <c r="E11" s="2368"/>
      <c r="F11" s="2368"/>
      <c r="G11" s="2368"/>
      <c r="H11" s="2368"/>
      <c r="I11" s="2368"/>
      <c r="J11" s="3058"/>
      <c r="K11" s="3057"/>
      <c r="L11" s="2610"/>
      <c r="M11" s="2610"/>
      <c r="N11" s="2436"/>
      <c r="O11" s="2447"/>
      <c r="P11" s="2436"/>
      <c r="Q11" s="2436"/>
      <c r="R11" s="2436"/>
    </row>
    <row r="12" spans="1:30">
      <c r="A12" s="2402" t="s">
        <v>2177</v>
      </c>
      <c r="B12" s="323" t="s">
        <v>2178</v>
      </c>
      <c r="C12" s="2403" t="s">
        <v>2179</v>
      </c>
      <c r="D12" s="2403" t="s">
        <v>2180</v>
      </c>
      <c r="E12" s="2403" t="s">
        <v>2181</v>
      </c>
      <c r="F12" s="2403" t="s">
        <v>2182</v>
      </c>
      <c r="G12" s="2403" t="s">
        <v>2183</v>
      </c>
      <c r="H12" s="2403" t="s">
        <v>2184</v>
      </c>
      <c r="I12" s="3056" t="s">
        <v>2575</v>
      </c>
      <c r="J12" s="3059"/>
      <c r="K12" s="2610"/>
      <c r="L12" s="2610"/>
      <c r="M12" s="2436"/>
      <c r="N12" s="2447"/>
      <c r="O12" s="2436"/>
      <c r="P12" s="2436"/>
      <c r="Q12" s="2436"/>
      <c r="AD12" s="1743"/>
    </row>
    <row r="13" spans="1:30">
      <c r="A13" s="3420" t="s">
        <v>3331</v>
      </c>
      <c r="B13" s="2404" t="s">
        <v>2185</v>
      </c>
      <c r="C13" s="854"/>
      <c r="D13" s="854">
        <v>56455</v>
      </c>
      <c r="E13" s="854"/>
      <c r="F13" s="854"/>
      <c r="G13" s="854"/>
      <c r="H13" s="854"/>
      <c r="I13" s="854"/>
      <c r="J13" s="3059"/>
      <c r="K13" s="2610"/>
      <c r="L13" s="2610"/>
      <c r="M13" s="2436"/>
      <c r="N13" s="2447"/>
      <c r="O13" s="2436"/>
      <c r="P13" s="2436"/>
      <c r="Q13" s="2436"/>
      <c r="AD13" s="1743"/>
    </row>
    <row r="14" spans="1:30">
      <c r="A14" s="1079"/>
      <c r="B14" s="2404" t="s">
        <v>2186</v>
      </c>
      <c r="C14" s="2405"/>
      <c r="D14" s="2405">
        <v>40</v>
      </c>
      <c r="E14" s="2405"/>
      <c r="F14" s="2405"/>
      <c r="G14" s="2405"/>
      <c r="H14" s="2405"/>
      <c r="I14" s="2405"/>
      <c r="J14" s="3060"/>
      <c r="K14" s="2610"/>
      <c r="L14" s="2610"/>
      <c r="M14" s="2436"/>
      <c r="N14" s="2447"/>
      <c r="O14" s="2436"/>
      <c r="P14" s="2436"/>
      <c r="Q14" s="2436"/>
      <c r="AD14" s="1743"/>
    </row>
    <row r="15" spans="1:30">
      <c r="A15" s="320"/>
      <c r="B15" s="2406" t="s">
        <v>2187</v>
      </c>
      <c r="C15" s="2407" t="str">
        <f>IF(A13="出让",IF(C13="","",ROUNDDOWN(MIN((C13-$D$3)/365,C14),2)),C14)</f>
        <v/>
      </c>
      <c r="D15" s="2407">
        <f>IF(A13="出让",IF(D13="","",ROUNDDOWN(MIN((D13-$D$3)/365,D14),2)),D14)</f>
        <v>30</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3"/>
    </row>
    <row r="16" spans="1:30">
      <c r="A16" s="2398" t="s">
        <v>2188</v>
      </c>
      <c r="B16" s="3567" t="s">
        <v>3471</v>
      </c>
      <c r="C16" s="3568"/>
      <c r="D16" s="3569"/>
      <c r="E16" s="2410" t="s">
        <v>2189</v>
      </c>
      <c r="F16" s="3570">
        <f>D15</f>
        <v>30</v>
      </c>
      <c r="G16" s="3571"/>
      <c r="H16" s="3571"/>
      <c r="I16" s="3572"/>
      <c r="J16" s="2436"/>
      <c r="K16" s="2614"/>
      <c r="L16" s="2448"/>
      <c r="M16" s="2448"/>
      <c r="N16" s="2506"/>
      <c r="O16" s="2448"/>
      <c r="P16" s="2506"/>
      <c r="Q16" s="2436"/>
      <c r="R16" s="2436"/>
    </row>
    <row r="17" spans="1:28">
      <c r="A17" s="313" t="s">
        <v>2190</v>
      </c>
      <c r="B17" s="302" t="s">
        <v>2191</v>
      </c>
      <c r="C17" s="8">
        <f>'数据-汇总表'!E3</f>
        <v>521.56999999999994</v>
      </c>
      <c r="D17" s="2320" t="s">
        <v>2192</v>
      </c>
      <c r="E17" s="3573" t="s">
        <v>2193</v>
      </c>
      <c r="F17" s="3574"/>
      <c r="G17" s="3574"/>
      <c r="H17" s="3574"/>
      <c r="I17" s="3575"/>
      <c r="J17" s="2436"/>
      <c r="K17" s="2615"/>
      <c r="L17" s="2448"/>
      <c r="M17" s="2448"/>
      <c r="N17" s="2506"/>
      <c r="O17" s="2448"/>
      <c r="P17" s="2506"/>
      <c r="Q17" s="2436"/>
      <c r="R17" s="2436"/>
      <c r="S17" s="2436"/>
      <c r="T17" s="2436"/>
      <c r="U17" s="2436"/>
      <c r="V17" s="2436"/>
    </row>
    <row r="18" spans="1:28" ht="24.6" thickBot="1">
      <c r="A18" s="2411" t="s">
        <v>2194</v>
      </c>
      <c r="B18" s="1088" t="s">
        <v>2195</v>
      </c>
      <c r="C18" s="2412">
        <f>'数据-汇总表'!D3</f>
        <v>0</v>
      </c>
      <c r="D18" s="1090" t="s">
        <v>2196</v>
      </c>
      <c r="E18" s="3576" t="s">
        <v>2197</v>
      </c>
      <c r="F18" s="3577"/>
      <c r="G18" s="3577"/>
      <c r="H18" s="3577"/>
      <c r="I18" s="3578"/>
      <c r="J18" s="2436"/>
      <c r="K18" s="2615"/>
      <c r="L18" s="2448"/>
      <c r="M18" s="2448"/>
      <c r="N18" s="2506"/>
      <c r="O18" s="2448"/>
      <c r="P18" s="2506"/>
      <c r="Q18" s="2436"/>
      <c r="R18" s="2436"/>
      <c r="S18" s="2436"/>
      <c r="T18" s="2436"/>
      <c r="U18" s="2436"/>
      <c r="V18" s="2436"/>
    </row>
    <row r="19" spans="1:28" ht="37.200000000000003" thickTop="1" thickBot="1">
      <c r="A19" s="327" t="s">
        <v>1053</v>
      </c>
      <c r="B19" s="307" t="s">
        <v>2198</v>
      </c>
      <c r="C19" s="1561" t="s">
        <v>3392</v>
      </c>
      <c r="D19" s="1562" t="s">
        <v>2199</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2200</v>
      </c>
      <c r="B20" s="3563" t="s">
        <v>2201</v>
      </c>
      <c r="C20" s="3564"/>
      <c r="D20" s="3565" t="s">
        <v>2202</v>
      </c>
      <c r="E20" s="3566"/>
      <c r="F20" s="2644" t="s">
        <v>1054</v>
      </c>
      <c r="G20" s="2661"/>
      <c r="H20" s="2661"/>
      <c r="I20" s="2661"/>
      <c r="J20" s="2436"/>
      <c r="K20" s="3562" t="s">
        <v>2203</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7"/>
      <c r="N20" s="2409"/>
      <c r="O20" s="2408"/>
      <c r="P20" s="2409"/>
      <c r="Q20" s="2368"/>
      <c r="R20" s="2368"/>
      <c r="S20" s="2368"/>
      <c r="T20" s="2368"/>
      <c r="U20" s="2368"/>
      <c r="V20" s="2368"/>
      <c r="W20" s="1743"/>
      <c r="X20" s="1743"/>
      <c r="Y20" s="1743"/>
      <c r="Z20" s="1743"/>
      <c r="AA20" s="1743"/>
      <c r="AB20" s="1743"/>
    </row>
    <row r="21" spans="1:28" ht="36.6" thickBot="1">
      <c r="A21" s="2629"/>
      <c r="B21" s="2630" t="s">
        <v>2204</v>
      </c>
      <c r="C21" s="2631" t="s">
        <v>1055</v>
      </c>
      <c r="D21" s="1566" t="s">
        <v>2205</v>
      </c>
      <c r="E21" s="2632" t="s">
        <v>1055</v>
      </c>
      <c r="F21" s="2645"/>
      <c r="G21" s="2661"/>
      <c r="H21" s="2661"/>
      <c r="I21" s="2661"/>
      <c r="J21" s="2436"/>
      <c r="K21" s="356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36.6" thickBot="1">
      <c r="A22" s="2629"/>
      <c r="B22" s="2633" t="s">
        <v>2206</v>
      </c>
      <c r="C22" s="2631" t="s">
        <v>1056</v>
      </c>
      <c r="D22" s="2660"/>
      <c r="E22" s="2660"/>
      <c r="F22" s="2660"/>
      <c r="G22" s="2661"/>
      <c r="H22" s="2661"/>
      <c r="I22" s="2661"/>
      <c r="J22" s="2436"/>
      <c r="K22" s="3562"/>
      <c r="L22" s="682" t="str">
        <f>IF(E19="否","",IF(结果表110!D36="同一抵押权人同一抵押物续贷","由于本次评估为同一抵押权人的续贷房地产抵押估价，故未将已抵押担保的债权数额（"&amp;C26&amp;"）作为法定优先受偿款予以扣减。",IF(结果表110!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4" t="s">
        <v>2207</v>
      </c>
      <c r="B23" s="2499" t="s">
        <v>2208</v>
      </c>
      <c r="C23" s="2635"/>
      <c r="D23" s="2636" t="s">
        <v>2208</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1057</v>
      </c>
      <c r="C24" s="2638"/>
      <c r="D24" s="2634" t="s">
        <v>1057</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1058</v>
      </c>
      <c r="C25" s="2638"/>
      <c r="D25" s="2634" t="s">
        <v>1058</v>
      </c>
      <c r="E25" s="2639"/>
      <c r="F25" s="2660"/>
      <c r="G25" s="2661"/>
      <c r="H25" s="2661"/>
      <c r="I25" s="2661"/>
      <c r="J25" s="2436"/>
      <c r="K25" s="2613"/>
      <c r="L25" s="2610"/>
      <c r="M25" s="2610"/>
      <c r="N25" s="2506"/>
      <c r="O25" s="2448"/>
      <c r="P25" s="2506"/>
      <c r="Q25" s="2436"/>
      <c r="R25" s="2436"/>
      <c r="S25" s="2436"/>
      <c r="T25" s="2436"/>
      <c r="U25" s="2436"/>
      <c r="V25" s="2436"/>
    </row>
    <row r="26" spans="1:28" ht="13.8" thickBot="1">
      <c r="A26" s="2640"/>
      <c r="B26" s="2641" t="s">
        <v>1059</v>
      </c>
      <c r="C26" s="2642"/>
      <c r="D26" s="2640" t="s">
        <v>1059</v>
      </c>
      <c r="E26" s="2643"/>
      <c r="F26" s="2662"/>
      <c r="G26" s="2662"/>
      <c r="H26" s="2662"/>
      <c r="I26" s="2662"/>
      <c r="J26" s="2436"/>
      <c r="K26" s="2613"/>
      <c r="L26" s="2610"/>
      <c r="M26" s="2610"/>
      <c r="N26" s="2506"/>
      <c r="O26" s="2448"/>
      <c r="P26" s="2506"/>
      <c r="Q26" s="2436"/>
      <c r="R26" s="2436"/>
      <c r="S26" s="2436"/>
      <c r="T26" s="2436"/>
      <c r="U26" s="2436"/>
      <c r="V26" s="2436"/>
    </row>
    <row r="27" spans="1:28" ht="13.8" thickTop="1">
      <c r="A27" s="3580" t="s">
        <v>2209</v>
      </c>
      <c r="B27" s="320" t="s">
        <v>2210</v>
      </c>
      <c r="C27" s="2413" t="s">
        <v>3388</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80"/>
      <c r="B28" s="302" t="s">
        <v>2211</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80"/>
      <c r="B29" s="302" t="s">
        <v>2212</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81"/>
      <c r="B30" s="302" t="s">
        <v>2213</v>
      </c>
      <c r="C30" s="3582"/>
      <c r="D30" s="3583"/>
      <c r="E30" s="2661"/>
      <c r="F30" s="2661"/>
      <c r="G30" s="2661"/>
      <c r="H30" s="2661"/>
      <c r="I30" s="2661"/>
      <c r="J30" s="2436"/>
      <c r="K30" s="2613"/>
      <c r="L30" s="2610"/>
      <c r="M30" s="2610"/>
      <c r="N30" s="2436"/>
      <c r="O30" s="2447"/>
      <c r="P30" s="2436"/>
      <c r="Q30" s="2436"/>
      <c r="R30" s="2436"/>
      <c r="S30" s="2436"/>
      <c r="T30" s="2436"/>
      <c r="U30" s="2436"/>
      <c r="V30" s="2436"/>
    </row>
    <row r="31" spans="1:28">
      <c r="A31" s="3584" t="s">
        <v>2214</v>
      </c>
      <c r="B31" s="2419" t="s">
        <v>3387</v>
      </c>
      <c r="C31" s="2321" t="str">
        <f>IF(B31="现房","成新及维护状况正常否",IF(B31="在建","工程状态是否正常",IF(B31="土地","是否闲置","-")))</f>
        <v>成新及维护状况正常否</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85"/>
      <c r="B32" s="2419"/>
      <c r="C32" s="2321"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85"/>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2" t="s">
        <v>2215</v>
      </c>
      <c r="B34" s="2024"/>
      <c r="C34" s="2024"/>
      <c r="D34" s="2024"/>
      <c r="E34" s="2024"/>
      <c r="F34" s="2024"/>
      <c r="G34" s="2024"/>
      <c r="H34" s="2024"/>
      <c r="I34" s="2661"/>
      <c r="J34" s="2436"/>
      <c r="K34" s="2424">
        <f>COUNTIF(B34:H34,"——")</f>
        <v>0</v>
      </c>
      <c r="L34" s="323" t="s">
        <v>2216</v>
      </c>
      <c r="M34" s="323" t="s">
        <v>2217</v>
      </c>
      <c r="N34" s="323" t="s">
        <v>2218</v>
      </c>
      <c r="O34" s="323" t="s">
        <v>2219</v>
      </c>
      <c r="P34" s="323" t="s">
        <v>2220</v>
      </c>
      <c r="Q34" s="323" t="s">
        <v>2221</v>
      </c>
      <c r="R34" s="323" t="s">
        <v>2222</v>
      </c>
      <c r="S34" s="3579" t="s">
        <v>2223</v>
      </c>
      <c r="T34" s="2425" t="str">
        <f>NUMBERSTRING(7-K34,1)&amp;"通"</f>
        <v>七通</v>
      </c>
      <c r="U34" s="2436"/>
      <c r="V34" s="2436"/>
    </row>
    <row r="35" spans="1:30">
      <c r="A35" s="2426"/>
      <c r="B35" s="3586" t="s">
        <v>2224</v>
      </c>
      <c r="C35" s="3586"/>
      <c r="D35" s="3586"/>
      <c r="E35" s="3586"/>
      <c r="F35" s="662">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9"/>
      <c r="T35" s="329" t="str">
        <f>IF(T34="一通",L35,IF(T34="二通",M35,IF(T34="三通",N35,IF(T34="四通",O35,IF(T34="五通",P35,IF(T34="六通",Q35,R35))))))</f>
        <v>、、、、、、</v>
      </c>
      <c r="U35" s="2436"/>
      <c r="V35" s="2436"/>
    </row>
    <row r="36" spans="1:30">
      <c r="A36" s="2427"/>
      <c r="B36" s="662" t="s">
        <v>2180</v>
      </c>
      <c r="C36" s="662" t="s">
        <v>2181</v>
      </c>
      <c r="D36" s="662" t="s">
        <v>2179</v>
      </c>
      <c r="E36" s="662" t="s">
        <v>2184</v>
      </c>
      <c r="F36" s="3062" t="s">
        <v>2578</v>
      </c>
      <c r="G36" s="2661"/>
      <c r="H36" s="2661"/>
      <c r="I36" s="2661"/>
      <c r="J36" s="2436"/>
      <c r="K36" s="2613"/>
      <c r="L36" s="2610"/>
      <c r="M36" s="2610"/>
      <c r="N36" s="2436"/>
      <c r="O36" s="2447"/>
      <c r="P36" s="2436"/>
      <c r="Q36" s="2436"/>
      <c r="R36" s="2436"/>
      <c r="S36" s="2436"/>
      <c r="T36" s="2436"/>
      <c r="U36" s="2436"/>
      <c r="V36" s="2436"/>
    </row>
    <row r="37" spans="1:30">
      <c r="A37" s="2627" t="s">
        <v>2225</v>
      </c>
      <c r="B37" s="2428" t="s">
        <v>304</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8" thickBot="1">
      <c r="A38" s="2628" t="s">
        <v>2226</v>
      </c>
      <c r="B38" s="2429" t="s">
        <v>133</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4" thickTop="1" thickBot="1">
      <c r="A39" s="2430" t="s">
        <v>2227</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6"/>
      <c r="J40" s="2506"/>
      <c r="K40" s="2612"/>
      <c r="L40" s="2448"/>
      <c r="M40" s="2448"/>
      <c r="N40" s="2506"/>
      <c r="O40" s="2448"/>
      <c r="P40" s="2436"/>
      <c r="Q40" s="2436"/>
      <c r="R40" s="2436"/>
      <c r="S40" s="2436"/>
      <c r="T40" s="2436"/>
      <c r="U40" s="2436"/>
      <c r="V40" s="2436"/>
    </row>
    <row r="41" spans="1:30">
      <c r="A41" s="2433" t="s">
        <v>2228</v>
      </c>
      <c r="B41" s="1755"/>
      <c r="C41" s="1371"/>
      <c r="D41" s="2368"/>
      <c r="E41" s="2368"/>
      <c r="F41" s="2368"/>
      <c r="G41" s="2368"/>
      <c r="H41" s="2368"/>
      <c r="I41" s="1574"/>
      <c r="J41" s="2436"/>
      <c r="K41" s="2613"/>
      <c r="L41" s="2610"/>
      <c r="M41" s="2610"/>
      <c r="N41" s="2436"/>
      <c r="O41" s="2447"/>
      <c r="P41" s="2436"/>
      <c r="Q41" s="2436"/>
      <c r="R41" s="2436"/>
      <c r="S41" s="2436"/>
      <c r="T41" s="2436"/>
      <c r="U41" s="2436"/>
      <c r="V41" s="2436"/>
    </row>
    <row r="42" spans="1:30" ht="25.2">
      <c r="A42" s="323" t="s">
        <v>2229</v>
      </c>
      <c r="B42" s="8" t="s">
        <v>2230</v>
      </c>
      <c r="C42" s="8" t="s">
        <v>2231</v>
      </c>
      <c r="D42" s="8" t="s">
        <v>2232</v>
      </c>
      <c r="E42" s="8" t="s">
        <v>2233</v>
      </c>
      <c r="F42" s="8" t="s">
        <v>2234</v>
      </c>
      <c r="G42" s="8" t="s">
        <v>2235</v>
      </c>
      <c r="H42" s="8" t="s">
        <v>2236</v>
      </c>
      <c r="I42" s="8" t="s">
        <v>2237</v>
      </c>
      <c r="J42" s="2623" t="s">
        <v>2238</v>
      </c>
      <c r="K42" s="2624" t="s">
        <v>2239</v>
      </c>
      <c r="L42" s="2624" t="s">
        <v>2240</v>
      </c>
      <c r="M42" s="2624" t="s">
        <v>2241</v>
      </c>
      <c r="N42" s="2617" t="s">
        <v>2242</v>
      </c>
      <c r="O42" s="2617" t="s">
        <v>2243</v>
      </c>
      <c r="P42" s="2617" t="s">
        <v>2244</v>
      </c>
      <c r="Q42" s="2618" t="s">
        <v>2245</v>
      </c>
      <c r="R42" s="2618" t="s">
        <v>2246</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ColWidth="8.88671875" defaultRowHeight="13.8"/>
  <cols>
    <col min="1" max="1" width="10.6640625" style="1571" customWidth="1"/>
    <col min="2" max="2" width="11" style="1571" customWidth="1"/>
    <col min="3" max="3" width="10.33203125" style="1571" customWidth="1"/>
    <col min="4" max="4" width="9.109375" style="1571" customWidth="1"/>
    <col min="5" max="6" width="10" style="1632" customWidth="1"/>
    <col min="7" max="8" width="10" style="1571" customWidth="1"/>
    <col min="9" max="9" width="10.6640625" style="1571" customWidth="1"/>
    <col min="10" max="10" width="9.44140625" style="1571" customWidth="1"/>
    <col min="11" max="11" width="11" style="1571" customWidth="1"/>
    <col min="12" max="14" width="9.44140625" style="1571" customWidth="1"/>
    <col min="15" max="15" width="9.88671875" style="1571" customWidth="1"/>
    <col min="16" max="16" width="9.77734375" style="1571" customWidth="1"/>
    <col min="17" max="17" width="9.33203125" style="1571" customWidth="1"/>
    <col min="18" max="18" width="9.21875" style="1571" customWidth="1"/>
    <col min="19" max="19" width="10.88671875" style="1571" customWidth="1"/>
    <col min="20" max="21" width="10.77734375" style="1571" customWidth="1"/>
    <col min="22" max="22" width="10.88671875" style="1571" customWidth="1"/>
    <col min="23" max="27" width="10.77734375" style="1571" customWidth="1"/>
    <col min="28" max="28" width="10.88671875" style="1571" customWidth="1"/>
    <col min="29" max="29" width="11" style="1571" bestFit="1" customWidth="1"/>
    <col min="30" max="30" width="10" style="1571" bestFit="1" customWidth="1"/>
    <col min="31" max="31" width="9.77734375" style="1571" customWidth="1"/>
    <col min="32" max="46" width="9.44140625" style="1571" customWidth="1"/>
    <col min="47" max="47" width="18.109375" style="1571" customWidth="1"/>
    <col min="48" max="50" width="9.77734375" style="1571" customWidth="1"/>
    <col min="51" max="55" width="10.44140625" style="1571" bestFit="1" customWidth="1"/>
    <col min="56" max="56" width="9.44140625" style="1571" bestFit="1" customWidth="1"/>
    <col min="57" max="63" width="9.109375" style="1571" bestFit="1" customWidth="1"/>
    <col min="64" max="64" width="9.44140625" style="1571" bestFit="1" customWidth="1"/>
    <col min="65" max="65" width="9.109375" style="1571" bestFit="1" customWidth="1"/>
    <col min="66" max="66" width="9.44140625" style="1571" bestFit="1" customWidth="1"/>
    <col min="67" max="69" width="9.109375" style="1571" bestFit="1" customWidth="1"/>
    <col min="70" max="70" width="9.44140625" style="1571" bestFit="1" customWidth="1"/>
    <col min="71" max="71" width="9" style="1571" customWidth="1"/>
    <col min="72" max="72" width="9.109375" style="1571" bestFit="1" customWidth="1"/>
    <col min="73" max="16384" width="8.88671875" style="1571"/>
  </cols>
  <sheetData>
    <row r="1" spans="1:72" ht="21">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1065</v>
      </c>
      <c r="AZ2" s="1047"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3.2">
      <c r="A3" s="10"/>
      <c r="B3" s="11">
        <f>IF(C3="否",G5-AT5,G5)</f>
        <v>521.56999999999994</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3.2">
      <c r="A5" s="12" t="s">
        <v>1069</v>
      </c>
      <c r="B5" s="1345"/>
      <c r="C5" s="1345"/>
      <c r="D5" s="1347"/>
      <c r="E5" s="13" t="s">
        <v>0</v>
      </c>
      <c r="F5" s="13">
        <f>SUM(F13:F587)</f>
        <v>0</v>
      </c>
      <c r="G5" s="13">
        <f>SUM(G13:G587)</f>
        <v>521.56999999999994</v>
      </c>
      <c r="H5" s="13">
        <f t="shared" ref="H5:AT5" si="0">SUM(H13:H656)</f>
        <v>521.56999999999994</v>
      </c>
      <c r="I5" s="13">
        <f t="shared" si="0"/>
        <v>521.56999999999994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521.56999999999994</v>
      </c>
      <c r="BA5" s="15">
        <f t="shared" si="1"/>
        <v>521.56999999999994</v>
      </c>
      <c r="BB5" s="15">
        <f t="shared" si="1"/>
        <v>521.56999999999994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3.2">
      <c r="A6" s="12" t="s">
        <v>1070</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5.2">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7" t="s">
        <v>1084</v>
      </c>
      <c r="AD8" s="1598"/>
      <c r="AE8" s="1590"/>
      <c r="AF8" s="1358"/>
      <c r="AG8" s="1358"/>
      <c r="AH8" s="1358"/>
      <c r="AI8" s="1358"/>
      <c r="AJ8" s="1358"/>
      <c r="AK8" s="1358"/>
      <c r="AL8" s="1358"/>
      <c r="AM8" s="1358"/>
      <c r="AN8" s="1358"/>
      <c r="AO8" s="1358"/>
      <c r="AP8" s="1358"/>
      <c r="AQ8" s="1358"/>
      <c r="AR8" s="1358"/>
      <c r="AS8" s="1358"/>
      <c r="AT8" s="1068" t="s">
        <v>1085</v>
      </c>
      <c r="AU8" s="1592" t="s">
        <v>1086</v>
      </c>
      <c r="AV8" s="1068"/>
      <c r="AW8" s="1575"/>
      <c r="AX8" s="1068"/>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3.2">
      <c r="A9" s="1592"/>
      <c r="B9" s="1592"/>
      <c r="C9" s="1592"/>
      <c r="D9" s="1592"/>
      <c r="E9" s="1592"/>
      <c r="F9" s="1592"/>
      <c r="G9" s="1068"/>
      <c r="H9" s="1600" t="s">
        <v>1089</v>
      </c>
      <c r="I9" s="1601" t="s">
        <v>3393</v>
      </c>
      <c r="J9" s="807"/>
      <c r="K9" s="1601"/>
      <c r="L9" s="807"/>
      <c r="M9" s="1601"/>
      <c r="N9" s="807"/>
      <c r="O9" s="1601"/>
      <c r="P9" s="807"/>
      <c r="Q9" s="1601"/>
      <c r="R9" s="807"/>
      <c r="S9" s="1601"/>
      <c r="T9" s="807"/>
      <c r="U9" s="1601"/>
      <c r="V9" s="807"/>
      <c r="W9" s="1601"/>
      <c r="X9" s="1602"/>
      <c r="Y9" s="1601"/>
      <c r="Z9" s="807"/>
      <c r="AA9" s="1601"/>
      <c r="AB9" s="807"/>
      <c r="AC9" s="1593"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3"/>
      <c r="AT9" s="1592"/>
      <c r="AU9" s="1592" t="s">
        <v>1092</v>
      </c>
      <c r="AV9" s="1068"/>
      <c r="AW9" s="1575"/>
      <c r="AX9" s="1068"/>
      <c r="AY9" s="25"/>
      <c r="AZ9" s="25" t="s">
        <v>1082</v>
      </c>
      <c r="BA9" s="1604" t="s">
        <v>1093</v>
      </c>
      <c r="BB9" s="1605"/>
      <c r="BC9" s="1086"/>
      <c r="BD9" s="1086"/>
      <c r="BE9" s="1086"/>
      <c r="BF9" s="1086"/>
      <c r="BG9" s="1086"/>
      <c r="BH9" s="1086"/>
      <c r="BI9" s="1086"/>
      <c r="BJ9" s="1086"/>
      <c r="BK9" s="1606"/>
      <c r="BL9" s="12" t="s">
        <v>1094</v>
      </c>
      <c r="BM9" s="1358"/>
      <c r="BN9" s="1595"/>
      <c r="BO9" s="1358"/>
      <c r="BP9" s="1358"/>
      <c r="BQ9" s="1358"/>
      <c r="BR9" s="1358"/>
      <c r="BS9" s="1358"/>
      <c r="BT9" s="23"/>
    </row>
    <row r="10" spans="1:72" s="1599" customFormat="1" ht="13.2">
      <c r="A10" s="1592"/>
      <c r="B10" s="1592"/>
      <c r="C10" s="1592"/>
      <c r="D10" s="1592"/>
      <c r="E10" s="1592"/>
      <c r="F10" s="1592"/>
      <c r="G10" s="1068"/>
      <c r="H10" s="25"/>
      <c r="I10" s="1601" t="s">
        <v>671</v>
      </c>
      <c r="J10" s="807"/>
      <c r="K10" s="1607"/>
      <c r="L10" s="807"/>
      <c r="M10" s="1607"/>
      <c r="N10" s="807"/>
      <c r="O10" s="1607"/>
      <c r="P10" s="807"/>
      <c r="Q10" s="1607"/>
      <c r="R10" s="807"/>
      <c r="S10" s="1607"/>
      <c r="T10" s="807"/>
      <c r="U10" s="1607"/>
      <c r="V10" s="807"/>
      <c r="W10" s="1607"/>
      <c r="X10" s="807"/>
      <c r="Y10" s="1607"/>
      <c r="Z10" s="807"/>
      <c r="AA10" s="1607"/>
      <c r="AB10" s="807"/>
      <c r="AC10" s="1068"/>
      <c r="AD10" s="12" t="s">
        <v>1095</v>
      </c>
      <c r="AE10" s="1608"/>
      <c r="AF10" s="12" t="s">
        <v>1095</v>
      </c>
      <c r="AG10" s="1608"/>
      <c r="AH10" s="12" t="s">
        <v>1096</v>
      </c>
      <c r="AI10" s="1608"/>
      <c r="AJ10" s="12" t="s">
        <v>1096</v>
      </c>
      <c r="AK10" s="1608"/>
      <c r="AL10" s="12" t="s">
        <v>1097</v>
      </c>
      <c r="AM10" s="1074"/>
      <c r="AN10" s="12" t="s">
        <v>1097</v>
      </c>
      <c r="AO10" s="1074"/>
      <c r="AP10" s="12" t="s">
        <v>1098</v>
      </c>
      <c r="AQ10" s="1074"/>
      <c r="AR10" s="12" t="s">
        <v>1098</v>
      </c>
      <c r="AS10" s="1074"/>
      <c r="AT10" s="1592"/>
      <c r="AU10" s="1592"/>
      <c r="AV10" s="1068"/>
      <c r="AW10" s="1575"/>
      <c r="AX10" s="1068"/>
      <c r="AY10" s="25"/>
      <c r="AZ10" s="25"/>
      <c r="BA10" s="1609" t="s">
        <v>1089</v>
      </c>
      <c r="BB10" s="1610" t="str">
        <f>I9</f>
        <v>地上</v>
      </c>
      <c r="BC10" s="26">
        <f>K9</f>
        <v>0</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3.2">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3.2">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3.2">
      <c r="A13" s="1049"/>
      <c r="B13" s="1049"/>
      <c r="C13" s="1049">
        <v>110</v>
      </c>
      <c r="D13" s="1623" t="s">
        <v>3392</v>
      </c>
      <c r="E13" s="13">
        <f>IF($C$3="是",ROUND($A$3*G13/$B$3,2),ROUND($A$3*(G13-AT13)/$B$3,2))</f>
        <v>0</v>
      </c>
      <c r="F13" s="29"/>
      <c r="G13" s="30">
        <f>H13+AC13+AT13</f>
        <v>268.52</v>
      </c>
      <c r="H13" s="17">
        <f>SUMIF(I$12:AB$12,"总值",I13:AB13)</f>
        <v>268.52</v>
      </c>
      <c r="I13" s="1624">
        <v>268.52</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110</v>
      </c>
      <c r="AY13" s="1347">
        <f>ROUND($AY$6*AZ13/$AZ$5,2)</f>
        <v>0</v>
      </c>
      <c r="AZ13" s="13">
        <f>BA13+BL13</f>
        <v>268.52</v>
      </c>
      <c r="BA13" s="13">
        <f>SUM(BB13:BK13)</f>
        <v>268.52</v>
      </c>
      <c r="BB13" s="13">
        <f>IF($D13="是",I13-J13,0)</f>
        <v>268.52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3.2">
      <c r="A14" s="1049"/>
      <c r="B14" s="1049"/>
      <c r="C14" s="1568">
        <v>104</v>
      </c>
      <c r="D14" s="1623" t="s">
        <v>3392</v>
      </c>
      <c r="E14" s="13">
        <f>IF($C$3="是",ROUND($A$3*G14/$B$3,2),ROUND($A$3*(G14-AT14)/$B$3,2))</f>
        <v>0</v>
      </c>
      <c r="F14" s="29"/>
      <c r="G14" s="30">
        <f>H14+AC14+AT14</f>
        <v>253.05</v>
      </c>
      <c r="H14" s="17">
        <f>SUMIF(I$12:AB$12,"总值",I14:AB14)</f>
        <v>253.05</v>
      </c>
      <c r="I14" s="1624">
        <v>253.05</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104</v>
      </c>
      <c r="AY14" s="1347">
        <f>ROUND($AY$6*AZ14/$AZ$5,2)</f>
        <v>0</v>
      </c>
      <c r="AZ14" s="13">
        <f>BA14+BL14</f>
        <v>253.05</v>
      </c>
      <c r="BA14" s="13">
        <f>SUM(BB14:BK14)</f>
        <v>253.05</v>
      </c>
      <c r="BB14" s="13">
        <f>IF($D14="是",I14-J14,0)</f>
        <v>253.05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3.2">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3.2">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3.2">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6" customWidth="1"/>
    <col min="2" max="2" width="10.21875" style="1636" customWidth="1"/>
    <col min="3" max="3" width="18.44140625" style="1636" customWidth="1"/>
    <col min="4" max="4" width="11.6640625" style="1636" customWidth="1"/>
    <col min="5" max="5" width="13.33203125" style="1636" customWidth="1"/>
    <col min="6" max="8" width="11.44140625" style="1636" customWidth="1"/>
    <col min="9" max="9" width="11.109375" style="1636" customWidth="1"/>
    <col min="10" max="10" width="3.109375" style="2646" customWidth="1"/>
    <col min="11" max="16" width="10" style="1636" customWidth="1"/>
    <col min="17" max="17" width="2.6640625" style="1636" customWidth="1"/>
    <col min="18" max="18" width="9.33203125" style="1636" bestFit="1" customWidth="1"/>
    <col min="19" max="19" width="10.44140625" style="1636" bestFit="1" customWidth="1"/>
    <col min="20" max="16384" width="9.21875" style="1636"/>
  </cols>
  <sheetData>
    <row r="1" spans="1:16" ht="18" thickBot="1">
      <c r="A1" s="1635" t="s">
        <v>1128</v>
      </c>
      <c r="B1" s="1137"/>
      <c r="C1" s="1137"/>
      <c r="D1" s="1137"/>
      <c r="E1" s="1137"/>
      <c r="F1" s="1137"/>
      <c r="G1" s="1137"/>
      <c r="H1" s="1137"/>
      <c r="I1" s="1137"/>
      <c r="J1" s="1137"/>
      <c r="K1" s="1137"/>
      <c r="L1" s="1137"/>
      <c r="M1" s="1137"/>
      <c r="N1" s="1137"/>
      <c r="O1" s="1137"/>
      <c r="P1" s="1137"/>
    </row>
    <row r="2" spans="1:16" ht="14.4">
      <c r="A2" s="3596" t="s">
        <v>1129</v>
      </c>
      <c r="B2" s="3596"/>
      <c r="C2" s="3596"/>
      <c r="D2" s="794" t="s">
        <v>1105</v>
      </c>
      <c r="E2" s="1637" t="s">
        <v>1106</v>
      </c>
      <c r="F2" s="2656"/>
      <c r="G2" s="2647"/>
      <c r="H2" s="2648"/>
      <c r="I2" s="2323" t="s">
        <v>1130</v>
      </c>
      <c r="J2" s="2656"/>
      <c r="K2" s="2656"/>
      <c r="L2" s="2656"/>
      <c r="M2" s="2656"/>
      <c r="N2" s="2658"/>
      <c r="O2" s="2656"/>
      <c r="P2" s="2656"/>
    </row>
    <row r="3" spans="1:16" ht="15" thickBot="1">
      <c r="A3" s="3597" t="s">
        <v>1103</v>
      </c>
      <c r="B3" s="3597"/>
      <c r="C3" s="3597"/>
      <c r="D3" s="43">
        <f>'数据-基础表'!AY6</f>
        <v>0</v>
      </c>
      <c r="E3" s="43">
        <f>'数据-基础表'!AZ5</f>
        <v>521.56999999999994</v>
      </c>
      <c r="F3" s="2656"/>
      <c r="G3" s="1143"/>
      <c r="H3" s="1024" t="s">
        <v>1104</v>
      </c>
      <c r="I3" s="853" t="e">
        <f>ROUND('数据-基础表'!B3/'数据-基础表'!A3,2)</f>
        <v>#DIV/0!</v>
      </c>
      <c r="J3" s="2656"/>
      <c r="K3" s="2656"/>
      <c r="L3" s="2656"/>
      <c r="M3" s="2656"/>
      <c r="N3" s="2658"/>
      <c r="O3" s="2656"/>
      <c r="P3" s="2656"/>
    </row>
    <row r="4" spans="1:16" ht="14.4">
      <c r="A4" s="3598"/>
      <c r="B4" s="3599"/>
      <c r="C4" s="3600"/>
      <c r="D4" s="1639" t="s">
        <v>1105</v>
      </c>
      <c r="E4" s="1640" t="s">
        <v>1106</v>
      </c>
      <c r="F4" s="2656"/>
      <c r="G4" s="2649" t="s">
        <v>1131</v>
      </c>
      <c r="H4" s="1024" t="s">
        <v>1111</v>
      </c>
      <c r="I4" s="853" t="e">
        <f>ROUND(SUMIF('数据-基础表'!I9:AS9,"地上",'数据-基础表'!I5:AS5)/'数据-基础表'!A3,2)</f>
        <v>#DIV/0!</v>
      </c>
      <c r="J4" s="2656"/>
      <c r="K4" s="2656"/>
      <c r="L4" s="2656"/>
      <c r="M4" s="2656"/>
      <c r="N4" s="2658"/>
      <c r="O4" s="2656"/>
      <c r="P4" s="2656"/>
    </row>
    <row r="5" spans="1:16" ht="14.4">
      <c r="A5" s="44" t="s">
        <v>1107</v>
      </c>
      <c r="B5" s="3601" t="s">
        <v>1108</v>
      </c>
      <c r="C5" s="3601"/>
      <c r="D5" s="45">
        <f>ROUND($D$3*E5/$E$3,2)</f>
        <v>0</v>
      </c>
      <c r="E5" s="46">
        <f>SUMIF('数据-基础表'!$11:$11,"住宅",'数据-基础表'!$5:$5)</f>
        <v>0</v>
      </c>
      <c r="F5" s="2656"/>
      <c r="G5" s="1143"/>
      <c r="H5" s="1024" t="s">
        <v>1104</v>
      </c>
      <c r="I5" s="853" t="e">
        <f>ROUND(E31/D31,2)</f>
        <v>#DIV/0!</v>
      </c>
      <c r="J5" s="2656"/>
      <c r="K5" s="2656"/>
      <c r="L5" s="2656"/>
      <c r="M5" s="2656"/>
      <c r="N5" s="2656"/>
      <c r="O5" s="2656"/>
      <c r="P5" s="2656"/>
    </row>
    <row r="6" spans="1:16" ht="15" thickBot="1">
      <c r="A6" s="1642"/>
      <c r="B6" s="3601" t="s">
        <v>1109</v>
      </c>
      <c r="C6" s="3601"/>
      <c r="D6" s="45">
        <f>ROUND($D$3*E6/$E$3,2)</f>
        <v>0</v>
      </c>
      <c r="E6" s="46">
        <f>E3-E5</f>
        <v>521.56999999999994</v>
      </c>
      <c r="F6" s="2656"/>
      <c r="G6" s="2650" t="s">
        <v>1110</v>
      </c>
      <c r="H6" s="1144" t="s">
        <v>1111</v>
      </c>
      <c r="I6" s="2651" t="e">
        <f>ROUND(F31/D31,2)</f>
        <v>#DIV/0!</v>
      </c>
      <c r="J6" s="2656"/>
      <c r="K6" s="2656"/>
      <c r="L6" s="2656"/>
      <c r="M6" s="2656"/>
      <c r="N6" s="2656"/>
      <c r="O6" s="2656"/>
      <c r="P6" s="2656"/>
    </row>
    <row r="7" spans="1:16" ht="15" thickBot="1">
      <c r="A7" s="3593"/>
      <c r="B7" s="3594"/>
      <c r="C7" s="3595"/>
      <c r="D7" s="1639" t="s">
        <v>1105</v>
      </c>
      <c r="E7" s="1643" t="s">
        <v>1112</v>
      </c>
      <c r="F7" s="2656"/>
      <c r="G7" s="2652" t="s">
        <v>1113</v>
      </c>
      <c r="H7" s="2653"/>
      <c r="I7" s="2654"/>
      <c r="J7" s="2656"/>
      <c r="K7" s="2656"/>
      <c r="L7" s="2656"/>
      <c r="M7" s="2656"/>
      <c r="N7" s="2656"/>
      <c r="O7" s="2656"/>
      <c r="P7" s="2656"/>
    </row>
    <row r="8" spans="1:16" ht="14.4">
      <c r="A8" s="44" t="s">
        <v>1114</v>
      </c>
      <c r="B8" s="47" t="s">
        <v>1115</v>
      </c>
      <c r="C8" s="45" t="s">
        <v>1116</v>
      </c>
      <c r="D8" s="45">
        <f t="shared" ref="D8:D15" si="0">ROUND($D$3*E8/$E$3,2)</f>
        <v>0</v>
      </c>
      <c r="E8" s="48">
        <f>SUMIF('数据-基础表'!BB10:BK10,"地上",'数据-基础表'!BB5:BK5)</f>
        <v>521.56999999999994</v>
      </c>
      <c r="F8" s="2656"/>
      <c r="G8" s="2657"/>
      <c r="H8" s="2657"/>
      <c r="I8" s="2656"/>
      <c r="J8" s="2656"/>
      <c r="K8" s="2656"/>
      <c r="L8" s="2656"/>
      <c r="M8" s="2656"/>
      <c r="N8" s="2656"/>
      <c r="O8" s="2656"/>
      <c r="P8" s="2656"/>
    </row>
    <row r="9" spans="1:16" ht="14.4">
      <c r="A9" s="1644"/>
      <c r="B9" s="1645"/>
      <c r="C9" s="45" t="s">
        <v>1117</v>
      </c>
      <c r="D9" s="45">
        <f t="shared" si="0"/>
        <v>0</v>
      </c>
      <c r="E9" s="49">
        <v>0</v>
      </c>
      <c r="F9" s="2656"/>
      <c r="G9" s="2657"/>
      <c r="H9" s="2657"/>
      <c r="I9" s="2656"/>
      <c r="J9" s="2656"/>
      <c r="K9" s="2656"/>
      <c r="L9" s="2656"/>
      <c r="M9" s="2656"/>
      <c r="N9" s="2656"/>
      <c r="O9" s="2656"/>
      <c r="P9" s="2656"/>
    </row>
    <row r="10" spans="1:16" ht="14.4">
      <c r="A10" s="1644"/>
      <c r="B10" s="1645"/>
      <c r="C10" s="45" t="s">
        <v>1126</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4"/>
      <c r="B11" s="1645"/>
      <c r="C11" s="45" t="s">
        <v>1118</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4"/>
      <c r="B12" s="1645"/>
      <c r="C12" s="45" t="s">
        <v>1119</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4"/>
      <c r="B13" s="1645"/>
      <c r="C13" s="45" t="s">
        <v>1120</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4"/>
      <c r="B14" s="1645"/>
      <c r="C14" s="45" t="s">
        <v>1132</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4"/>
      <c r="B15" s="1645"/>
      <c r="C15" s="45" t="s">
        <v>1127</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2"/>
      <c r="B16" s="1645"/>
      <c r="C16" s="47" t="s">
        <v>1121</v>
      </c>
      <c r="D16" s="47">
        <f>SUM(D8:D15)</f>
        <v>0</v>
      </c>
      <c r="E16" s="50">
        <f>SUM(E8:E15)</f>
        <v>521.56999999999994</v>
      </c>
      <c r="F16" s="2656"/>
      <c r="G16" s="2657"/>
      <c r="H16" s="1646" t="s">
        <v>1133</v>
      </c>
      <c r="I16" s="1647"/>
      <c r="J16" s="1137"/>
      <c r="K16" s="3590" t="s">
        <v>1133</v>
      </c>
      <c r="L16" s="3591"/>
      <c r="M16" s="3591"/>
      <c r="N16" s="3591"/>
      <c r="O16" s="3591"/>
      <c r="P16" s="3592"/>
    </row>
    <row r="17" spans="1:19" ht="14.4">
      <c r="A17" s="1648" t="s">
        <v>1134</v>
      </c>
      <c r="B17" s="1649" t="s">
        <v>1135</v>
      </c>
      <c r="C17" s="1650" t="s">
        <v>1136</v>
      </c>
      <c r="D17" s="1651" t="s">
        <v>1124</v>
      </c>
      <c r="E17" s="1652" t="s">
        <v>1125</v>
      </c>
      <c r="F17" s="1653"/>
      <c r="G17" s="1654"/>
      <c r="H17" s="1655" t="s">
        <v>1137</v>
      </c>
      <c r="I17" s="1656" t="s">
        <v>1122</v>
      </c>
      <c r="J17" s="1137"/>
      <c r="K17" s="3587" t="s">
        <v>1138</v>
      </c>
      <c r="L17" s="3588"/>
      <c r="M17" s="3589"/>
      <c r="N17" s="3587" t="s">
        <v>1139</v>
      </c>
      <c r="O17" s="3588"/>
      <c r="P17" s="3589"/>
      <c r="R17" s="1638" t="s">
        <v>1140</v>
      </c>
      <c r="S17" s="56"/>
    </row>
    <row r="18" spans="1:19" ht="14.4">
      <c r="A18" s="1644"/>
      <c r="B18" s="1657"/>
      <c r="C18" s="1658"/>
      <c r="D18" s="1659"/>
      <c r="E18" s="1660" t="s">
        <v>1141</v>
      </c>
      <c r="F18" s="1661" t="s">
        <v>1142</v>
      </c>
      <c r="G18" s="1662" t="s">
        <v>1143</v>
      </c>
      <c r="H18" s="1039" t="s">
        <v>1144</v>
      </c>
      <c r="I18" s="1663" t="s">
        <v>1145</v>
      </c>
      <c r="J18" s="1137"/>
      <c r="K18" s="1039" t="s">
        <v>1146</v>
      </c>
      <c r="L18" s="1664" t="s">
        <v>1147</v>
      </c>
      <c r="M18" s="853" t="s">
        <v>1148</v>
      </c>
      <c r="N18" s="1039" t="s">
        <v>1146</v>
      </c>
      <c r="O18" s="1664" t="s">
        <v>1147</v>
      </c>
      <c r="P18" s="853" t="s">
        <v>1148</v>
      </c>
      <c r="R18" s="1024" t="s">
        <v>1149</v>
      </c>
      <c r="S18" s="1024" t="s">
        <v>1150</v>
      </c>
    </row>
    <row r="19" spans="1:19" ht="14.4">
      <c r="A19" s="1665"/>
      <c r="B19" s="47" t="s">
        <v>1123</v>
      </c>
      <c r="C19" s="3414">
        <f>'数据-基础表'!C13</f>
        <v>110</v>
      </c>
      <c r="D19" s="45">
        <f>ROUND($D$3*E19/$E$3,2)</f>
        <v>0</v>
      </c>
      <c r="E19" s="53">
        <f t="shared" ref="E19:E26" si="1">SUM(F19:G19)</f>
        <v>268.52</v>
      </c>
      <c r="F19" s="2792">
        <f>'数据-基础表'!I13</f>
        <v>268.52</v>
      </c>
      <c r="G19" s="2793"/>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268.52</v>
      </c>
    </row>
    <row r="20" spans="1:19" ht="14.4">
      <c r="A20" s="1668"/>
      <c r="B20" s="47" t="s">
        <v>1151</v>
      </c>
      <c r="C20" s="3414">
        <f>'数据-基础表'!C14</f>
        <v>104</v>
      </c>
      <c r="D20" s="45">
        <f t="shared" ref="D20:D26" si="6">ROUND($D$3*E20/$E$3,2)</f>
        <v>0</v>
      </c>
      <c r="E20" s="53">
        <f t="shared" si="1"/>
        <v>253.05</v>
      </c>
      <c r="F20" s="2792">
        <f>'数据-基础表'!I14</f>
        <v>253.05</v>
      </c>
      <c r="G20" s="2793"/>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253.05</v>
      </c>
    </row>
    <row r="21" spans="1:19" ht="14.4">
      <c r="A21" s="1668"/>
      <c r="B21" s="47" t="s">
        <v>1151</v>
      </c>
      <c r="C21" s="3414"/>
      <c r="D21" s="45">
        <f t="shared" si="6"/>
        <v>0</v>
      </c>
      <c r="E21" s="53">
        <f t="shared" si="1"/>
        <v>0</v>
      </c>
      <c r="F21" s="2792"/>
      <c r="G21" s="2793"/>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ht="14.4">
      <c r="A22" s="1668"/>
      <c r="B22" s="47" t="s">
        <v>1151</v>
      </c>
      <c r="C22" s="3415"/>
      <c r="D22" s="45">
        <f t="shared" si="6"/>
        <v>0</v>
      </c>
      <c r="E22" s="53">
        <f t="shared" si="1"/>
        <v>0</v>
      </c>
      <c r="F22" s="2794"/>
      <c r="G22" s="2795"/>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ht="14.4">
      <c r="A23" s="1668"/>
      <c r="B23" s="47" t="s">
        <v>1151</v>
      </c>
      <c r="C23" s="3415"/>
      <c r="D23" s="45">
        <f>ROUND($D$3*E23/$E$3,2)</f>
        <v>0</v>
      </c>
      <c r="E23" s="53">
        <f>SUM(F23:G23)</f>
        <v>0</v>
      </c>
      <c r="F23" s="2794"/>
      <c r="G23" s="2795"/>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ht="14.4">
      <c r="A24" s="1668"/>
      <c r="B24" s="47" t="s">
        <v>1151</v>
      </c>
      <c r="C24" s="3415"/>
      <c r="D24" s="45">
        <f>ROUND($D$3*E24/$E$3,2)</f>
        <v>0</v>
      </c>
      <c r="E24" s="53">
        <f>SUM(F24:G24)</f>
        <v>0</v>
      </c>
      <c r="F24" s="2794"/>
      <c r="G24" s="2795"/>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ht="14.4">
      <c r="A25" s="1668"/>
      <c r="B25" s="47" t="s">
        <v>1151</v>
      </c>
      <c r="C25" s="3415"/>
      <c r="D25" s="45">
        <f t="shared" si="6"/>
        <v>0</v>
      </c>
      <c r="E25" s="53">
        <f t="shared" si="1"/>
        <v>0</v>
      </c>
      <c r="F25" s="2794"/>
      <c r="G25" s="2795"/>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ht="14.4">
      <c r="A26" s="1668"/>
      <c r="B26" s="47" t="s">
        <v>1151</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 thickBot="1">
      <c r="A27" s="1668"/>
      <c r="B27" s="45"/>
      <c r="C27" s="1671" t="s">
        <v>1152</v>
      </c>
      <c r="D27" s="1138">
        <f>SUM(D19:D26)</f>
        <v>0</v>
      </c>
      <c r="E27" s="1139">
        <f>IF(SUM(E19:E26)='数据-基础表'!BA5,SUM(E19:E26),IF(F27="地上面积有误","面积有误","地下面积有误"))</f>
        <v>521.56999999999994</v>
      </c>
      <c r="F27" s="1138">
        <f>IF(SUM(F19:F26)=E8,SUM(F19:F26),"地上面积有误")</f>
        <v>521.56999999999994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521.56999999999994</v>
      </c>
    </row>
    <row r="28" spans="1:19" ht="14.4">
      <c r="A28" s="1668"/>
      <c r="B28" s="47" t="s">
        <v>1153</v>
      </c>
      <c r="C28" s="1036" t="s">
        <v>1154</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68"/>
      <c r="B29" s="47" t="s">
        <v>1153</v>
      </c>
      <c r="C29" s="1672" t="s">
        <v>1155</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68"/>
      <c r="B30" s="47"/>
      <c r="C30" s="1673" t="s">
        <v>1152</v>
      </c>
      <c r="D30" s="1138">
        <f>SUM(D28:D29)</f>
        <v>0</v>
      </c>
      <c r="E30" s="1138">
        <f>SUM(E28:E29)</f>
        <v>0</v>
      </c>
      <c r="F30" s="1138">
        <f>SUM(F28:F29)</f>
        <v>0</v>
      </c>
      <c r="G30" s="1140">
        <f>SUM(G28:G29)</f>
        <v>0</v>
      </c>
      <c r="H30" s="2656"/>
      <c r="I30" s="2656"/>
      <c r="J30" s="2656"/>
      <c r="K30" s="2656"/>
      <c r="L30" s="2656"/>
      <c r="M30" s="2656"/>
      <c r="N30" s="2656"/>
      <c r="O30" s="2656"/>
      <c r="P30" s="2656"/>
    </row>
    <row r="31" spans="1:19" ht="15" thickBot="1">
      <c r="A31" s="1674"/>
      <c r="B31" s="1675"/>
      <c r="C31" s="833" t="s">
        <v>1156</v>
      </c>
      <c r="D31" s="674">
        <f>D27+D30</f>
        <v>0</v>
      </c>
      <c r="E31" s="674">
        <f>E27+E30</f>
        <v>521.56999999999994</v>
      </c>
      <c r="F31" s="675">
        <f>F27+F30</f>
        <v>521.56999999999994</v>
      </c>
      <c r="G31" s="676">
        <f>G27+G30</f>
        <v>0</v>
      </c>
      <c r="H31" s="2656"/>
      <c r="I31" s="2656"/>
      <c r="J31" s="2656"/>
      <c r="K31" s="2656"/>
      <c r="L31" s="2656"/>
      <c r="M31" s="2656"/>
      <c r="N31" s="2656"/>
      <c r="O31" s="2656"/>
      <c r="P31" s="2656"/>
    </row>
    <row r="32" spans="1:19" ht="14.4">
      <c r="A32" s="1641"/>
      <c r="B32" s="1641" t="s">
        <v>1157</v>
      </c>
      <c r="C32" s="1641"/>
      <c r="D32" s="1641"/>
      <c r="E32" s="1051">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743" customWidth="1"/>
    <col min="2" max="2" width="12" style="1680" customWidth="1"/>
    <col min="3" max="3" width="12.77734375" style="1680" customWidth="1"/>
    <col min="4" max="4" width="9.109375" style="1744" customWidth="1"/>
    <col min="5" max="5" width="15" style="1680" bestFit="1" customWidth="1"/>
    <col min="6" max="10" width="8.88671875" style="1680" customWidth="1"/>
    <col min="11" max="12" width="12.33203125" style="1599" customWidth="1"/>
    <col min="13" max="13" width="8.6640625" style="1680" customWidth="1"/>
    <col min="14" max="14" width="11.88671875" style="1680" customWidth="1"/>
    <col min="15" max="15" width="8.44140625" style="1680" customWidth="1"/>
    <col min="16" max="17" width="10.88671875" style="1680" customWidth="1"/>
    <col min="18" max="19" width="12.44140625" style="1680" customWidth="1"/>
    <col min="20" max="20" width="12.109375" style="1680" customWidth="1"/>
    <col min="21" max="21" width="7.44140625" style="1680" customWidth="1"/>
    <col min="22" max="22" width="6.33203125" style="1680" customWidth="1"/>
    <col min="23" max="30" width="6.77734375" style="1680" customWidth="1"/>
    <col min="31" max="31" width="8" style="1680" customWidth="1"/>
    <col min="32" max="34" width="7.21875" style="1680" customWidth="1"/>
    <col min="35" max="39" width="8" style="1680" customWidth="1"/>
    <col min="40" max="40" width="13.77734375" style="1679"/>
    <col min="41" max="41" width="11.6640625" style="1679" customWidth="1"/>
    <col min="42" max="42" width="9.77734375" style="1679" customWidth="1"/>
    <col min="43" max="67" width="13.77734375" style="1679"/>
    <col min="68" max="16384" width="13.77734375" style="1680"/>
  </cols>
  <sheetData>
    <row r="1" spans="1:67" ht="18" thickBot="1">
      <c r="A1" s="1677" t="s">
        <v>1158</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 thickBot="1">
      <c r="A2" s="1681" t="s">
        <v>1159</v>
      </c>
      <c r="B2" s="1043">
        <f>项目基本情况!D3</f>
        <v>45504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4.4"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5"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57.6">
      <c r="A5" s="1693" t="s">
        <v>1166</v>
      </c>
      <c r="B5" s="1694" t="s">
        <v>1167</v>
      </c>
      <c r="C5" s="1695" t="s">
        <v>1168</v>
      </c>
      <c r="D5" s="1696" t="s">
        <v>1169</v>
      </c>
      <c r="E5" s="1045" t="s">
        <v>1170</v>
      </c>
      <c r="F5" s="1697" t="s">
        <v>1171</v>
      </c>
      <c r="G5" s="1045" t="s">
        <v>1172</v>
      </c>
      <c r="H5" s="1045" t="s">
        <v>1173</v>
      </c>
      <c r="I5" s="1045" t="s">
        <v>1174</v>
      </c>
      <c r="J5" s="1698" t="s">
        <v>1175</v>
      </c>
      <c r="K5" s="1699" t="s">
        <v>1176</v>
      </c>
      <c r="L5" s="1700" t="s">
        <v>1177</v>
      </c>
      <c r="M5" s="1701" t="s">
        <v>1178</v>
      </c>
      <c r="N5" s="1702" t="s">
        <v>3391</v>
      </c>
      <c r="O5" s="1700" t="s">
        <v>1179</v>
      </c>
      <c r="P5" s="1703" t="s">
        <v>1180</v>
      </c>
      <c r="Q5" s="61" t="s">
        <v>1181</v>
      </c>
      <c r="R5" s="1704" t="s">
        <v>1182</v>
      </c>
      <c r="S5" s="1705" t="s">
        <v>1183</v>
      </c>
      <c r="T5" s="1706" t="s">
        <v>1184</v>
      </c>
      <c r="U5" s="1044" t="s">
        <v>1185</v>
      </c>
      <c r="V5" s="1045" t="s">
        <v>1186</v>
      </c>
      <c r="W5" s="1045" t="s">
        <v>1187</v>
      </c>
      <c r="X5" s="63"/>
      <c r="Y5" s="62" t="s">
        <v>1188</v>
      </c>
      <c r="Z5" s="1707" t="s">
        <v>1185</v>
      </c>
      <c r="AA5" s="1045" t="s">
        <v>1186</v>
      </c>
      <c r="AB5" s="1045" t="s">
        <v>1187</v>
      </c>
      <c r="AC5" s="63"/>
      <c r="AD5" s="63" t="s">
        <v>1188</v>
      </c>
      <c r="AE5" s="1044" t="s">
        <v>1189</v>
      </c>
      <c r="AF5" s="1045" t="s">
        <v>1190</v>
      </c>
      <c r="AG5" s="62" t="s">
        <v>1191</v>
      </c>
      <c r="AH5" s="1044" t="s">
        <v>1192</v>
      </c>
      <c r="AI5" s="1707" t="s">
        <v>1193</v>
      </c>
      <c r="AJ5" s="1707" t="s">
        <v>1194</v>
      </c>
      <c r="AK5" s="1045" t="s">
        <v>1195</v>
      </c>
      <c r="AL5" s="1045" t="s">
        <v>1196</v>
      </c>
      <c r="AM5" s="62" t="s">
        <v>1197</v>
      </c>
      <c r="AN5" s="1708" t="s">
        <v>1198</v>
      </c>
      <c r="AO5" s="1560" t="s">
        <v>1199</v>
      </c>
      <c r="AP5" s="1026"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3.8">
      <c r="A6" s="1710">
        <f>'数据-汇总表'!C19</f>
        <v>110</v>
      </c>
      <c r="B6" s="1711" t="str">
        <f>IF(A6=0,"","经营性")</f>
        <v>经营性</v>
      </c>
      <c r="C6" s="1712" t="s">
        <v>671</v>
      </c>
      <c r="D6" s="856">
        <f>SUMIF(项目基本情况!C$12:I$12,C6,项目基本情况!C$14:I$14)</f>
        <v>40</v>
      </c>
      <c r="E6" s="855">
        <f>IF(B6="","",SUMIF(项目基本情况!C$12:I$12,C6,项目基本情况!C$13:I$13))</f>
        <v>56455</v>
      </c>
      <c r="F6" s="64">
        <f>SUMIF(项目基本情况!C$12:I$12,C6,项目基本情况!C$15:I$15)</f>
        <v>30</v>
      </c>
      <c r="G6" s="65">
        <f>IF(ISERROR(ROUND(POWER(1+H6,D6-F6)*(POWER(1+H6,F6)-1)/(POWER(1+H6,D6)-1),3)),0,ROUND(POWER(1+H6,D6-F6)*(POWER(1+H6,F6)-1)/(POWER(1+H6,D6)-1),3))</f>
        <v>0.89600000000000002</v>
      </c>
      <c r="H6" s="730">
        <v>0.05</v>
      </c>
      <c r="I6" s="730">
        <v>5.5E-2</v>
      </c>
      <c r="J6" s="66">
        <v>7.0000000000000007E-2</v>
      </c>
      <c r="K6" s="1028">
        <f>SUMIF('数据-汇总表'!C$19:C$33,A6,'数据-汇总表'!E$19:E$33)</f>
        <v>268.52</v>
      </c>
      <c r="L6" s="731">
        <v>4000</v>
      </c>
      <c r="M6" s="67">
        <f t="shared" ref="M6:M14" si="0">ROUND(K6*L6/10000,0)</f>
        <v>107</v>
      </c>
      <c r="N6" s="729">
        <f>L22</f>
        <v>0.88</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70">
        <f>ROUND($L$14*S6/10000,0)</f>
        <v>0</v>
      </c>
      <c r="U6" s="3425">
        <f>'信息+案例'!M32</f>
        <v>5.18</v>
      </c>
      <c r="V6" s="70">
        <v>0.02</v>
      </c>
      <c r="W6" s="70">
        <v>0.15</v>
      </c>
      <c r="X6" s="1038"/>
      <c r="Y6" s="71">
        <f>N6</f>
        <v>0.88</v>
      </c>
      <c r="Z6" s="72"/>
      <c r="AA6" s="66"/>
      <c r="AB6" s="66"/>
      <c r="AC6" s="1038"/>
      <c r="AD6" s="73"/>
      <c r="AE6" s="1039">
        <f ca="1">IF(AN6="",0,SUMIF(INDIRECT("'"&amp;AN6&amp;"'"&amp;"!E:E"),$AE$5,INDIRECT("'"&amp;AN6&amp;"'"&amp;"!F:F")))</f>
        <v>30</v>
      </c>
      <c r="AF6" s="1346"/>
      <c r="AG6" s="138">
        <f>IF(AF6="",0,AE6-AF6)</f>
        <v>0</v>
      </c>
      <c r="AH6" s="74"/>
      <c r="AI6" s="76">
        <v>365</v>
      </c>
      <c r="AJ6" s="77"/>
      <c r="AK6" s="78">
        <v>5.0000000000000001E-3</v>
      </c>
      <c r="AL6" s="79">
        <v>1E-3</v>
      </c>
      <c r="AM6" s="80">
        <v>0.01</v>
      </c>
      <c r="AN6" s="1713" t="s">
        <v>3531</v>
      </c>
      <c r="AO6" s="52">
        <f ca="1">SUMIF(INDIRECT("'"&amp;AN6&amp;"'"&amp;"!A:A"),"总价",INDIRECT("'"&amp;AN6&amp;"'"&amp;"!B:B"))</f>
        <v>636.54499999999996</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3.8">
      <c r="A7" s="1710">
        <f>'数据-汇总表'!C20</f>
        <v>104</v>
      </c>
      <c r="B7" s="1711" t="str">
        <f t="shared" ref="B7:B13" si="1">IF(A7=0,"","经营性")</f>
        <v>经营性</v>
      </c>
      <c r="C7" s="1712" t="s">
        <v>671</v>
      </c>
      <c r="D7" s="856">
        <f>SUMIF(项目基本情况!C$12:I$12,C7,项目基本情况!C$14:I$14)</f>
        <v>40</v>
      </c>
      <c r="E7" s="855">
        <f>IF(B7="","",SUMIF(项目基本情况!C$12:I$12,C7,项目基本情况!C$13:I$13))</f>
        <v>56455</v>
      </c>
      <c r="F7" s="64">
        <f>SUMIF(项目基本情况!C$12:I$12,C7,项目基本情况!C$15:I$15)</f>
        <v>30</v>
      </c>
      <c r="G7" s="65">
        <f t="shared" ref="G7:G11" si="2">IF(ISERROR(ROUND(POWER(1+H7,D7-F7)*(POWER(1+H7,F7)-1)/(POWER(1+H7,D7)-1),3)),0,ROUND(POWER(1+H7,D7-F7)*(POWER(1+H7,F7)-1)/(POWER(1+H7,D7)-1),3))</f>
        <v>0.89600000000000002</v>
      </c>
      <c r="H7" s="730">
        <f>H6</f>
        <v>0.05</v>
      </c>
      <c r="I7" s="730">
        <f>I6</f>
        <v>5.5E-2</v>
      </c>
      <c r="J7" s="66">
        <f>J6</f>
        <v>7.0000000000000007E-2</v>
      </c>
      <c r="K7" s="1028">
        <f>SUMIF('数据-汇总表'!C$19:C$33,A7,'数据-汇总表'!E$19:E$33)</f>
        <v>253.05</v>
      </c>
      <c r="L7" s="731">
        <f>L6</f>
        <v>4000</v>
      </c>
      <c r="M7" s="67">
        <f t="shared" si="0"/>
        <v>101</v>
      </c>
      <c r="N7" s="729">
        <f>N6</f>
        <v>0.88</v>
      </c>
      <c r="O7" s="67" t="str">
        <f t="shared" ref="O7:O14" si="3">IF($N$5="成新度","——",ROUND(M7*N7,0))</f>
        <v>——</v>
      </c>
      <c r="P7" s="68" t="str">
        <f t="shared" ref="P7:P14" si="4">IF($N$5="成新度","——",M7-O7)</f>
        <v>——</v>
      </c>
      <c r="Q7" s="732">
        <f>Q6</f>
        <v>0.2</v>
      </c>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5">
        <f>ROUND(U6*(1-5%),2)</f>
        <v>4.92</v>
      </c>
      <c r="V7" s="70">
        <f>V6</f>
        <v>0.02</v>
      </c>
      <c r="W7" s="70">
        <f>W6</f>
        <v>0.15</v>
      </c>
      <c r="X7" s="1038"/>
      <c r="Y7" s="71">
        <f>Y6</f>
        <v>0.88</v>
      </c>
      <c r="Z7" s="72"/>
      <c r="AA7" s="66"/>
      <c r="AB7" s="66"/>
      <c r="AC7" s="1038"/>
      <c r="AD7" s="73"/>
      <c r="AE7" s="1039">
        <f t="shared" ref="AE7:AE13" ca="1" si="6">IF(AN7="",0,SUMIF(INDIRECT("'"&amp;AN7&amp;"'"&amp;"!E:E"),$AE$5,INDIRECT("'"&amp;AN7&amp;"'"&amp;"!F:F")))</f>
        <v>30</v>
      </c>
      <c r="AF7" s="1346"/>
      <c r="AG7" s="138">
        <f t="shared" ref="AG7:AG13" si="7">IF(AF7="",0,AE7-AF7)</f>
        <v>0</v>
      </c>
      <c r="AH7" s="74"/>
      <c r="AI7" s="76">
        <v>365</v>
      </c>
      <c r="AJ7" s="77"/>
      <c r="AK7" s="78">
        <f>AK6</f>
        <v>5.0000000000000001E-3</v>
      </c>
      <c r="AL7" s="79">
        <f>AL6</f>
        <v>1E-3</v>
      </c>
      <c r="AM7" s="80">
        <f>AM6</f>
        <v>0.01</v>
      </c>
      <c r="AN7" s="1713" t="s">
        <v>3533</v>
      </c>
      <c r="AO7" s="52">
        <f t="shared" ref="AO7:AO13" ca="1" si="8">SUMIF(INDIRECT("'"&amp;AN7&amp;"'"&amp;"!A:A"),"总价",INDIRECT("'"&amp;AN7&amp;"'"&amp;"!B:B"))</f>
        <v>569.29809999999998</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3.8">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6"/>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3.8">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3.8">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3.8">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3.8">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3.8">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4">
      <c r="A14" s="1715" t="s">
        <v>1203</v>
      </c>
      <c r="B14" s="1711" t="s">
        <v>1204</v>
      </c>
      <c r="C14" s="1716" t="s">
        <v>1203</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8.8">
      <c r="A15" s="1715" t="s">
        <v>1205</v>
      </c>
      <c r="B15" s="1711" t="s">
        <v>1204</v>
      </c>
      <c r="C15" s="1716"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 thickBot="1">
      <c r="A16" s="1717" t="s">
        <v>1207</v>
      </c>
      <c r="B16" s="88"/>
      <c r="C16" s="831"/>
      <c r="D16" s="1718"/>
      <c r="E16" s="88"/>
      <c r="F16" s="88"/>
      <c r="G16" s="89">
        <f>ROUND(SUMPRODUCT(G6:G13,K6:K13)/SUMPRODUCT((G6:G13&gt;0)*(K6:K13)),3)</f>
        <v>0.89600000000000002</v>
      </c>
      <c r="H16" s="90">
        <f>ROUND(SUMPRODUCT(H6:H13,K6:K13)/SUMPRODUCT((H6:H13&gt;0)*(K6:K13)),3)</f>
        <v>0.05</v>
      </c>
      <c r="I16" s="91"/>
      <c r="J16" s="91"/>
      <c r="K16" s="92">
        <f>SUM(K6:K15)</f>
        <v>521.56999999999994</v>
      </c>
      <c r="L16" s="93">
        <f>ROUND(M16*10000/SUM(K6:K14),0)</f>
        <v>3988</v>
      </c>
      <c r="M16" s="93">
        <f>SUM(M6:M14)</f>
        <v>208</v>
      </c>
      <c r="N16" s="94">
        <f>ROUND(SUMPRODUCT(M6:M14,N6:N14)/M16,3)</f>
        <v>0.88</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8"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1208</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20" t="s">
        <v>1209</v>
      </c>
      <c r="B19" s="103">
        <v>0</v>
      </c>
      <c r="C19" s="2796" t="s">
        <v>2300</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1" t="s">
        <v>1210</v>
      </c>
      <c r="B20" s="104">
        <v>2</v>
      </c>
      <c r="C20" s="2797" t="s">
        <v>2298</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2" t="s">
        <v>1211</v>
      </c>
      <c r="B21" s="104">
        <v>2</v>
      </c>
      <c r="C21" s="2670"/>
      <c r="D21" s="2673"/>
      <c r="E21" s="2670"/>
      <c r="F21" s="2670"/>
      <c r="G21" s="2670"/>
      <c r="H21" s="2670"/>
      <c r="I21" s="2670"/>
      <c r="J21" s="2670"/>
      <c r="K21" s="3447" t="s">
        <v>3389</v>
      </c>
      <c r="L21" s="2668">
        <v>2017</v>
      </c>
      <c r="M21" s="3447" t="s">
        <v>3470</v>
      </c>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1" t="s">
        <v>1212</v>
      </c>
      <c r="B22" s="105">
        <f>B19+B20</f>
        <v>2</v>
      </c>
      <c r="C22" s="2670"/>
      <c r="D22" s="2673"/>
      <c r="E22" s="2670"/>
      <c r="F22" s="2670"/>
      <c r="G22" s="2670"/>
      <c r="H22" s="2670"/>
      <c r="I22" s="2670"/>
      <c r="J22" s="2670"/>
      <c r="K22" s="3447" t="s">
        <v>3390</v>
      </c>
      <c r="L22" s="2668">
        <f>ROUND(1-(1-0)*(2024-L21)/60,2)</f>
        <v>0.88</v>
      </c>
      <c r="M22" s="2668"/>
      <c r="N22" s="2668"/>
      <c r="O22" s="2668">
        <f>ROUND(1-(1-0)*(2029-L21)/60,2)</f>
        <v>0.8</v>
      </c>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2" t="s">
        <v>1213</v>
      </c>
      <c r="B23" s="105">
        <f>B19+B21</f>
        <v>2</v>
      </c>
      <c r="C23" s="2670"/>
      <c r="D23" s="2673"/>
      <c r="E23" s="2670"/>
      <c r="F23" s="2670"/>
      <c r="G23" s="2670"/>
      <c r="H23" s="2670"/>
      <c r="I23" s="2670"/>
      <c r="J23" s="2670"/>
      <c r="K23" s="3489" t="s">
        <v>3506</v>
      </c>
      <c r="L23" s="2669">
        <v>2014</v>
      </c>
      <c r="M23" s="3447" t="s">
        <v>3507</v>
      </c>
      <c r="N23" s="3460"/>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1214</v>
      </c>
      <c r="B24" s="106">
        <f>B20-B21</f>
        <v>0</v>
      </c>
      <c r="C24" s="2670"/>
      <c r="D24" s="2673"/>
      <c r="E24" s="2670"/>
      <c r="F24" s="2670"/>
      <c r="G24" s="2670"/>
      <c r="H24" s="2670"/>
      <c r="I24" s="2670"/>
      <c r="J24" s="2670"/>
      <c r="K24" s="2669"/>
      <c r="L24" s="2669">
        <f>L23+40</f>
        <v>2054</v>
      </c>
      <c r="M24" s="2668"/>
      <c r="N24" s="3460"/>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1215</v>
      </c>
      <c r="B26" s="1724" t="s">
        <v>1216</v>
      </c>
      <c r="C26" s="2674" t="s">
        <v>1217</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8.8">
      <c r="A27" s="1725" t="s">
        <v>1218</v>
      </c>
      <c r="B27" s="107">
        <v>160</v>
      </c>
      <c r="C27" s="2798" t="s">
        <v>2302</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8.8">
      <c r="A28" s="1727" t="s">
        <v>1219</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9.4" thickBot="1">
      <c r="A29" s="1728" t="s">
        <v>1220</v>
      </c>
      <c r="B29" s="112"/>
      <c r="C29" s="2799" t="s">
        <v>2289</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8.8">
      <c r="A30" s="1729" t="s">
        <v>1221</v>
      </c>
      <c r="B30" s="669">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8.8">
      <c r="A31" s="1727" t="s">
        <v>1222</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9.4" thickBot="1">
      <c r="A32" s="1730" t="s">
        <v>1223</v>
      </c>
      <c r="B32" s="670"/>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4">
      <c r="A33" s="1725" t="s">
        <v>1224</v>
      </c>
      <c r="B33" s="671">
        <v>0.03</v>
      </c>
      <c r="C33" s="2800" t="s">
        <v>2290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4">
      <c r="A34" s="1727" t="s">
        <v>1225</v>
      </c>
      <c r="B34" s="113">
        <v>0</v>
      </c>
      <c r="C34" s="2800" t="s">
        <v>2291</v>
      </c>
      <c r="D34" s="2681" t="s">
        <v>2299</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4">
      <c r="A35" s="1727" t="s">
        <v>1226</v>
      </c>
      <c r="B35" s="110">
        <v>200</v>
      </c>
      <c r="C35" s="2800" t="s">
        <v>2292</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1227</v>
      </c>
      <c r="B36" s="114">
        <v>0.02</v>
      </c>
      <c r="C36" s="2800" t="s">
        <v>2293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29" t="s">
        <v>1228</v>
      </c>
      <c r="B37" s="115">
        <v>0.02</v>
      </c>
      <c r="C37" s="2800" t="s">
        <v>2294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7" t="s">
        <v>1229</v>
      </c>
      <c r="B38" s="113">
        <v>0.02</v>
      </c>
      <c r="C38" s="2800" t="s">
        <v>2294</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30" t="s">
        <v>1230</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4.4" thickBot="1">
      <c r="A40" s="2812" t="s">
        <v>2309</v>
      </c>
      <c r="B40" s="1076">
        <v>3.3500000000000002E-2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5" t="s">
        <v>1231</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1" t="s">
        <v>1232</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1" t="s">
        <v>1233</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2" t="s">
        <v>1234</v>
      </c>
      <c r="B44" s="119">
        <v>7.0000000000000007E-2</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2" t="s">
        <v>1235</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2" t="s">
        <v>1236</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1237</v>
      </c>
      <c r="B47" s="120"/>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4" t="s">
        <v>1238</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1239</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5" t="s">
        <v>1240</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1241</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5" t="s">
        <v>1242</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7" t="s">
        <v>1243</v>
      </c>
      <c r="B53" s="1736" t="s">
        <v>29</v>
      </c>
      <c r="C53" s="2658" t="s">
        <v>1244</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7" t="s">
        <v>1245</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7" t="s">
        <v>1246</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7" t="s">
        <v>1247</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7" t="s">
        <v>1248</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7" t="s">
        <v>1249</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7" t="s">
        <v>1250</v>
      </c>
      <c r="B59" s="75">
        <f>C59</f>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7" t="s">
        <v>1251</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7" t="s">
        <v>1252</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7" t="s">
        <v>1253</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1254</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4" customWidth="1"/>
    <col min="2" max="2" width="24.44140625" style="1570" customWidth="1"/>
    <col min="3" max="3" width="24.44140625" style="2507" customWidth="1"/>
    <col min="4" max="4" width="2.6640625" style="2507" customWidth="1"/>
    <col min="5" max="5" width="5.88671875" style="2507" customWidth="1"/>
    <col min="6" max="6" width="27" style="1570"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7"/>
    <col min="30" max="16384" width="9" style="1684"/>
  </cols>
  <sheetData>
    <row r="1" spans="1:29" s="2454" customFormat="1" ht="18" thickBot="1">
      <c r="A1" s="3602" t="s">
        <v>2281</v>
      </c>
      <c r="B1" s="3603"/>
      <c r="C1" s="3603"/>
      <c r="D1" s="3603"/>
      <c r="E1" s="3603"/>
      <c r="F1" s="3603"/>
      <c r="G1" s="360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2276</v>
      </c>
      <c r="D2" s="2458"/>
      <c r="E2" s="2455"/>
      <c r="F2" s="2459"/>
      <c r="G2" s="2457" t="s">
        <v>2277</v>
      </c>
      <c r="H2" s="797"/>
      <c r="I2" s="797"/>
      <c r="J2" s="797"/>
      <c r="K2" s="797"/>
      <c r="L2" s="797"/>
      <c r="M2" s="797"/>
      <c r="N2" s="797"/>
      <c r="O2" s="797"/>
      <c r="P2" s="797"/>
      <c r="Q2" s="797"/>
      <c r="R2" s="797"/>
    </row>
    <row r="3" spans="1:29" ht="48">
      <c r="A3" s="2438" t="s">
        <v>2278</v>
      </c>
      <c r="B3" s="2460" t="s">
        <v>2247</v>
      </c>
      <c r="C3" s="2461" t="s">
        <v>2279</v>
      </c>
      <c r="D3" s="2462"/>
      <c r="E3" s="2439" t="s">
        <v>2278</v>
      </c>
      <c r="F3" s="2463" t="s">
        <v>2248</v>
      </c>
      <c r="G3" s="2464" t="s">
        <v>2280</v>
      </c>
      <c r="H3" s="797"/>
      <c r="I3" s="797"/>
      <c r="J3" s="797"/>
      <c r="K3" s="797"/>
      <c r="L3" s="797"/>
      <c r="M3" s="797"/>
      <c r="N3" s="797"/>
      <c r="O3" s="797"/>
      <c r="P3" s="797"/>
      <c r="Q3" s="797"/>
      <c r="R3" s="797"/>
    </row>
    <row r="4" spans="1:29" ht="37.200000000000003">
      <c r="A4" s="2439"/>
      <c r="B4" s="323" t="s">
        <v>2249</v>
      </c>
      <c r="C4" s="2465" t="s">
        <v>2250</v>
      </c>
      <c r="D4" s="2462"/>
      <c r="E4" s="2466"/>
      <c r="F4" s="1371" t="s">
        <v>2251</v>
      </c>
      <c r="G4" s="2467" t="s">
        <v>2252</v>
      </c>
      <c r="H4" s="797"/>
      <c r="I4" s="797"/>
      <c r="J4" s="797"/>
      <c r="K4" s="797"/>
      <c r="L4" s="797"/>
      <c r="M4" s="797"/>
      <c r="N4" s="797"/>
      <c r="O4" s="797"/>
      <c r="P4" s="797"/>
      <c r="Q4" s="797"/>
      <c r="R4" s="797"/>
    </row>
    <row r="5" spans="1:29" ht="37.200000000000003">
      <c r="A5" s="2439"/>
      <c r="B5" s="323" t="s">
        <v>2253</v>
      </c>
      <c r="C5" s="2465" t="s">
        <v>2254</v>
      </c>
      <c r="D5" s="2462"/>
      <c r="E5" s="2466"/>
      <c r="F5" s="323" t="s">
        <v>2255</v>
      </c>
      <c r="G5" s="2467" t="s">
        <v>2256</v>
      </c>
      <c r="H5" s="797"/>
      <c r="I5" s="797"/>
      <c r="J5" s="797"/>
      <c r="K5" s="797"/>
      <c r="L5" s="797"/>
      <c r="M5" s="797"/>
      <c r="N5" s="797"/>
      <c r="O5" s="797"/>
      <c r="P5" s="797"/>
      <c r="Q5" s="797"/>
      <c r="R5" s="797"/>
    </row>
    <row r="6" spans="1:29" ht="48">
      <c r="A6" s="2439"/>
      <c r="B6" s="323" t="s">
        <v>2257</v>
      </c>
      <c r="C6" s="2467" t="s">
        <v>2252</v>
      </c>
      <c r="D6" s="2462"/>
      <c r="E6" s="2466"/>
      <c r="F6" s="323" t="s">
        <v>2258</v>
      </c>
      <c r="G6" s="2467" t="s">
        <v>2259</v>
      </c>
      <c r="H6" s="797"/>
      <c r="I6" s="797"/>
      <c r="J6" s="797"/>
      <c r="K6" s="797"/>
      <c r="L6" s="797"/>
      <c r="M6" s="797"/>
      <c r="N6" s="797"/>
      <c r="O6" s="797"/>
      <c r="P6" s="797"/>
      <c r="Q6" s="797"/>
      <c r="R6" s="797"/>
    </row>
    <row r="7" spans="1:29" ht="36.6" thickBot="1">
      <c r="A7" s="2439"/>
      <c r="B7" s="323" t="s">
        <v>2255</v>
      </c>
      <c r="C7" s="2467" t="s">
        <v>2256</v>
      </c>
      <c r="D7" s="2468"/>
      <c r="E7" s="2469"/>
      <c r="F7" s="2470" t="s">
        <v>2260</v>
      </c>
      <c r="G7" s="2471" t="s">
        <v>2261</v>
      </c>
      <c r="H7" s="797"/>
      <c r="I7" s="797"/>
      <c r="J7" s="797"/>
      <c r="K7" s="797"/>
      <c r="L7" s="797"/>
      <c r="M7" s="797"/>
      <c r="N7" s="797"/>
      <c r="O7" s="797"/>
      <c r="P7" s="797"/>
      <c r="Q7" s="797"/>
      <c r="R7" s="797"/>
    </row>
    <row r="8" spans="1:29" ht="24">
      <c r="A8" s="2439"/>
      <c r="B8" s="323" t="s">
        <v>2258</v>
      </c>
      <c r="C8" s="2467" t="s">
        <v>2259</v>
      </c>
      <c r="D8" s="2468"/>
      <c r="E8" s="2468"/>
      <c r="F8" s="2472"/>
      <c r="G8" s="2472"/>
      <c r="H8" s="797"/>
      <c r="I8" s="797"/>
      <c r="J8" s="797"/>
      <c r="K8" s="797"/>
      <c r="L8" s="797"/>
      <c r="M8" s="797"/>
      <c r="N8" s="797"/>
      <c r="O8" s="797"/>
      <c r="P8" s="797"/>
      <c r="Q8" s="797"/>
      <c r="R8" s="797"/>
    </row>
    <row r="9" spans="1:29" ht="24">
      <c r="A9" s="2439"/>
      <c r="B9" s="323" t="s">
        <v>2262</v>
      </c>
      <c r="C9" s="2465" t="s">
        <v>2263</v>
      </c>
      <c r="D9" s="2462"/>
      <c r="E9" s="2468"/>
      <c r="F9" s="2472"/>
      <c r="G9" s="2472"/>
      <c r="H9" s="797"/>
      <c r="I9" s="797"/>
      <c r="J9" s="797"/>
      <c r="K9" s="797"/>
      <c r="L9" s="797"/>
      <c r="M9" s="797"/>
      <c r="N9" s="797"/>
      <c r="O9" s="797"/>
      <c r="P9" s="797"/>
      <c r="Q9" s="797"/>
      <c r="R9" s="797"/>
    </row>
    <row r="10" spans="1:29" s="2478" customFormat="1" ht="14.4" thickBot="1">
      <c r="A10" s="2440"/>
      <c r="B10" s="2473" t="s">
        <v>2264</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7.399999999999999">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 thickBot="1">
      <c r="A13" s="2487" t="s">
        <v>2282</v>
      </c>
      <c r="B13" s="2481"/>
      <c r="C13" s="2481"/>
      <c r="D13" s="2479"/>
      <c r="E13" s="2481"/>
      <c r="F13" s="2481"/>
      <c r="G13" s="2481"/>
    </row>
    <row r="14" spans="1:29" ht="14.4" thickBot="1">
      <c r="A14" s="2491"/>
      <c r="B14" s="2491"/>
      <c r="C14" s="2492" t="s">
        <v>2265</v>
      </c>
      <c r="D14" s="2462"/>
      <c r="E14" s="2493"/>
      <c r="F14" s="2493"/>
      <c r="G14" s="2457" t="s">
        <v>2266</v>
      </c>
    </row>
    <row r="15" spans="1:29" ht="52.8">
      <c r="A15" s="2441" t="s">
        <v>2267</v>
      </c>
      <c r="B15" s="2494" t="s">
        <v>2247</v>
      </c>
      <c r="C15" s="2495" t="str">
        <f>C3</f>
        <v>估价对象周边居住用地比例、居住小区规模和社区发展完善程度，综合评价居住社区成熟度一般</v>
      </c>
      <c r="D15" s="2462"/>
      <c r="E15" s="2442" t="s">
        <v>2268</v>
      </c>
      <c r="F15" s="2494" t="s">
        <v>2269</v>
      </c>
      <c r="G15" s="2496" t="str">
        <f>G3</f>
        <v>估价对象位于XX开发区，园区建设成熟度XX，产业集聚程度XX</v>
      </c>
    </row>
    <row r="16" spans="1:29" ht="39.6">
      <c r="A16" s="2443"/>
      <c r="B16" s="2497" t="s">
        <v>2249</v>
      </c>
      <c r="C16" s="2498" t="str">
        <f>C4</f>
        <v>估价对象位于XX商圈，周边商业氛围成熟，人流量大，商业繁华度好</v>
      </c>
      <c r="D16" s="2462"/>
      <c r="E16" s="2444"/>
      <c r="F16" s="2499" t="s">
        <v>2251</v>
      </c>
      <c r="G16" s="2500" t="str">
        <f>G4</f>
        <v>估价对象周边道路状况、公共交通通达情况、停车便捷程度，综合评价交通便捷度较好</v>
      </c>
    </row>
    <row r="17" spans="1:18" ht="39.6">
      <c r="A17" s="2443"/>
      <c r="B17" s="2497" t="s">
        <v>2253</v>
      </c>
      <c r="C17" s="2498" t="str">
        <f>C5</f>
        <v>估价对象位于XX商圈，周边办公楼项目较多，入驻率高，办公集聚程度较好</v>
      </c>
      <c r="D17" s="2468"/>
      <c r="E17" s="2444"/>
      <c r="F17" s="2499" t="s">
        <v>2270</v>
      </c>
      <c r="G17" s="2501"/>
    </row>
    <row r="18" spans="1:18" ht="52.8">
      <c r="A18" s="2443"/>
      <c r="B18" s="2499" t="s">
        <v>2257</v>
      </c>
      <c r="C18" s="2500" t="str">
        <f>C6</f>
        <v>估价对象周边道路状况、公共交通通达情况、停车便捷程度，综合评价交通便捷度较好</v>
      </c>
      <c r="D18" s="2468"/>
      <c r="E18" s="2444"/>
      <c r="F18" s="2499" t="s">
        <v>2260</v>
      </c>
      <c r="G18" s="2500" t="str">
        <f>G7</f>
        <v>该园区内是否有污染型企业，绿化情况，卫生条件，整体环境状况判断</v>
      </c>
    </row>
    <row r="19" spans="1:18" ht="26.4">
      <c r="A19" s="2443"/>
      <c r="B19" s="2499" t="s">
        <v>2271</v>
      </c>
      <c r="C19" s="2501"/>
      <c r="D19" s="2462"/>
      <c r="E19" s="2444"/>
      <c r="F19" s="323" t="s">
        <v>2255</v>
      </c>
      <c r="G19" s="2500" t="str">
        <f>G5</f>
        <v>估价对象所在区域公共配套设施齐备情况</v>
      </c>
    </row>
    <row r="20" spans="1:18" ht="26.4">
      <c r="A20" s="2443"/>
      <c r="B20" s="2499" t="s">
        <v>2272</v>
      </c>
      <c r="C20" s="2498" t="str">
        <f>C9</f>
        <v>区域自然环境：；人文环境；综合评价环境状况一般</v>
      </c>
      <c r="D20" s="2468"/>
      <c r="E20" s="2444"/>
      <c r="F20" s="323" t="s">
        <v>2258</v>
      </c>
      <c r="G20" s="2500" t="str">
        <f>G6</f>
        <v>估价对象所在区域基础设施水平</v>
      </c>
    </row>
    <row r="21" spans="1:18" ht="26.4">
      <c r="A21" s="2443"/>
      <c r="B21" s="323" t="s">
        <v>2255</v>
      </c>
      <c r="C21" s="2500" t="str">
        <f>C7</f>
        <v>估价对象所在区域公共配套设施齐备情况</v>
      </c>
      <c r="D21" s="2462"/>
      <c r="E21" s="2444"/>
      <c r="F21" s="2499" t="s">
        <v>2273</v>
      </c>
      <c r="G21" s="2502"/>
    </row>
    <row r="22" spans="1:18" ht="13.5" customHeight="1">
      <c r="A22" s="2443"/>
      <c r="B22" s="323" t="s">
        <v>2258</v>
      </c>
      <c r="C22" s="2500" t="str">
        <f>C8</f>
        <v>估价对象所在区域基础设施水平</v>
      </c>
      <c r="D22" s="2462"/>
      <c r="E22" s="2444"/>
      <c r="F22" s="2499" t="s">
        <v>2264</v>
      </c>
      <c r="G22" s="2501"/>
    </row>
    <row r="23" spans="1:18" s="797" customFormat="1" ht="14.4" thickBot="1">
      <c r="A23" s="2443"/>
      <c r="B23" s="2499" t="s">
        <v>2273</v>
      </c>
      <c r="C23" s="2502"/>
      <c r="D23" s="1739"/>
      <c r="E23" s="2445"/>
      <c r="F23" s="2503" t="s">
        <v>2274</v>
      </c>
      <c r="G23" s="2504"/>
      <c r="H23" s="2488"/>
      <c r="I23" s="2489"/>
      <c r="J23" s="2488"/>
      <c r="K23" s="2488"/>
      <c r="L23" s="2489"/>
      <c r="M23" s="2488"/>
      <c r="N23" s="2488"/>
      <c r="O23" s="2489"/>
      <c r="P23" s="2488"/>
      <c r="Q23" s="2488"/>
      <c r="R23" s="2490"/>
    </row>
    <row r="24" spans="1:18" s="797" customFormat="1" ht="14.4" thickBot="1">
      <c r="A24" s="2446"/>
      <c r="B24" s="2503" t="s">
        <v>2275</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4"/>
  <sheetViews>
    <sheetView view="pageBreakPreview" zoomScale="80" zoomScaleNormal="80" zoomScaleSheetLayoutView="80" workbookViewId="0">
      <selection activeCell="E14" sqref="E14"/>
    </sheetView>
  </sheetViews>
  <sheetFormatPr defaultColWidth="9" defaultRowHeight="14.4"/>
  <cols>
    <col min="1" max="1" width="25" style="2510" customWidth="1"/>
    <col min="2" max="9" width="15.77734375" style="2510" customWidth="1"/>
    <col min="10" max="16384" width="9" style="2510"/>
  </cols>
  <sheetData>
    <row r="1" spans="1:11" ht="16.2">
      <c r="A1" s="2509" t="s">
        <v>663</v>
      </c>
      <c r="B1" s="2509">
        <f>SUM(B14:B23)</f>
        <v>253.05</v>
      </c>
      <c r="C1" s="2683"/>
      <c r="D1" s="2683"/>
      <c r="E1" s="2683"/>
      <c r="F1" s="2683"/>
      <c r="G1" s="2684"/>
      <c r="H1" s="2685"/>
      <c r="I1" s="2685"/>
      <c r="J1" s="2685"/>
      <c r="K1" s="2685"/>
    </row>
    <row r="2" spans="1:11" ht="16.2">
      <c r="A2" s="2509" t="s">
        <v>651</v>
      </c>
      <c r="B2" s="2509">
        <f>SUM(C14:C23)</f>
        <v>0</v>
      </c>
      <c r="C2" s="2683"/>
      <c r="D2" s="2683"/>
      <c r="E2" s="2683"/>
      <c r="F2" s="2683"/>
      <c r="G2" s="2684"/>
      <c r="H2" s="2685"/>
      <c r="I2" s="2685"/>
      <c r="J2" s="2685"/>
      <c r="K2" s="2685"/>
    </row>
    <row r="3" spans="1:11" ht="15.6">
      <c r="A3" s="2509" t="s">
        <v>660</v>
      </c>
      <c r="B3" s="2511">
        <f>项目基本情况!D3</f>
        <v>45504</v>
      </c>
      <c r="C3" s="2683"/>
      <c r="D3" s="2683"/>
      <c r="E3" s="2683"/>
      <c r="F3" s="2683"/>
      <c r="G3" s="2684"/>
      <c r="H3" s="2685"/>
      <c r="I3" s="2685"/>
      <c r="J3" s="2685"/>
      <c r="K3" s="2685"/>
    </row>
    <row r="4" spans="1:11" ht="31.2">
      <c r="A4" s="2509" t="s">
        <v>659</v>
      </c>
      <c r="B4" s="2509" t="s">
        <v>658</v>
      </c>
      <c r="C4" s="2509" t="s">
        <v>657</v>
      </c>
      <c r="D4" s="2509" t="s">
        <v>656</v>
      </c>
      <c r="E4" s="2683"/>
      <c r="F4" s="2684"/>
      <c r="G4" s="2684"/>
      <c r="H4" s="2685"/>
      <c r="I4" s="2685"/>
      <c r="J4" s="2685"/>
      <c r="K4" s="2685"/>
    </row>
    <row r="5" spans="1:11" ht="15.6">
      <c r="A5" s="2509" t="s">
        <v>655</v>
      </c>
      <c r="B5" s="2509">
        <f ca="1">SUM(D14:D23)</f>
        <v>825</v>
      </c>
      <c r="C5" s="2509">
        <f ca="1">IF(B5=D14,结果表110!H102,ROUND(B5*10000/$B$1,0))</f>
        <v>34052</v>
      </c>
      <c r="D5" s="2509" t="e">
        <f ca="1">ROUND(B5*10000/$B$2,0)</f>
        <v>#DIV/0!</v>
      </c>
      <c r="E5" s="2683"/>
      <c r="F5" s="2684"/>
      <c r="G5" s="2684"/>
      <c r="H5" s="2685"/>
      <c r="I5" s="2685"/>
      <c r="J5" s="2685"/>
      <c r="K5" s="2685"/>
    </row>
    <row r="6" spans="1:11" ht="15.6">
      <c r="A6" s="2509" t="s">
        <v>654</v>
      </c>
      <c r="B6" s="2509">
        <f>SUM(G14:G23)</f>
        <v>0</v>
      </c>
      <c r="C6" s="2509">
        <f ca="1">IF(B6=G14,结果表110!H108,ROUND(B6*10000/$B$1,0))</f>
        <v>34052</v>
      </c>
      <c r="D6" s="2509" t="e">
        <f>ROUND(B6*10000/$B$2,0)</f>
        <v>#DIV/0!</v>
      </c>
      <c r="E6" s="2683"/>
      <c r="F6" s="2684"/>
      <c r="G6" s="2684"/>
      <c r="H6" s="2685"/>
      <c r="I6" s="2685"/>
      <c r="J6" s="2685"/>
      <c r="K6" s="2685"/>
    </row>
    <row r="7" spans="1:11" ht="15.6">
      <c r="A7" s="2509" t="s">
        <v>662</v>
      </c>
      <c r="B7" s="2509">
        <f>SUM(H14:H23)</f>
        <v>0</v>
      </c>
      <c r="C7" s="2509" t="str">
        <f>IF(B7=H14,结果表110!H110,ROUND(B7*10000/$B$1,0))</f>
        <v>——</v>
      </c>
      <c r="D7" s="2509" t="e">
        <f>ROUND(B7*10000/$B$2,0)</f>
        <v>#DIV/0!</v>
      </c>
      <c r="E7" s="2683"/>
      <c r="F7" s="2684"/>
      <c r="G7" s="2684"/>
      <c r="H7" s="2685"/>
      <c r="I7" s="2685"/>
      <c r="J7" s="2685"/>
      <c r="K7" s="2685"/>
    </row>
    <row r="8" spans="1:11" ht="15.6">
      <c r="A8" s="2509" t="s">
        <v>587</v>
      </c>
      <c r="B8" s="2509">
        <f>SUM(I14:I23)</f>
        <v>0</v>
      </c>
      <c r="C8" s="2509" t="str">
        <f>IF(B8=I14,结果表110!H112,ROUND(B8*10000/$B$1,0))</f>
        <v>——</v>
      </c>
      <c r="D8" s="2509" t="e">
        <f>ROUND(B8*10000/$B$2,0)</f>
        <v>#DIV/0!</v>
      </c>
      <c r="E8" s="2683"/>
      <c r="F8" s="2684"/>
      <c r="G8" s="2684"/>
      <c r="H8" s="2685"/>
      <c r="I8" s="2685"/>
      <c r="J8" s="2685"/>
      <c r="K8" s="2685"/>
    </row>
    <row r="9" spans="1:11" ht="15.6">
      <c r="A9" s="2509" t="s">
        <v>653</v>
      </c>
      <c r="B9" s="2517"/>
      <c r="C9" s="2683"/>
      <c r="D9" s="2683"/>
      <c r="E9" s="2683"/>
      <c r="F9" s="2684"/>
      <c r="G9" s="2684"/>
      <c r="H9" s="2685"/>
      <c r="I9" s="2685"/>
      <c r="J9" s="2685"/>
      <c r="K9" s="2685"/>
    </row>
    <row r="10" spans="1:11" ht="15.6">
      <c r="A10" s="2509" t="s">
        <v>652</v>
      </c>
      <c r="B10" s="2509">
        <f>IF(E10="",0,ROUND(B1*(E10*365/G10)/10000,0))</f>
        <v>0</v>
      </c>
      <c r="C10" s="2509" t="s">
        <v>3354</v>
      </c>
      <c r="D10" s="2509" t="s">
        <v>3355</v>
      </c>
      <c r="E10" s="3438"/>
      <c r="F10" s="3442" t="s">
        <v>3356</v>
      </c>
      <c r="G10" s="3439"/>
      <c r="H10" s="2685"/>
      <c r="I10" s="2685"/>
      <c r="J10" s="2685"/>
      <c r="K10" s="2685"/>
    </row>
    <row r="11" spans="1:11" ht="15.6">
      <c r="A11" s="2509" t="s">
        <v>668</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667</v>
      </c>
      <c r="B13" s="2513" t="s">
        <v>664</v>
      </c>
      <c r="C13" s="2513" t="s">
        <v>666</v>
      </c>
      <c r="D13" s="2513" t="s">
        <v>665</v>
      </c>
      <c r="E13" s="2509" t="s">
        <v>657</v>
      </c>
      <c r="F13" s="2509" t="s">
        <v>656</v>
      </c>
      <c r="G13" s="2513" t="s">
        <v>650</v>
      </c>
      <c r="H13" s="2513" t="s">
        <v>661</v>
      </c>
      <c r="I13" s="2513" t="s">
        <v>649</v>
      </c>
      <c r="J13" s="2684"/>
      <c r="K13" s="2685"/>
    </row>
    <row r="14" spans="1:11" ht="15.6">
      <c r="A14" s="2514" t="s">
        <v>3570</v>
      </c>
      <c r="B14" s="2515">
        <f>'数据-汇总表'!E20</f>
        <v>253.05</v>
      </c>
      <c r="C14" s="2515"/>
      <c r="D14" s="2515">
        <f ca="1">结果表104!H101</f>
        <v>825</v>
      </c>
      <c r="E14" s="2515">
        <f ca="1">结果表104!H102</f>
        <v>32614</v>
      </c>
      <c r="F14" s="2515" t="e">
        <f ca="1">ROUND(D14*10000/C14,0)</f>
        <v>#DIV/0!</v>
      </c>
      <c r="G14" s="2515"/>
      <c r="H14" s="2515"/>
      <c r="I14" s="2515"/>
      <c r="J14" s="2684"/>
      <c r="K14" s="2685"/>
    </row>
    <row r="15" spans="1:11" ht="15.6">
      <c r="A15" s="2514" t="s">
        <v>3538</v>
      </c>
      <c r="B15" s="2516"/>
      <c r="C15" s="2516"/>
      <c r="D15" s="2516"/>
      <c r="E15" s="2515" t="e">
        <f t="shared" ref="E15:E23" si="0">ROUND(D15*10000/B15,0)</f>
        <v>#DIV/0!</v>
      </c>
      <c r="F15" s="2515" t="e">
        <f t="shared" ref="F15:F23" si="1">ROUND(D15*10000/C15,0)</f>
        <v>#DIV/0!</v>
      </c>
      <c r="G15" s="1329"/>
      <c r="H15" s="1329"/>
      <c r="I15" s="2516"/>
      <c r="J15" s="2684"/>
      <c r="K15" s="2685"/>
    </row>
    <row r="16" spans="1:11" ht="15.6">
      <c r="A16" s="2514" t="s">
        <v>648</v>
      </c>
      <c r="B16" s="2516"/>
      <c r="C16" s="2516"/>
      <c r="D16" s="2516"/>
      <c r="E16" s="2515" t="e">
        <f t="shared" si="0"/>
        <v>#DIV/0!</v>
      </c>
      <c r="F16" s="2515" t="e">
        <f t="shared" si="1"/>
        <v>#DIV/0!</v>
      </c>
      <c r="G16" s="1329"/>
      <c r="H16" s="1329"/>
      <c r="I16" s="2516"/>
      <c r="J16" s="2685"/>
      <c r="K16" s="2685"/>
    </row>
    <row r="17" spans="1:11" ht="15.6">
      <c r="A17" s="2514" t="s">
        <v>647</v>
      </c>
      <c r="B17" s="2516"/>
      <c r="C17" s="2516"/>
      <c r="D17" s="2516"/>
      <c r="E17" s="2515" t="e">
        <f t="shared" si="0"/>
        <v>#DIV/0!</v>
      </c>
      <c r="F17" s="2515" t="e">
        <f t="shared" si="1"/>
        <v>#DIV/0!</v>
      </c>
      <c r="G17" s="1329"/>
      <c r="H17" s="1329"/>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row r="34" spans="2:5">
      <c r="B34" s="2510">
        <f>结果表104!L18</f>
        <v>253.05</v>
      </c>
      <c r="D34" s="2510">
        <f ca="1">结果表104!H101</f>
        <v>825</v>
      </c>
      <c r="E34" s="2510">
        <f ca="1">结果表104!G20</f>
        <v>32614</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D94" zoomScaleNormal="100" zoomScaleSheetLayoutView="100" zoomScalePageLayoutView="80" workbookViewId="0">
      <selection activeCell="G25" sqref="G25"/>
    </sheetView>
  </sheetViews>
  <sheetFormatPr defaultColWidth="12.6640625" defaultRowHeight="21.75" customHeight="1"/>
  <cols>
    <col min="1" max="2" width="12.6640625" style="1751"/>
    <col min="3" max="3" width="14.77734375" style="1751" customWidth="1"/>
    <col min="4" max="4" width="12.6640625" style="1751" customWidth="1"/>
    <col min="5" max="9" width="12.6640625" style="1751"/>
    <col min="10" max="11" width="12.6640625" style="723" customWidth="1"/>
    <col min="12" max="12" width="12.6640625" style="723"/>
    <col min="13" max="13" width="14.109375" style="723" bestFit="1" customWidth="1"/>
    <col min="14" max="26" width="12.6640625" style="723"/>
    <col min="27" max="35" width="12.6640625" style="1750"/>
    <col min="36" max="16384" width="12.6640625" style="1751"/>
  </cols>
  <sheetData>
    <row r="1" spans="1:12" ht="21.75" customHeight="1" thickBot="1">
      <c r="A1" s="1635" t="s">
        <v>1260</v>
      </c>
      <c r="B1" s="1745"/>
      <c r="C1" s="1746">
        <v>110</v>
      </c>
      <c r="D1" s="1745"/>
      <c r="E1" s="1745"/>
      <c r="F1" s="1747" t="s">
        <v>1261</v>
      </c>
      <c r="G1" s="1559" t="s">
        <v>3387</v>
      </c>
      <c r="H1" s="1748" t="str">
        <f>IF(G1="现房","——","估价对象范围")</f>
        <v>——</v>
      </c>
      <c r="I1" s="1749"/>
    </row>
    <row r="2" spans="1:12" ht="21.75" customHeight="1" thickBot="1">
      <c r="A2" s="3671" t="str">
        <f>项目基本情况!S2</f>
        <v>北京市海淀区林风二路38号院5号楼1至2层110房地产</v>
      </c>
      <c r="B2" s="3672"/>
      <c r="C2" s="3672"/>
      <c r="D2" s="3672"/>
      <c r="E2" s="3672"/>
      <c r="F2" s="3672"/>
      <c r="G2" s="3672"/>
      <c r="H2" s="3672"/>
      <c r="I2" s="3673"/>
    </row>
    <row r="3" spans="1:12" ht="13.2">
      <c r="A3" s="3675" t="s">
        <v>1262</v>
      </c>
      <c r="B3" s="3676"/>
      <c r="C3" s="3676"/>
      <c r="D3" s="3676"/>
      <c r="E3" s="3676"/>
      <c r="F3" s="3676"/>
      <c r="G3" s="3676"/>
      <c r="H3" s="3676"/>
      <c r="I3" s="3676"/>
    </row>
    <row r="4" spans="1:12" ht="14.4">
      <c r="A4" s="1752" t="s">
        <v>1263</v>
      </c>
      <c r="B4" s="1753" t="s">
        <v>1264</v>
      </c>
      <c r="C4" s="1754" t="s">
        <v>3535</v>
      </c>
      <c r="D4" s="1754" t="s">
        <v>3531</v>
      </c>
      <c r="E4" s="3680" t="s">
        <v>1265</v>
      </c>
      <c r="F4" s="3681"/>
      <c r="G4" s="3681"/>
      <c r="H4" s="3681"/>
      <c r="I4" s="3682"/>
      <c r="K4" s="146" t="str">
        <f>IF(ISNUMBER(FIND("比较法",结果表110!C4)),"比较法",IF(ISNUMBER(FIND("成本法",结果表110!C4)),"成本法",IF(ISNUMBER(FIND("假设开发法",结果表110!C4)),"假设开发法",IF(ISNUMBER(FIND("收益法",结果表110!C4)),"收益法","基准地价系数修正法"))))</f>
        <v>比较法</v>
      </c>
      <c r="L4" s="146" t="str">
        <f>IF(ISNUMBER(FIND("比较法",结果表110!D4)),"比较法",IF(ISNUMBER(FIND("成本法",结果表110!D4)),"成本法",IF(ISNUMBER(FIND("假设开发法",结果表110!D4)),"假设开发法",IF(ISNUMBER(FIND("收益法",结果表110!D4)),"收益法","基准地价系数修正法"))))</f>
        <v>收益法</v>
      </c>
    </row>
    <row r="5" spans="1:12" ht="13.2">
      <c r="A5" s="3619" t="s">
        <v>1266</v>
      </c>
      <c r="B5" s="3674">
        <v>25</v>
      </c>
      <c r="C5" s="3677"/>
      <c r="D5" s="3665"/>
      <c r="E5" s="131" t="s">
        <v>1267</v>
      </c>
      <c r="F5" s="1755"/>
      <c r="G5" s="1755"/>
      <c r="H5" s="1755"/>
      <c r="I5" s="1371"/>
    </row>
    <row r="6" spans="1:12" ht="13.2">
      <c r="A6" s="3619"/>
      <c r="B6" s="3674"/>
      <c r="C6" s="3679"/>
      <c r="D6" s="3665"/>
      <c r="E6" s="131" t="s">
        <v>1268</v>
      </c>
      <c r="F6" s="1755"/>
      <c r="G6" s="1755"/>
      <c r="H6" s="1755"/>
      <c r="I6" s="1371"/>
    </row>
    <row r="7" spans="1:12" ht="13.2">
      <c r="A7" s="3619"/>
      <c r="B7" s="3674"/>
      <c r="C7" s="3678"/>
      <c r="D7" s="3665"/>
      <c r="E7" s="131" t="s">
        <v>1269</v>
      </c>
      <c r="F7" s="1755"/>
      <c r="G7" s="1755"/>
      <c r="H7" s="1755"/>
      <c r="I7" s="1371"/>
    </row>
    <row r="8" spans="1:12" ht="13.2">
      <c r="A8" s="3619" t="s">
        <v>1270</v>
      </c>
      <c r="B8" s="3674">
        <v>15</v>
      </c>
      <c r="C8" s="3677"/>
      <c r="D8" s="3665"/>
      <c r="E8" s="131" t="s">
        <v>1271</v>
      </c>
      <c r="F8" s="1755"/>
      <c r="G8" s="1755"/>
      <c r="H8" s="1755"/>
      <c r="I8" s="1371"/>
    </row>
    <row r="9" spans="1:12" ht="13.2">
      <c r="A9" s="3619"/>
      <c r="B9" s="3674"/>
      <c r="C9" s="3678"/>
      <c r="D9" s="3665"/>
      <c r="E9" s="131" t="s">
        <v>1272</v>
      </c>
      <c r="F9" s="1755"/>
      <c r="G9" s="1755"/>
      <c r="H9" s="1755"/>
      <c r="I9" s="1371"/>
    </row>
    <row r="10" spans="1:12" ht="13.2">
      <c r="A10" s="3619" t="s">
        <v>1273</v>
      </c>
      <c r="B10" s="3674">
        <v>15</v>
      </c>
      <c r="C10" s="3677"/>
      <c r="D10" s="3665"/>
      <c r="E10" s="131" t="s">
        <v>1274</v>
      </c>
      <c r="F10" s="1755"/>
      <c r="G10" s="1755"/>
      <c r="H10" s="1755"/>
      <c r="I10" s="1371"/>
    </row>
    <row r="11" spans="1:12" ht="13.2">
      <c r="A11" s="3619"/>
      <c r="B11" s="3674"/>
      <c r="C11" s="3678"/>
      <c r="D11" s="3665"/>
      <c r="E11" s="131" t="s">
        <v>1275</v>
      </c>
      <c r="F11" s="1755"/>
      <c r="G11" s="1755"/>
      <c r="H11" s="1755"/>
      <c r="I11" s="1371"/>
    </row>
    <row r="12" spans="1:12" ht="13.2">
      <c r="A12" s="3619" t="s">
        <v>1276</v>
      </c>
      <c r="B12" s="3674">
        <v>15</v>
      </c>
      <c r="C12" s="3677"/>
      <c r="D12" s="3665"/>
      <c r="E12" s="131" t="s">
        <v>1277</v>
      </c>
      <c r="F12" s="1755"/>
      <c r="G12" s="1755"/>
      <c r="H12" s="1755"/>
      <c r="I12" s="1371"/>
    </row>
    <row r="13" spans="1:12" ht="13.2">
      <c r="A13" s="3619"/>
      <c r="B13" s="3674"/>
      <c r="C13" s="3678"/>
      <c r="D13" s="3665"/>
      <c r="E13" s="131" t="s">
        <v>1278</v>
      </c>
      <c r="F13" s="1755"/>
      <c r="G13" s="1755"/>
      <c r="H13" s="1755"/>
      <c r="I13" s="1371"/>
    </row>
    <row r="14" spans="1:12" ht="13.2">
      <c r="A14" s="3619" t="s">
        <v>1279</v>
      </c>
      <c r="B14" s="3674">
        <v>30</v>
      </c>
      <c r="C14" s="3677">
        <v>6</v>
      </c>
      <c r="D14" s="3665">
        <v>4</v>
      </c>
      <c r="E14" s="131" t="s">
        <v>1280</v>
      </c>
      <c r="F14" s="1755"/>
      <c r="G14" s="1755"/>
      <c r="H14" s="1755"/>
      <c r="I14" s="1371"/>
    </row>
    <row r="15" spans="1:12" ht="13.2">
      <c r="A15" s="3619"/>
      <c r="B15" s="3674"/>
      <c r="C15" s="3679"/>
      <c r="D15" s="3665"/>
      <c r="E15" s="131" t="s">
        <v>1281</v>
      </c>
      <c r="F15" s="1755"/>
      <c r="G15" s="1755"/>
      <c r="H15" s="1755"/>
      <c r="I15" s="1371"/>
    </row>
    <row r="16" spans="1:12" ht="13.2">
      <c r="A16" s="3619"/>
      <c r="B16" s="3674"/>
      <c r="C16" s="3678"/>
      <c r="D16" s="3665"/>
      <c r="E16" s="131" t="s">
        <v>1282</v>
      </c>
      <c r="F16" s="1755"/>
      <c r="G16" s="1755"/>
      <c r="H16" s="1755"/>
      <c r="I16" s="1371"/>
    </row>
    <row r="17" spans="1:36" ht="14.4">
      <c r="A17" s="1756" t="s">
        <v>1283</v>
      </c>
      <c r="B17" s="56"/>
      <c r="C17" s="132">
        <f>SUM(C5:C16)</f>
        <v>6</v>
      </c>
      <c r="D17" s="132">
        <f>SUM(D5:D16)</f>
        <v>4</v>
      </c>
      <c r="E17" s="129"/>
      <c r="F17" s="129"/>
      <c r="G17" s="129"/>
      <c r="H17" s="129"/>
      <c r="I17" s="129"/>
      <c r="K17" s="302"/>
      <c r="L17" s="302" t="s">
        <v>1284</v>
      </c>
      <c r="M17" s="302" t="s">
        <v>1285</v>
      </c>
    </row>
    <row r="18" spans="1:36" ht="31.95" customHeight="1" thickBot="1">
      <c r="A18" s="1757" t="s">
        <v>1286</v>
      </c>
      <c r="B18" s="1758"/>
      <c r="C18" s="133">
        <f>ROUND(C17/SUM(C17:D17),2)</f>
        <v>0.6</v>
      </c>
      <c r="D18" s="133">
        <f>1-C18</f>
        <v>0.4</v>
      </c>
      <c r="E18" s="3696" t="s">
        <v>2126</v>
      </c>
      <c r="F18" s="3697"/>
      <c r="G18" s="3697"/>
      <c r="H18" s="3697"/>
      <c r="I18" s="3697"/>
      <c r="K18" s="302" t="s">
        <v>1287</v>
      </c>
      <c r="L18" s="302">
        <f>IF(C1="",'数据-汇总表'!E3,SUMIF(项目类型,C1,'数据-汇总表'!E17:E26)+SUMIF(项目类型,C1,'数据-汇总表'!I17:I26))</f>
        <v>268.52</v>
      </c>
      <c r="M18" s="302">
        <f>IF(C1="",'数据-汇总表'!E3,SUMIF(项目类型,C1,'数据-汇总表'!E17:E26))</f>
        <v>268.52</v>
      </c>
    </row>
    <row r="19" spans="1:36" ht="14.4">
      <c r="A19" s="1759" t="s">
        <v>1288</v>
      </c>
      <c r="B19" s="1760" t="s">
        <v>1289</v>
      </c>
      <c r="C19" s="134">
        <f ca="1">SUMIF(INDIRECT("'"&amp;C4&amp;"'"&amp;"!A:A"),结果表110!B19,INDIRECT("'"&amp;C4&amp;"'"&amp;"!B:B"))</f>
        <v>1099.5625</v>
      </c>
      <c r="D19" s="135">
        <f ca="1">SUMIF(INDIRECT("'"&amp;D4&amp;"'"&amp;"!A:A"),结果表110!B19,INDIRECT("'"&amp;D4&amp;"'"&amp;"!B:B"))</f>
        <v>636.54499999999996</v>
      </c>
      <c r="E19" s="1759" t="s">
        <v>1290</v>
      </c>
      <c r="F19" s="1760" t="s">
        <v>1289</v>
      </c>
      <c r="G19" s="136">
        <f ca="1">ROUND(C19*$C$18+D19*$D$18,0)</f>
        <v>914</v>
      </c>
      <c r="H19" s="1761" t="s">
        <v>1291</v>
      </c>
      <c r="I19" s="129"/>
      <c r="K19" s="302" t="s">
        <v>1292</v>
      </c>
      <c r="L19" s="302">
        <f>IF(C1="",'数据-汇总表'!D3,SUMIF(项目类型,C1,'数据-汇总表'!D17:D26)+SUMIF(项目类型,C1,'数据-汇总表'!H17:H27))</f>
        <v>0</v>
      </c>
      <c r="M19" s="302">
        <f>IF(C1="",'数据-汇总表'!D3,SUMIF(项目类型,C1,'数据-汇总表'!D17:D26))</f>
        <v>0</v>
      </c>
    </row>
    <row r="20" spans="1:36" ht="14.4">
      <c r="A20" s="1762"/>
      <c r="B20" s="1024" t="s">
        <v>1293</v>
      </c>
      <c r="C20" s="137">
        <f ca="1">SUMIF(INDIRECT("'"&amp;C4&amp;"'"&amp;"!A:A"),结果表110!B20,INDIRECT("'"&amp;C4&amp;"'"&amp;"!B:B"))</f>
        <v>40949</v>
      </c>
      <c r="D20" s="138">
        <f ca="1">SUMIF(INDIRECT("'"&amp;D4&amp;"'"&amp;"!A:A"),结果表110!B20,INDIRECT("'"&amp;D4&amp;"'"&amp;"!B:B"))</f>
        <v>23706</v>
      </c>
      <c r="E20" s="1762"/>
      <c r="F20" s="1024" t="s">
        <v>1293</v>
      </c>
      <c r="G20" s="139">
        <f ca="1">ROUND(C20*$C$18+D20*$D$18,0)</f>
        <v>34052</v>
      </c>
      <c r="H20" s="806" t="s">
        <v>1294</v>
      </c>
      <c r="I20" s="129"/>
    </row>
    <row r="21" spans="1:36" ht="15" customHeight="1" thickBot="1">
      <c r="A21" s="826"/>
      <c r="B21" s="1763" t="s">
        <v>1295</v>
      </c>
      <c r="C21" s="717" t="e">
        <f ca="1">ROUND(C19*10000/L19,0)</f>
        <v>#DIV/0!</v>
      </c>
      <c r="D21" s="718" t="e">
        <f ca="1">ROUND(D19*10000/L19,0)</f>
        <v>#DIV/0!</v>
      </c>
      <c r="E21" s="826"/>
      <c r="F21" s="1763" t="s">
        <v>1295</v>
      </c>
      <c r="G21" s="140" t="e">
        <f ca="1">ROUND(G19*10000/L19,0)</f>
        <v>#DIV/0!</v>
      </c>
      <c r="H21" s="1764" t="s">
        <v>1294</v>
      </c>
      <c r="I21" s="129"/>
    </row>
    <row r="22" spans="1:36" ht="15" thickBot="1">
      <c r="A22" s="1686" t="s">
        <v>1296</v>
      </c>
      <c r="B22" s="1765"/>
      <c r="C22" s="1766"/>
      <c r="D22" s="719">
        <f ca="1">IF(C19&lt;D19,D19/C19-1,C19/D19-1)</f>
        <v>0.72739162195917029</v>
      </c>
      <c r="E22" s="129"/>
      <c r="F22" s="129"/>
      <c r="G22" s="129"/>
      <c r="H22" s="129"/>
      <c r="I22" s="129"/>
    </row>
    <row r="23" spans="1:36" ht="13.8" thickBot="1">
      <c r="A23" s="1745"/>
      <c r="B23" s="1745"/>
      <c r="C23" s="1745"/>
      <c r="D23" s="1745"/>
      <c r="E23" s="129"/>
      <c r="F23" s="129"/>
      <c r="G23" s="129"/>
      <c r="H23" s="129"/>
      <c r="I23" s="129"/>
      <c r="L23" s="3493" t="s">
        <v>3522</v>
      </c>
    </row>
    <row r="24" spans="1:36" ht="14.4">
      <c r="A24" s="3689" t="s">
        <v>1297</v>
      </c>
      <c r="B24" s="1760" t="s">
        <v>1289</v>
      </c>
      <c r="C24" s="136">
        <f>IF(B30=0,0,D30)</f>
        <v>0</v>
      </c>
      <c r="D24" s="1767"/>
      <c r="E24" s="129"/>
      <c r="F24" s="129"/>
      <c r="G24" s="129"/>
      <c r="H24" s="129"/>
      <c r="I24" s="129"/>
      <c r="K24" s="3493" t="s">
        <v>3521</v>
      </c>
      <c r="L24" s="723">
        <v>32000</v>
      </c>
    </row>
    <row r="25" spans="1:36" ht="14.4">
      <c r="A25" s="3690"/>
      <c r="B25" s="1024"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3.8">
      <c r="A27" s="1769"/>
      <c r="B27" s="142">
        <v>0</v>
      </c>
      <c r="C27" s="142">
        <v>0</v>
      </c>
      <c r="D27" s="143">
        <f>ROUND(C27*B27/10000,0)</f>
        <v>0</v>
      </c>
      <c r="E27" s="129"/>
      <c r="F27" s="129"/>
      <c r="G27" s="129"/>
      <c r="H27" s="129"/>
      <c r="I27" s="129"/>
    </row>
    <row r="28" spans="1:36" ht="13.8">
      <c r="A28" s="1769"/>
      <c r="B28" s="142"/>
      <c r="C28" s="142"/>
      <c r="D28" s="143"/>
      <c r="E28" s="129"/>
      <c r="F28" s="129"/>
      <c r="G28" s="129"/>
      <c r="H28" s="129"/>
      <c r="I28" s="129"/>
    </row>
    <row r="29" spans="1:36" ht="13.8">
      <c r="A29" s="1769"/>
      <c r="B29" s="142"/>
      <c r="C29" s="142"/>
      <c r="D29" s="143"/>
      <c r="E29" s="129"/>
      <c r="F29" s="129"/>
      <c r="G29" s="129"/>
      <c r="H29" s="129"/>
      <c r="I29" s="129"/>
    </row>
    <row r="30" spans="1:36" ht="15" thickBot="1">
      <c r="A30" s="142" t="s">
        <v>1302</v>
      </c>
      <c r="B30" s="142"/>
      <c r="C30" s="142"/>
      <c r="D30" s="142"/>
      <c r="E30" s="2301" t="s">
        <v>2127</v>
      </c>
      <c r="F30" s="129"/>
      <c r="G30" s="129"/>
      <c r="H30" s="129"/>
      <c r="I30" s="129"/>
    </row>
    <row r="31" spans="1:36" s="2307" customFormat="1" ht="26.4" customHeight="1" thickTop="1" thickBot="1">
      <c r="A31" s="2302"/>
      <c r="B31" s="2303"/>
      <c r="C31" s="2303"/>
      <c r="D31" s="2303"/>
      <c r="E31" s="2303"/>
      <c r="F31" s="2303"/>
      <c r="G31" s="2303"/>
      <c r="H31" s="2303"/>
      <c r="I31" s="2304" t="s">
        <v>2128</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1" t="s">
        <v>1303</v>
      </c>
      <c r="B32" s="1772"/>
      <c r="C32" s="144">
        <f ca="1">IF(D32="总价",G19-C24,G20-C25)</f>
        <v>34052</v>
      </c>
      <c r="D32" s="1773" t="s">
        <v>3497</v>
      </c>
      <c r="E32" s="129"/>
      <c r="F32" s="129"/>
      <c r="G32" s="129"/>
      <c r="H32" s="129"/>
      <c r="I32" s="129"/>
    </row>
    <row r="33" spans="1:15" ht="14.4">
      <c r="A33" s="784" t="s">
        <v>1304</v>
      </c>
      <c r="B33" s="1774"/>
      <c r="C33" s="1775" t="s">
        <v>3498</v>
      </c>
      <c r="D33" s="1776"/>
      <c r="E33" s="1777" t="s">
        <v>1305</v>
      </c>
      <c r="F33" s="1778" t="str">
        <f>IF(D32="楼面单价","取值（单价）","取值（总价）")</f>
        <v>取值（单价）</v>
      </c>
      <c r="G33" s="129"/>
      <c r="H33" s="129"/>
      <c r="I33" s="129"/>
    </row>
    <row r="34" spans="1:15" ht="14.4">
      <c r="A34" s="1779"/>
      <c r="B34" s="1780" t="s">
        <v>1306</v>
      </c>
      <c r="C34" s="148">
        <f>IF(C33="自定义",F34,C32-C35)</f>
        <v>0</v>
      </c>
      <c r="D34" s="859">
        <f ca="1">IF(C33="自定义",ROUND(C34/C32,3),IF(C33="收益比率",SUMIF(INDIRECT("'"&amp;D33&amp;"'"&amp;"!b:b"),"土地收益比率",INDIRECT("'"&amp;D33&amp;"'"&amp;"!c:c")),SUMIF(INDIRECT("'"&amp;D33&amp;"'"&amp;"!b:b"),"土地成本比率",INDIRECT("'"&amp;D33&amp;"'"&amp;"!c:c"))))</f>
        <v>0</v>
      </c>
      <c r="E34" s="1781" t="s">
        <v>1307</v>
      </c>
      <c r="F34" s="1328"/>
      <c r="G34" s="129"/>
      <c r="H34" s="129"/>
      <c r="I34" s="129"/>
    </row>
    <row r="35" spans="1:15" ht="15" thickBot="1">
      <c r="A35" s="1782"/>
      <c r="B35" s="1783" t="s">
        <v>1308</v>
      </c>
      <c r="C35" s="1168">
        <f>IF(C33="自定义",F35,ROUND(C32*D35,0))</f>
        <v>0</v>
      </c>
      <c r="D35" s="1169">
        <f ca="1">IF(C33="自定义",ROUND(C35/C32,3),IF(C33="收益比率",SUMIF(INDIRECT("'"&amp;D33&amp;"'"&amp;"!b:b"),"建筑物收益比率",INDIRECT("'"&amp;D33&amp;"'"&amp;"!c:c")),SUMIF(INDIRECT("'"&amp;D33&amp;"'"&amp;"!b:b"),"建筑物成本比率",INDIRECT("'"&amp;D33&amp;"'"&amp;"!c:c"))))</f>
        <v>0</v>
      </c>
      <c r="E35" s="1784" t="s">
        <v>1309</v>
      </c>
      <c r="F35" s="154"/>
      <c r="G35" s="129"/>
      <c r="H35" s="129"/>
      <c r="I35" s="129"/>
    </row>
    <row r="36" spans="1:15" ht="15" thickBot="1">
      <c r="A36" s="3666" t="s">
        <v>1310</v>
      </c>
      <c r="B36" s="1785" t="s">
        <v>1311</v>
      </c>
      <c r="C36" s="145"/>
      <c r="D36" s="1786"/>
      <c r="E36" s="1787"/>
      <c r="F36" s="1788"/>
      <c r="G36" s="129"/>
      <c r="H36" s="129"/>
      <c r="I36" s="129"/>
    </row>
    <row r="37" spans="1:15" ht="15" thickBot="1">
      <c r="A37" s="3667"/>
      <c r="B37" s="1672" t="s">
        <v>1312</v>
      </c>
      <c r="C37" s="147"/>
      <c r="D37" s="1137"/>
      <c r="E37" s="1137"/>
      <c r="F37" s="1788"/>
      <c r="G37" s="129"/>
      <c r="H37" s="129"/>
      <c r="I37" s="129"/>
    </row>
    <row r="38" spans="1:15" ht="15" thickBot="1">
      <c r="A38" s="3668"/>
      <c r="B38" s="1789" t="s">
        <v>1313</v>
      </c>
      <c r="C38" s="672"/>
      <c r="D38" s="1790" t="s">
        <v>1314</v>
      </c>
      <c r="E38" s="1137"/>
      <c r="F38" s="1788"/>
      <c r="G38" s="129"/>
      <c r="H38" s="129"/>
      <c r="I38" s="129"/>
    </row>
    <row r="39" spans="1:15" ht="14.4">
      <c r="A39" s="1762" t="s">
        <v>1315</v>
      </c>
      <c r="B39" s="1791" t="s">
        <v>1316</v>
      </c>
      <c r="C39" s="1792" t="s">
        <v>1317</v>
      </c>
      <c r="D39" s="1792" t="s">
        <v>1318</v>
      </c>
      <c r="E39" s="1793" t="s">
        <v>1319</v>
      </c>
      <c r="F39" s="1788"/>
      <c r="G39" s="129"/>
      <c r="H39" s="129"/>
      <c r="I39" s="129"/>
    </row>
    <row r="40" spans="1:15" ht="13.8">
      <c r="A40" s="1794" t="s">
        <v>1320</v>
      </c>
      <c r="B40" s="149"/>
      <c r="C40" s="150"/>
      <c r="D40" s="150"/>
      <c r="E40" s="151"/>
      <c r="F40" s="1788"/>
      <c r="G40" s="129"/>
      <c r="H40" s="129"/>
      <c r="I40" s="129"/>
    </row>
    <row r="41" spans="1:15" ht="13.8">
      <c r="A41" s="1794" t="s">
        <v>1321</v>
      </c>
      <c r="B41" s="149"/>
      <c r="C41" s="150"/>
      <c r="D41" s="150"/>
      <c r="E41" s="151"/>
      <c r="F41" s="1788"/>
      <c r="G41" s="129"/>
      <c r="H41" s="129"/>
      <c r="I41" s="129"/>
    </row>
    <row r="42" spans="1:15" ht="14.4" thickBot="1">
      <c r="A42" s="1795"/>
      <c r="B42" s="152"/>
      <c r="C42" s="153"/>
      <c r="D42" s="153"/>
      <c r="E42" s="154"/>
      <c r="F42" s="1788"/>
      <c r="G42" s="129"/>
      <c r="H42" s="129"/>
      <c r="I42" s="129"/>
    </row>
    <row r="43" spans="1:15" ht="13.2">
      <c r="A43" s="1575"/>
      <c r="B43" s="1575"/>
      <c r="C43" s="1575"/>
      <c r="D43" s="1575"/>
      <c r="E43" s="1575"/>
      <c r="F43" s="1796"/>
      <c r="G43" s="1796"/>
      <c r="H43" s="1796"/>
      <c r="I43" s="1797"/>
    </row>
    <row r="44" spans="1:15" ht="17.399999999999999">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86" t="s">
        <v>1324</v>
      </c>
      <c r="B45" s="3687"/>
      <c r="C45" s="3688"/>
      <c r="D45" s="155">
        <f ca="1">ROUND(H101*F45,0)</f>
        <v>914</v>
      </c>
      <c r="E45" s="156" t="s">
        <v>1325</v>
      </c>
      <c r="F45" s="157">
        <v>1</v>
      </c>
      <c r="G45" s="158" t="s">
        <v>1326</v>
      </c>
      <c r="H45" s="129"/>
      <c r="I45" s="129"/>
      <c r="J45" s="3606" t="s">
        <v>1327</v>
      </c>
      <c r="K45" s="3606"/>
      <c r="L45" s="3606"/>
      <c r="M45" s="3606"/>
      <c r="N45" s="3606"/>
      <c r="O45" s="3606"/>
    </row>
    <row r="46" spans="1:15" ht="14.25" customHeight="1">
      <c r="A46" s="3683" t="s">
        <v>1328</v>
      </c>
      <c r="B46" s="3684"/>
      <c r="C46" s="3684"/>
      <c r="D46" s="3684"/>
      <c r="E46" s="3684"/>
      <c r="F46" s="3684"/>
      <c r="G46" s="3685"/>
      <c r="H46" s="1804"/>
      <c r="I46" s="159"/>
      <c r="J46" s="2520">
        <v>1</v>
      </c>
      <c r="K46" s="3607" t="s">
        <v>1329</v>
      </c>
      <c r="L46" s="3607"/>
      <c r="M46" s="3608"/>
      <c r="N46" s="3608"/>
      <c r="O46" s="3608"/>
    </row>
    <row r="47" spans="1:15" ht="12" customHeight="1">
      <c r="A47" s="160" t="s">
        <v>1330</v>
      </c>
      <c r="B47" s="161"/>
      <c r="C47" s="162"/>
      <c r="D47" s="1085" t="s">
        <v>1331</v>
      </c>
      <c r="E47" s="302" t="s">
        <v>1332</v>
      </c>
      <c r="F47" s="163" t="s">
        <v>1333</v>
      </c>
      <c r="G47" s="2543" t="s">
        <v>1334</v>
      </c>
      <c r="H47" s="2544"/>
      <c r="I47" s="159"/>
      <c r="J47" s="2520">
        <v>2</v>
      </c>
      <c r="K47" s="3607" t="s">
        <v>1335</v>
      </c>
      <c r="L47" s="3607"/>
      <c r="M47" s="3609">
        <f>'数据-取费表'!B2</f>
        <v>45504</v>
      </c>
      <c r="N47" s="3609"/>
      <c r="O47" s="3609"/>
    </row>
    <row r="48" spans="1:15" ht="26.4">
      <c r="A48" s="3669" t="s">
        <v>1336</v>
      </c>
      <c r="B48" s="3670"/>
      <c r="C48" s="3670"/>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1337</v>
      </c>
      <c r="H48" s="2547"/>
      <c r="I48" s="1804"/>
      <c r="J48" s="2520">
        <v>3</v>
      </c>
      <c r="K48" s="3607" t="s">
        <v>1338</v>
      </c>
      <c r="L48" s="3607"/>
      <c r="M48" s="3610">
        <f ca="1">H101</f>
        <v>914</v>
      </c>
      <c r="N48" s="3610"/>
      <c r="O48" s="3610"/>
    </row>
    <row r="49" spans="1:35" ht="25.5" customHeight="1">
      <c r="A49" s="2331" t="s">
        <v>1339</v>
      </c>
      <c r="B49" s="3655" t="s">
        <v>1340</v>
      </c>
      <c r="C49" s="3655"/>
      <c r="D49" s="1588">
        <v>0</v>
      </c>
      <c r="E49" s="324" t="s">
        <v>1341</v>
      </c>
      <c r="F49" s="2421" t="s">
        <v>28</v>
      </c>
      <c r="G49" s="3638"/>
      <c r="H49" s="2308" t="s">
        <v>2129</v>
      </c>
      <c r="I49" s="2309"/>
      <c r="J49" s="2520">
        <v>4</v>
      </c>
      <c r="K49" s="3607" t="str">
        <f>IF(项目基本情况!E8="房地产抵押价值","房地产抵押价值","抵押担保权已注销时的房地产抵押价值")</f>
        <v>房地产抵押价值</v>
      </c>
      <c r="L49" s="3607"/>
      <c r="M49" s="3610">
        <f ca="1">IF(项目基本情况!E8="房地产抵押价值",H107,H109)</f>
        <v>914</v>
      </c>
      <c r="N49" s="3610"/>
      <c r="O49" s="3610"/>
    </row>
    <row r="50" spans="1:35" ht="25.5" customHeight="1">
      <c r="A50" s="2548"/>
      <c r="B50" s="3655" t="s">
        <v>1342</v>
      </c>
      <c r="C50" s="3655"/>
      <c r="D50" s="2549"/>
      <c r="E50" s="332"/>
      <c r="F50" s="2421"/>
      <c r="G50" s="3639"/>
      <c r="H50" s="2310" t="s">
        <v>2130</v>
      </c>
      <c r="I50" s="2309"/>
      <c r="J50" s="3606" t="s">
        <v>1343</v>
      </c>
      <c r="K50" s="3606"/>
      <c r="L50" s="3606"/>
      <c r="M50" s="3606"/>
      <c r="N50" s="3606"/>
      <c r="O50" s="3606"/>
    </row>
    <row r="51" spans="1:35" ht="20.399999999999999" customHeight="1">
      <c r="A51" s="2550"/>
      <c r="B51" s="3655" t="s">
        <v>1344</v>
      </c>
      <c r="C51" s="3655"/>
      <c r="D51" s="1085"/>
      <c r="E51" s="327"/>
      <c r="F51" s="2421"/>
      <c r="G51" s="3640"/>
      <c r="H51" s="2310" t="s">
        <v>2131</v>
      </c>
      <c r="I51" s="2309"/>
      <c r="J51" s="2521" t="s">
        <v>1345</v>
      </c>
      <c r="K51" s="3607" t="s">
        <v>1346</v>
      </c>
      <c r="L51" s="3607"/>
      <c r="M51" s="2521" t="s">
        <v>1347</v>
      </c>
      <c r="N51" s="2521" t="s">
        <v>1348</v>
      </c>
      <c r="O51" s="2521" t="s">
        <v>1349</v>
      </c>
    </row>
    <row r="52" spans="1:35" ht="24" customHeight="1">
      <c r="A52" s="2333" t="s">
        <v>1350</v>
      </c>
      <c r="B52" s="3655" t="s">
        <v>1351</v>
      </c>
      <c r="C52" s="3655"/>
      <c r="D52" s="1085">
        <f ca="1">ROUND(D45*'数据-取费表'!B41/(1+'数据-取费表'!C42),0)</f>
        <v>49</v>
      </c>
      <c r="E52" s="2332" t="s">
        <v>1352</v>
      </c>
      <c r="F52" s="2551">
        <f>'数据-取费表'!B41</f>
        <v>5.6000000000000001E-2</v>
      </c>
      <c r="G52" s="2552"/>
      <c r="H52" s="2541"/>
      <c r="I52" s="1805"/>
      <c r="J52" s="2520">
        <v>1</v>
      </c>
      <c r="K52" s="3632" t="s">
        <v>1353</v>
      </c>
      <c r="L52" s="3632"/>
      <c r="M52" s="2522" t="b">
        <f>D48</f>
        <v>0</v>
      </c>
      <c r="N52" s="2520" t="str">
        <f>E48</f>
        <v>销售额×税（费）率</v>
      </c>
      <c r="O52" s="2523">
        <f>F48</f>
        <v>5.6000000000000001E-2</v>
      </c>
    </row>
    <row r="53" spans="1:35" ht="12" customHeight="1">
      <c r="A53" s="2333" t="s">
        <v>1354</v>
      </c>
      <c r="B53" s="3656" t="s">
        <v>2286</v>
      </c>
      <c r="C53" s="3657"/>
      <c r="D53" s="1085">
        <f ca="1">ROUND(D45*'数据-取费表'!B41/(1+'数据-取费表'!C42),0)</f>
        <v>49</v>
      </c>
      <c r="E53" s="2332" t="s">
        <v>1352</v>
      </c>
      <c r="F53" s="2551">
        <f>'数据-取费表'!B41</f>
        <v>5.6000000000000001E-2</v>
      </c>
      <c r="G53" s="2552"/>
      <c r="H53" s="2541"/>
      <c r="I53" s="1805"/>
      <c r="J53" s="2520">
        <v>2</v>
      </c>
      <c r="K53" s="3632" t="s">
        <v>1355</v>
      </c>
      <c r="L53" s="3632"/>
      <c r="M53" s="2522">
        <f t="shared" ref="M53:O54" ca="1" si="0">D55</f>
        <v>0</v>
      </c>
      <c r="N53" s="2520" t="str">
        <f t="shared" si="0"/>
        <v>销售额×税（费）率</v>
      </c>
      <c r="O53" s="2523" t="str">
        <f t="shared" si="0"/>
        <v>免征</v>
      </c>
    </row>
    <row r="54" spans="1:35" ht="12" customHeight="1">
      <c r="A54" s="2333" t="s">
        <v>1356</v>
      </c>
      <c r="B54" s="3656" t="s">
        <v>2287</v>
      </c>
      <c r="C54" s="3657"/>
      <c r="D54" s="1085">
        <f ca="1">C68</f>
        <v>49</v>
      </c>
      <c r="E54" s="327" t="s">
        <v>1357</v>
      </c>
      <c r="F54" s="2551">
        <f>'数据-取费表'!B41</f>
        <v>5.6000000000000001E-2</v>
      </c>
      <c r="G54" s="2552"/>
      <c r="H54" s="2553"/>
      <c r="I54" s="1805"/>
      <c r="J54" s="2520">
        <v>3</v>
      </c>
      <c r="K54" s="3632" t="s">
        <v>1358</v>
      </c>
      <c r="L54" s="3632"/>
      <c r="M54" s="2522">
        <f t="shared" ca="1" si="0"/>
        <v>517</v>
      </c>
      <c r="N54" s="2520" t="str">
        <f t="shared" si="0"/>
        <v>增值额×税（费）率</v>
      </c>
      <c r="O54" s="2524" t="str">
        <f t="shared" si="0"/>
        <v>免征</v>
      </c>
    </row>
    <row r="55" spans="1:35" ht="24" customHeight="1">
      <c r="A55" s="3692" t="s">
        <v>1359</v>
      </c>
      <c r="B55" s="3670"/>
      <c r="C55" s="3670"/>
      <c r="D55" s="2322">
        <f ca="1">IF(H55="个人住宅",0,ROUND(D45*I55,0))</f>
        <v>0</v>
      </c>
      <c r="E55" s="2332" t="s">
        <v>1360</v>
      </c>
      <c r="F55" s="2551" t="str">
        <f>IF(H55="正常",I55,"免征")</f>
        <v>免征</v>
      </c>
      <c r="G55" s="2552"/>
      <c r="H55" s="2547"/>
      <c r="I55" s="165">
        <f>'数据-取费表'!B49</f>
        <v>5.0000000000000001E-4</v>
      </c>
      <c r="J55" s="2520">
        <f>IF(H59="非个人房产","",4)</f>
        <v>4</v>
      </c>
      <c r="K55" s="3632" t="str">
        <f>IF(H59="非个人房产","——","个人所得税")</f>
        <v>个人所得税</v>
      </c>
      <c r="L55" s="3632"/>
      <c r="M55" s="2525">
        <f ca="1">D59</f>
        <v>9</v>
      </c>
      <c r="N55" s="2038" t="str">
        <f>E59</f>
        <v>差额计税</v>
      </c>
      <c r="O55" s="2526">
        <f>F59</f>
        <v>0.01</v>
      </c>
    </row>
    <row r="56" spans="1:35" ht="25.2">
      <c r="A56" s="3692" t="s">
        <v>1361</v>
      </c>
      <c r="B56" s="3670"/>
      <c r="C56" s="3670"/>
      <c r="D56" s="2322">
        <f ca="1">IF(H56="个人住宅",D57,D58)</f>
        <v>517</v>
      </c>
      <c r="E56" s="2332" t="s">
        <v>1362</v>
      </c>
      <c r="F56" s="2551" t="str">
        <f>IF(H56="正常",F58,"免征")</f>
        <v>免征</v>
      </c>
      <c r="G56" s="2554" t="s">
        <v>1363</v>
      </c>
      <c r="H56" s="2555"/>
      <c r="I56" s="1806"/>
      <c r="J56" s="2520" t="str">
        <f>IF(项目基本情况!K6="上海银行",IF(J55="",4,J55+1),"")</f>
        <v/>
      </c>
      <c r="K56" s="3613" t="str">
        <f>IF(项目基本情况!K6="上海银行","其他处置费用","")</f>
        <v/>
      </c>
      <c r="L56" s="3614"/>
      <c r="M56" s="2522" t="str">
        <f>IF(项目基本情况!K6="上海银行",M69,"")</f>
        <v/>
      </c>
      <c r="N56" s="3613" t="str">
        <f>IF(项目基本情况!K6="上海银行","包含处置中涉及的律师、诉讼、拍卖、评估等费用","")</f>
        <v/>
      </c>
      <c r="O56" s="3616"/>
    </row>
    <row r="57" spans="1:35" ht="13.2">
      <c r="A57" s="2333" t="s">
        <v>1339</v>
      </c>
      <c r="B57" s="3656" t="s">
        <v>1364</v>
      </c>
      <c r="C57" s="3657"/>
      <c r="D57" s="1588">
        <v>0</v>
      </c>
      <c r="E57" s="324" t="s">
        <v>1341</v>
      </c>
      <c r="F57" s="302"/>
      <c r="G57" s="2552"/>
      <c r="H57" s="2556"/>
      <c r="I57" s="1806"/>
      <c r="J57" s="3632">
        <f>IF(AND(J55="",J56=""),4,IF(项目基本情况!K6="上海银行",结果表110!J56+1,结果表110!J55+1))</f>
        <v>5</v>
      </c>
      <c r="K57" s="3632" t="s">
        <v>1365</v>
      </c>
      <c r="L57" s="2527" t="s">
        <v>1366</v>
      </c>
      <c r="M57" s="2528"/>
      <c r="N57" s="2529">
        <f ca="1">SUMIF(M52:M56,"&lt;9e307")</f>
        <v>526</v>
      </c>
      <c r="O57" s="2530"/>
      <c r="P57" s="2687">
        <f ca="1">N57/M49</f>
        <v>0.57549234135667393</v>
      </c>
    </row>
    <row r="58" spans="1:35" ht="25.2">
      <c r="A58" s="2333" t="s">
        <v>1350</v>
      </c>
      <c r="B58" s="3656" t="s">
        <v>1367</v>
      </c>
      <c r="C58" s="3655"/>
      <c r="D58" s="2322">
        <f ca="1">IF(H58="转让取得",C81,C97)</f>
        <v>517</v>
      </c>
      <c r="E58" s="2332" t="s">
        <v>1362</v>
      </c>
      <c r="F58" s="302" t="s">
        <v>28</v>
      </c>
      <c r="G58" s="2552"/>
      <c r="H58" s="2555"/>
      <c r="I58" s="1806"/>
      <c r="J58" s="3632"/>
      <c r="K58" s="3632"/>
      <c r="L58" s="2527" t="s">
        <v>1368</v>
      </c>
      <c r="M58" s="2531"/>
      <c r="N58" s="2532" t="str">
        <f ca="1">NUMBERSTRING(INT(N57*10000),2)&amp;"元整"</f>
        <v>伍佰贰拾陆万元整</v>
      </c>
      <c r="O58" s="2533"/>
    </row>
    <row r="59" spans="1:35" ht="24.6" thickBot="1">
      <c r="A59" s="3636" t="s">
        <v>1369</v>
      </c>
      <c r="B59" s="3637"/>
      <c r="C59" s="3637"/>
      <c r="D59" s="2557">
        <f ca="1">IF(H59="非个人房产","——",IF(H59="个人住宅（满五唯一有凭证）",0,IF(H59="个人其他（无凭证）",ROUND(D45*F59,0),ROUND(C67*F59,0))))</f>
        <v>9</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1363</v>
      </c>
      <c r="H59" s="2312"/>
      <c r="I59" s="2311" t="s">
        <v>2132</v>
      </c>
      <c r="J59" s="3634">
        <f>J57+1</f>
        <v>6</v>
      </c>
      <c r="K59" s="3632" t="s">
        <v>1370</v>
      </c>
      <c r="L59" s="2520" t="s">
        <v>1366</v>
      </c>
      <c r="M59" s="2534"/>
      <c r="N59" s="2535">
        <f ca="1">M49-N57</f>
        <v>388</v>
      </c>
      <c r="O59" s="2536"/>
    </row>
    <row r="60" spans="1:35" ht="12" customHeight="1">
      <c r="A60" s="1807"/>
      <c r="B60" s="1745"/>
      <c r="C60" s="1745"/>
      <c r="D60" s="1745"/>
      <c r="E60" s="1576"/>
      <c r="F60" s="1806"/>
      <c r="G60" s="1806"/>
      <c r="H60" s="1808"/>
      <c r="I60" s="129"/>
      <c r="J60" s="3635"/>
      <c r="K60" s="3632"/>
      <c r="L60" s="2527" t="s">
        <v>1368</v>
      </c>
      <c r="M60" s="2531"/>
      <c r="N60" s="2532" t="str">
        <f ca="1">NUMBERSTRING(INT(N59*10000),2)&amp;"元整"</f>
        <v>叁佰捌拾捌万元整</v>
      </c>
      <c r="O60" s="2533"/>
    </row>
    <row r="61" spans="1:35" ht="13.8" thickBot="1">
      <c r="A61" s="3691" t="s">
        <v>1371</v>
      </c>
      <c r="B61" s="3691"/>
      <c r="C61" s="3691"/>
      <c r="D61" s="3691"/>
      <c r="E61" s="3691"/>
      <c r="F61" s="1806"/>
      <c r="G61" s="1806"/>
      <c r="H61" s="1808"/>
      <c r="I61" s="129"/>
      <c r="J61" s="2520">
        <f>J59+1</f>
        <v>7</v>
      </c>
      <c r="K61" s="3632" t="s">
        <v>1372</v>
      </c>
      <c r="L61" s="3632"/>
      <c r="M61" s="2537"/>
      <c r="N61" s="2538">
        <f ca="1">ROUND(N59*10000/'数据-汇总表'!E3,0)</f>
        <v>7439</v>
      </c>
      <c r="O61" s="2539"/>
    </row>
    <row r="62" spans="1:35" ht="13.2">
      <c r="A62" s="3651" t="s">
        <v>1373</v>
      </c>
      <c r="B62" s="3652"/>
      <c r="C62" s="2019"/>
      <c r="D62" s="2019" t="s">
        <v>1374</v>
      </c>
      <c r="E62" s="166" t="s">
        <v>1375</v>
      </c>
      <c r="F62" s="1806"/>
      <c r="G62" s="1806"/>
      <c r="H62" s="1808"/>
      <c r="I62" s="129"/>
    </row>
    <row r="63" spans="1:35" ht="13.2">
      <c r="A63" s="173" t="s">
        <v>330</v>
      </c>
      <c r="B63" s="167" t="s">
        <v>1376</v>
      </c>
      <c r="C63" s="2561">
        <f ca="1">ROUND((C64+C65)/(1+'数据-取费表'!C42),0)</f>
        <v>870</v>
      </c>
      <c r="D63" s="167"/>
      <c r="E63" s="168"/>
      <c r="F63" s="1806"/>
      <c r="G63" s="1806"/>
      <c r="H63" s="1808"/>
      <c r="I63" s="129"/>
      <c r="J63" s="3615" t="s">
        <v>1377</v>
      </c>
      <c r="K63" s="1330" t="s">
        <v>1378</v>
      </c>
      <c r="L63" s="1330">
        <f ca="1">IF(M49&gt;10000,M49*0.5%,IF(AND(M49&gt;1000,M49&lt;=10000),M49*1%,IF(AND(M49&gt;100,M49&lt;=1000),M49*3%,IF(AND(M49&gt;10,M49&lt;=100),M49*5%,M49*8%))))</f>
        <v>27.419999999999998</v>
      </c>
      <c r="M63" s="302">
        <f ca="1">ROUND(L63,1)</f>
        <v>27.4</v>
      </c>
      <c r="N63" s="2540"/>
      <c r="Z63" s="1750"/>
      <c r="AI63" s="1751"/>
    </row>
    <row r="64" spans="1:35" ht="14.25" customHeight="1">
      <c r="A64" s="169" t="s">
        <v>325</v>
      </c>
      <c r="B64" s="170" t="s">
        <v>1379</v>
      </c>
      <c r="C64" s="2562">
        <f ca="1">D45</f>
        <v>914</v>
      </c>
      <c r="D64" s="170" t="s">
        <v>26</v>
      </c>
      <c r="E64" s="172"/>
      <c r="F64" s="1806"/>
      <c r="G64" s="1806"/>
      <c r="H64" s="1808"/>
      <c r="I64" s="129"/>
      <c r="J64" s="3615"/>
      <c r="K64" s="1330" t="s">
        <v>1380</v>
      </c>
      <c r="L64" s="1330">
        <f ca="1">IF(M49&gt;2000,M49*0.5%,IF(AND(M49&gt;1000,M49&lt;=2000),M49*0.6%,IF(AND(M49&gt;500,M49&lt;=1000),M49*0.7%,IF(AND(M49&gt;200,M49&lt;=500),M49*0.8%,IF(AND(M49&gt;100,M49&lt;=200),M49*0.9%,IF(AND(M49&gt;50,M49&lt;=100),M49*1%,IF(AND(M49&gt;20,M49&lt;=50),M49*1.5%,IF(AND(M49&gt;10,M49&lt;=20),M49*2%,IF(AND(M49&gt;1,M49&lt;=10),M49*2.5%)))))))))</f>
        <v>6.3979999999999997</v>
      </c>
      <c r="M64" s="302">
        <f t="shared" ref="M64:M65" ca="1" si="1">ROUND(L64,1)</f>
        <v>6.4</v>
      </c>
      <c r="N64" s="2541" t="s">
        <v>1381</v>
      </c>
      <c r="Z64" s="1750"/>
      <c r="AI64" s="1751"/>
    </row>
    <row r="65" spans="1:35" ht="14.25" customHeight="1">
      <c r="A65" s="169" t="s">
        <v>326</v>
      </c>
      <c r="B65" s="170" t="s">
        <v>1382</v>
      </c>
      <c r="C65" s="2563"/>
      <c r="D65" s="170"/>
      <c r="E65" s="172"/>
      <c r="F65" s="1806"/>
      <c r="G65" s="1806"/>
      <c r="H65" s="1808"/>
      <c r="I65" s="129"/>
      <c r="J65" s="3615"/>
      <c r="K65" s="1330" t="s">
        <v>1383</v>
      </c>
      <c r="L65" s="1330">
        <f ca="1">IF(M49&gt;1000,M49*0.1%,IF(AND(M49&gt;500,M49&lt;=1000),M49*0.5%,IF(AND(M49&gt;50,M49&lt;=500),M49*1%,IF(AND(M49&gt;1,M49&lt;=50),M49*1.5%))))</f>
        <v>4.57</v>
      </c>
      <c r="M65" s="302">
        <f t="shared" ca="1" si="1"/>
        <v>4.5999999999999996</v>
      </c>
      <c r="N65" s="2541" t="s">
        <v>1381</v>
      </c>
      <c r="Z65" s="1750"/>
      <c r="AI65" s="1751"/>
    </row>
    <row r="66" spans="1:35" ht="14.25" customHeight="1">
      <c r="A66" s="173" t="s">
        <v>327</v>
      </c>
      <c r="B66" s="174" t="s">
        <v>1384</v>
      </c>
      <c r="C66" s="2564"/>
      <c r="D66" s="174" t="s">
        <v>26</v>
      </c>
      <c r="E66" s="1336" t="s">
        <v>669</v>
      </c>
      <c r="F66" s="1806"/>
      <c r="G66" s="1806"/>
      <c r="H66" s="1808"/>
      <c r="I66" s="129"/>
      <c r="J66" s="3615"/>
      <c r="K66" s="1330" t="s">
        <v>1385</v>
      </c>
      <c r="L66" s="1330">
        <f ca="1">M49*0.5%</f>
        <v>4.57</v>
      </c>
      <c r="M66" s="302">
        <f ca="1">IF(L66&gt;0.5,0.5,ROUND(L66,0))</f>
        <v>0.5</v>
      </c>
      <c r="N66" s="2541" t="s">
        <v>1386</v>
      </c>
      <c r="Z66" s="1750"/>
      <c r="AI66" s="1751"/>
    </row>
    <row r="67" spans="1:35" ht="14.25" customHeight="1">
      <c r="A67" s="173" t="s">
        <v>328</v>
      </c>
      <c r="B67" s="174" t="s">
        <v>1387</v>
      </c>
      <c r="C67" s="2565">
        <f ca="1">C63-C66</f>
        <v>870</v>
      </c>
      <c r="D67" s="170" t="s">
        <v>26</v>
      </c>
      <c r="E67" s="172"/>
      <c r="F67" s="1806"/>
      <c r="G67" s="1806"/>
      <c r="H67" s="1808"/>
      <c r="I67" s="129"/>
      <c r="J67" s="3615"/>
      <c r="K67" s="1330" t="s">
        <v>1388</v>
      </c>
      <c r="L67" s="1330">
        <f ca="1">IF(M49&gt;=10000,(8.25+(M49-10000)*0.01%),IF(AND(M49&gt;=8000,M49&lt;10000),(7.85+(M49-8000)*0.02%),IF(AND(M49&gt;=5000,M49&lt;8000),(6.65+(M49-5000)*0.04%),IF(AND(M49&gt;=2000,M49&lt;5000),(4.25+(PM49-2000)*0.08%),IF(AND(M49&gt;=1000,M49&lt;2000),(2.75+(M49-1000)*0.15%),IF(AND(M49&gt;=100,M49&lt;1000),(0.5+(M49-100)*0.25%),IF(AND(M49&gt;0,M49&lt;100),M49*0.5%)))))))</f>
        <v>2.5350000000000001</v>
      </c>
      <c r="M67" s="302">
        <f ca="1">ROUND(L67*0.9,1)</f>
        <v>2.2999999999999998</v>
      </c>
      <c r="N67" s="2540"/>
      <c r="Z67" s="1750"/>
      <c r="AI67" s="1751"/>
    </row>
    <row r="68" spans="1:35" ht="14.25" customHeight="1" thickBot="1">
      <c r="A68" s="176" t="s">
        <v>329</v>
      </c>
      <c r="B68" s="177" t="s">
        <v>1389</v>
      </c>
      <c r="C68" s="2566">
        <f ca="1">IF(C67&lt;=0,0,ROUND(C67*D68,0))</f>
        <v>49</v>
      </c>
      <c r="D68" s="2567">
        <f>'数据-取费表'!B41</f>
        <v>5.6000000000000001E-2</v>
      </c>
      <c r="E68" s="178"/>
      <c r="F68" s="1806"/>
      <c r="G68" s="1806"/>
      <c r="H68" s="1808"/>
      <c r="I68" s="129"/>
      <c r="J68" s="3615"/>
      <c r="K68" s="1330" t="s">
        <v>1390</v>
      </c>
      <c r="L68" s="1330">
        <f ca="1">IF(M49&gt;10000,M49*0.5%,IF(AND(M49&gt;5000,M49&lt;=10000),M49*1%,IF(AND(M49&gt;1000,M49&lt;=5000),M49*2%,IF(AND(M49&gt;200,M49&lt;=1000),M49*3%,M49*5%))))</f>
        <v>27.419999999999998</v>
      </c>
      <c r="M68" s="302">
        <f ca="1">ROUND(L68,1)</f>
        <v>27.4</v>
      </c>
      <c r="N68" s="2540"/>
      <c r="Z68" s="1750"/>
      <c r="AI68" s="1751"/>
    </row>
    <row r="69" spans="1:35" s="1770" customFormat="1" ht="16.5" customHeight="1">
      <c r="A69" s="1809"/>
      <c r="B69" s="1810"/>
      <c r="C69" s="1811"/>
      <c r="D69" s="1812"/>
      <c r="E69" s="1813"/>
      <c r="F69" s="1576"/>
      <c r="G69" s="1576"/>
      <c r="H69" s="1575"/>
      <c r="I69" s="1745"/>
      <c r="J69" s="3615"/>
      <c r="K69" s="1330" t="s">
        <v>1391</v>
      </c>
      <c r="L69" s="1330"/>
      <c r="M69" s="302">
        <f ca="1">ROUND(SUM(M63:M68),0)</f>
        <v>69</v>
      </c>
      <c r="N69" s="2542">
        <f ca="1">M69/M49</f>
        <v>7.5492341356673959E-2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4.4" thickBot="1">
      <c r="A70" s="3659" t="s">
        <v>1392</v>
      </c>
      <c r="B70" s="3660"/>
      <c r="C70" s="3660"/>
      <c r="D70" s="3660"/>
      <c r="E70" s="3660"/>
      <c r="F70" s="3660"/>
      <c r="G70" s="3660"/>
      <c r="H70" s="3660"/>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3.8">
      <c r="A71" s="3651" t="s">
        <v>1373</v>
      </c>
      <c r="B71" s="3652"/>
      <c r="C71" s="2019"/>
      <c r="D71" s="2019" t="s">
        <v>1374</v>
      </c>
      <c r="E71" s="179" t="s">
        <v>1375</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3.8">
      <c r="A72" s="173" t="s">
        <v>330</v>
      </c>
      <c r="B72" s="174" t="s">
        <v>1393</v>
      </c>
      <c r="C72" s="2565">
        <f ca="1">ROUND(D45/(1+'数据-取费表'!C42),0)</f>
        <v>870</v>
      </c>
      <c r="D72" s="170" t="s">
        <v>26</v>
      </c>
      <c r="E72" s="2329"/>
      <c r="F72" s="2328"/>
      <c r="G72" s="232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3.8">
      <c r="A73" s="173" t="s">
        <v>327</v>
      </c>
      <c r="B73" s="163" t="s">
        <v>1394</v>
      </c>
      <c r="C73" s="2565">
        <f ca="1">C74+C78</f>
        <v>5</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28.8">
      <c r="A75" s="169" t="s">
        <v>331</v>
      </c>
      <c r="B75" s="170" t="s">
        <v>1396</v>
      </c>
      <c r="C75" s="2568"/>
      <c r="D75" s="170" t="s">
        <v>26</v>
      </c>
      <c r="E75" s="184" t="s">
        <v>1397</v>
      </c>
      <c r="F75" s="2569"/>
      <c r="G75" s="184" t="s">
        <v>1398</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71">
        <v>0.05</v>
      </c>
      <c r="E76" s="3656" t="s">
        <v>1400</v>
      </c>
      <c r="F76" s="3655"/>
      <c r="G76" s="3655"/>
      <c r="H76" s="365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72">
        <f>'数据-取费表'!B48+'数据-取费表'!B49</f>
        <v>3.0499999999999999E-2</v>
      </c>
      <c r="E77" s="2322" t="s">
        <v>1402</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3">
        <f ca="1">ROUND(D45*D78/(1+'数据-取费表'!C42),0)</f>
        <v>5</v>
      </c>
      <c r="D78" s="2574">
        <f>'数据-取费表'!B43</f>
        <v>6.000000000000001E-3</v>
      </c>
      <c r="E78" s="3648" t="s">
        <v>1404</v>
      </c>
      <c r="F78" s="3649"/>
      <c r="G78" s="3649"/>
      <c r="H78" s="365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3.8">
      <c r="A79" s="173" t="s">
        <v>334</v>
      </c>
      <c r="B79" s="174" t="s">
        <v>1405</v>
      </c>
      <c r="C79" s="2565">
        <f ca="1">C72-C73</f>
        <v>865</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5">
        <f ca="1">IF(C79&lt;=0,0,C79/C73)</f>
        <v>173</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6" thickBot="1">
      <c r="A81" s="176" t="s">
        <v>336</v>
      </c>
      <c r="B81" s="177" t="s">
        <v>1407</v>
      </c>
      <c r="C81" s="2576">
        <f ca="1">ROUND(IF(C79&lt;=0,0,IF(C80&gt;=200%,C79*60%-C73*35%,IF(C80&gt;=100%,C79*50%-C73*15%,IF(C80&gt;=50%,C79*40%-C73*5%,IF(C80&lt;50%,C79*30%,0))))),0)</f>
        <v>517</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4.4" thickBot="1">
      <c r="A83" s="3659" t="s">
        <v>1408</v>
      </c>
      <c r="B83" s="3660"/>
      <c r="C83" s="3660"/>
      <c r="D83" s="3660"/>
      <c r="E83" s="3660"/>
      <c r="F83" s="3660"/>
      <c r="G83" s="3660"/>
      <c r="H83" s="366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3.8">
      <c r="A84" s="3651" t="s">
        <v>1373</v>
      </c>
      <c r="B84" s="3652"/>
      <c r="C84" s="2019"/>
      <c r="D84" s="2019"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3.8">
      <c r="A85" s="173" t="s">
        <v>330</v>
      </c>
      <c r="B85" s="174" t="s">
        <v>1393</v>
      </c>
      <c r="C85" s="2565">
        <f ca="1">ROUND(D45/(1+'数据-取费表'!C42),0)</f>
        <v>870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3.8">
      <c r="A86" s="173" t="s">
        <v>327</v>
      </c>
      <c r="B86" s="163" t="s">
        <v>1394</v>
      </c>
      <c r="C86" s="2565">
        <f ca="1">IF(H88="仅含出让金",C87+C90+C91+C92+C93+C94,C87+C91+C92+C93+C94)</f>
        <v>5</v>
      </c>
      <c r="D86" s="2578"/>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3.8">
      <c r="A87" s="169" t="s">
        <v>325</v>
      </c>
      <c r="B87" s="170" t="s">
        <v>1409</v>
      </c>
      <c r="C87" s="2573">
        <f>C88+C89</f>
        <v>0</v>
      </c>
      <c r="D87" s="2574"/>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4">
      <c r="A88" s="169" t="s">
        <v>331</v>
      </c>
      <c r="B88" s="170" t="s">
        <v>1410</v>
      </c>
      <c r="C88" s="2579"/>
      <c r="D88" s="2574"/>
      <c r="E88" s="193" t="s">
        <v>1411</v>
      </c>
      <c r="F88" s="2325"/>
      <c r="G88" s="194" t="s">
        <v>1412</v>
      </c>
      <c r="H88" s="1822"/>
      <c r="I88" s="1819"/>
      <c r="J88" s="2518"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3.8">
      <c r="A89" s="169" t="s">
        <v>332</v>
      </c>
      <c r="B89" s="170" t="s">
        <v>1401</v>
      </c>
      <c r="C89" s="2573">
        <f>ROUND(C88*D89,0)</f>
        <v>0</v>
      </c>
      <c r="D89" s="2574">
        <f>'数据-取费表'!B48+'数据-取费表'!B49</f>
        <v>3.0499999999999999E-2</v>
      </c>
      <c r="E89" s="193" t="s">
        <v>1413</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4">
      <c r="A90" s="169" t="s">
        <v>326</v>
      </c>
      <c r="B90" s="170" t="s">
        <v>1414</v>
      </c>
      <c r="C90" s="2579"/>
      <c r="D90" s="2574"/>
      <c r="E90" s="193" t="str">
        <f>IF(H88="-","土地取得成本中已包含该笔费用"," ")</f>
        <v xml:space="preserve"> </v>
      </c>
      <c r="F90" s="2325"/>
      <c r="G90" s="3617" t="s">
        <v>2124</v>
      </c>
      <c r="H90" s="3618"/>
      <c r="I90" s="1819"/>
      <c r="J90" s="2518"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3">
        <f>IF(H91="——",成本法!C33,I91)</f>
        <v>0</v>
      </c>
      <c r="D91" s="2574"/>
      <c r="E91" s="3648" t="s">
        <v>1417</v>
      </c>
      <c r="F91" s="3649"/>
      <c r="G91" s="364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3">
        <f>ROUND((C87+C90+C91)*D92,0)</f>
        <v>0</v>
      </c>
      <c r="D92" s="2580"/>
      <c r="E92" s="3648" t="s">
        <v>1420</v>
      </c>
      <c r="F92" s="3649"/>
      <c r="G92" s="3649"/>
      <c r="H92" s="3650"/>
      <c r="I92" s="1819"/>
      <c r="J92" s="2519"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3">
        <f ca="1">ROUND(D45*D93/(1+'数据-取费表'!C42),0)</f>
        <v>5</v>
      </c>
      <c r="D93" s="2574">
        <f>'数据-取费表'!B43</f>
        <v>6.000000000000001E-3</v>
      </c>
      <c r="E93" s="3648" t="s">
        <v>1404</v>
      </c>
      <c r="F93" s="3649"/>
      <c r="G93" s="3649"/>
      <c r="H93" s="365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9">
        <f>ROUND((C87+C90+C91)*D94,0)</f>
        <v>0</v>
      </c>
      <c r="D94" s="2574">
        <v>0.2</v>
      </c>
      <c r="E94" s="3693" t="s">
        <v>1424</v>
      </c>
      <c r="F94" s="3694"/>
      <c r="G94" s="3694"/>
      <c r="H94" s="369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3.8">
      <c r="A95" s="173" t="s">
        <v>334</v>
      </c>
      <c r="B95" s="174" t="s">
        <v>1405</v>
      </c>
      <c r="C95" s="2565">
        <f ca="1">ROUND(C85-C86,0)</f>
        <v>865</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5">
        <f ca="1">IF(C95&lt;=0,0,C95/C86)</f>
        <v>173</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6" thickBot="1">
      <c r="A97" s="176" t="s">
        <v>336</v>
      </c>
      <c r="B97" s="177" t="s">
        <v>1407</v>
      </c>
      <c r="C97" s="2576">
        <f ca="1">ROUND(IF(C95&lt;=0,0,IF(C96&gt;=200%,C95*60%-C86*35%,IF(C96&gt;=100%,C95*50%-C86*15%,IF(C96&gt;=50%,C95*40%-C86*5%,IF(C96&lt;50%,C95*30%,0))))),0)</f>
        <v>517</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598" t="s">
        <v>1426</v>
      </c>
      <c r="B100" s="3599"/>
      <c r="C100" s="3599"/>
      <c r="D100" s="3633"/>
      <c r="E100" s="3599" t="s">
        <v>1427</v>
      </c>
      <c r="F100" s="3599"/>
      <c r="G100" s="3599"/>
      <c r="H100" s="3633"/>
      <c r="I100" s="129"/>
    </row>
    <row r="101" spans="1:35" ht="18.75" customHeight="1">
      <c r="A101" s="3641" t="s">
        <v>1428</v>
      </c>
      <c r="B101" s="3642"/>
      <c r="C101" s="2582" t="str">
        <f>C4</f>
        <v>比较法-商业110</v>
      </c>
      <c r="D101" s="2583" t="str">
        <f>D4</f>
        <v>收益法 (元)110</v>
      </c>
      <c r="E101" s="3611" t="s">
        <v>1429</v>
      </c>
      <c r="F101" s="3612"/>
      <c r="G101" s="1825" t="s">
        <v>1430</v>
      </c>
      <c r="H101" s="2592">
        <f ca="1">H118</f>
        <v>914</v>
      </c>
      <c r="I101" s="129"/>
    </row>
    <row r="102" spans="1:35" ht="18.75" customHeight="1">
      <c r="A102" s="3643" t="s">
        <v>1431</v>
      </c>
      <c r="B102" s="2581" t="s">
        <v>1430</v>
      </c>
      <c r="C102" s="2582">
        <f ca="1">IF(D32="楼面单价",ROUND(C19,0),C19)</f>
        <v>1100</v>
      </c>
      <c r="D102" s="2583">
        <f ca="1">IF(D32="楼面单价",ROUND(D19,0),D19)</f>
        <v>637</v>
      </c>
      <c r="E102" s="3611"/>
      <c r="F102" s="3612"/>
      <c r="G102" s="1825" t="s">
        <v>1432</v>
      </c>
      <c r="H102" s="2552">
        <f ca="1">I118</f>
        <v>34052</v>
      </c>
      <c r="I102" s="129"/>
    </row>
    <row r="103" spans="1:35" ht="42.75" customHeight="1">
      <c r="A103" s="3643"/>
      <c r="B103" s="2581" t="s">
        <v>1432</v>
      </c>
      <c r="C103" s="2584">
        <f ca="1">C20</f>
        <v>40949</v>
      </c>
      <c r="D103" s="2585">
        <f ca="1">D20</f>
        <v>23706</v>
      </c>
      <c r="E103" s="3604" t="s">
        <v>1433</v>
      </c>
      <c r="F103" s="3605"/>
      <c r="G103" s="1826" t="s">
        <v>1434</v>
      </c>
      <c r="H103" s="2592">
        <f>IF(D36="正常操作",H104+H105+H106,H105+H106)</f>
        <v>0</v>
      </c>
      <c r="I103" s="129"/>
    </row>
    <row r="104" spans="1:35" ht="18.75" customHeight="1">
      <c r="A104" s="3643" t="s">
        <v>1435</v>
      </c>
      <c r="B104" s="2586" t="s">
        <v>1430</v>
      </c>
      <c r="C104" s="2587">
        <f ca="1">H118</f>
        <v>914</v>
      </c>
      <c r="D104" s="2588"/>
      <c r="E104" s="1672" t="s">
        <v>1436</v>
      </c>
      <c r="F104" s="1664"/>
      <c r="G104" s="1826" t="s">
        <v>1434</v>
      </c>
      <c r="H104" s="2593">
        <f>IF(D36="同一抵押权人同一抵押物续贷",C36&amp;"（续贷，未扣减，详见特别提示）",C36)</f>
        <v>0</v>
      </c>
      <c r="I104" s="129"/>
    </row>
    <row r="105" spans="1:35" ht="18.75" customHeight="1" thickBot="1">
      <c r="A105" s="3653"/>
      <c r="B105" s="2589" t="s">
        <v>1432</v>
      </c>
      <c r="C105" s="2590">
        <f ca="1">I118</f>
        <v>34052</v>
      </c>
      <c r="D105" s="2591"/>
      <c r="E105" s="1672" t="s">
        <v>1437</v>
      </c>
      <c r="F105" s="1664"/>
      <c r="G105" s="1826" t="s">
        <v>1434</v>
      </c>
      <c r="H105" s="2594">
        <f>C37</f>
        <v>0</v>
      </c>
      <c r="I105" s="129"/>
    </row>
    <row r="106" spans="1:35" ht="18.75" customHeight="1">
      <c r="A106" s="1745" t="s">
        <v>1438</v>
      </c>
      <c r="B106" s="1745"/>
      <c r="C106" s="1745"/>
      <c r="D106" s="1745"/>
      <c r="E106" s="1827" t="s">
        <v>1439</v>
      </c>
      <c r="F106" s="1664"/>
      <c r="G106" s="1826" t="s">
        <v>1434</v>
      </c>
      <c r="H106" s="2594">
        <f>C38</f>
        <v>0</v>
      </c>
      <c r="I106" s="129"/>
    </row>
    <row r="107" spans="1:35" ht="18.75" customHeight="1">
      <c r="A107" s="129"/>
      <c r="B107" s="129"/>
      <c r="C107" s="129"/>
      <c r="D107" s="129"/>
      <c r="E107" s="3644" t="str">
        <f>IF(项目基本情况!E8="已注销","——","3.房地产抵押价值")</f>
        <v>3.房地产抵押价值</v>
      </c>
      <c r="F107" s="3612"/>
      <c r="G107" s="1825" t="s">
        <v>1430</v>
      </c>
      <c r="H107" s="2592">
        <f ca="1">IF(E107="——","——",H101-H103)</f>
        <v>914</v>
      </c>
      <c r="I107" s="129"/>
    </row>
    <row r="108" spans="1:35" ht="18.75" customHeight="1">
      <c r="A108" s="129"/>
      <c r="B108" s="129"/>
      <c r="C108" s="129"/>
      <c r="D108" s="129"/>
      <c r="E108" s="3644"/>
      <c r="F108" s="3612"/>
      <c r="G108" s="1825" t="s">
        <v>1432</v>
      </c>
      <c r="H108" s="2552">
        <f ca="1">IF(H107=H101,H102,ROUND(H107*10000/'数据-汇总表'!E3,0))</f>
        <v>34052</v>
      </c>
      <c r="I108" s="129"/>
    </row>
    <row r="109" spans="1:35" ht="18.75" customHeight="1">
      <c r="A109" s="129"/>
      <c r="B109" s="129"/>
      <c r="C109" s="129"/>
      <c r="D109" s="129"/>
      <c r="E109" s="3644" t="str">
        <f>IF(项目基本情况!E8="已注销及未注销","4.抵押担保权已注销时的房地产抵押价值",IF(项目基本情况!E8="已注销","3.抵押担保权已注销时的房地产抵押价值","——"))</f>
        <v>——</v>
      </c>
      <c r="F109" s="3612"/>
      <c r="G109" s="1825" t="s">
        <v>1430</v>
      </c>
      <c r="H109" s="2595" t="str">
        <f>IF(E109="——","——",H101-H105-H106)</f>
        <v>——</v>
      </c>
      <c r="I109" s="129"/>
    </row>
    <row r="110" spans="1:35" ht="18.75" customHeight="1">
      <c r="A110" s="129"/>
      <c r="B110" s="129"/>
      <c r="C110" s="129"/>
      <c r="D110" s="129"/>
      <c r="E110" s="3644"/>
      <c r="F110" s="3612"/>
      <c r="G110" s="1825" t="s">
        <v>1432</v>
      </c>
      <c r="H110" s="2552"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v>
      </c>
      <c r="F111" s="3631"/>
      <c r="G111" s="1825" t="s">
        <v>1430</v>
      </c>
      <c r="H111" s="2592" t="str">
        <f>IF(E111="——","——",N59)</f>
        <v>——</v>
      </c>
      <c r="I111" s="129"/>
    </row>
    <row r="112" spans="1:35" ht="18.75" customHeight="1" thickBot="1">
      <c r="A112" s="129"/>
      <c r="B112" s="129"/>
      <c r="C112" s="129"/>
      <c r="D112" s="129"/>
      <c r="E112" s="3646"/>
      <c r="F112" s="3647"/>
      <c r="G112" s="1828" t="s">
        <v>1432</v>
      </c>
      <c r="H112" s="2596" t="str">
        <f>IF(E111="——","——",N61)</f>
        <v>——</v>
      </c>
      <c r="I112" s="129"/>
    </row>
    <row r="113" spans="1:27" ht="18.75" customHeight="1">
      <c r="A113" s="129"/>
      <c r="B113" s="129"/>
      <c r="C113" s="129"/>
      <c r="D113" s="129"/>
      <c r="E113" s="3654" t="s">
        <v>1438</v>
      </c>
      <c r="F113" s="3654"/>
      <c r="G113" s="3654"/>
      <c r="H113" s="3654"/>
      <c r="I113" s="129"/>
    </row>
    <row r="114" spans="1:27" ht="3.75" customHeight="1">
      <c r="A114" s="1745"/>
      <c r="B114" s="1745"/>
      <c r="C114" s="1745"/>
      <c r="D114" s="1745"/>
      <c r="E114" s="1807"/>
      <c r="F114" s="1807"/>
      <c r="G114" s="1807"/>
      <c r="H114" s="1807"/>
      <c r="I114" s="1745"/>
    </row>
    <row r="115" spans="1:27" ht="18.75" customHeight="1">
      <c r="A115" s="3662" t="s">
        <v>1440</v>
      </c>
      <c r="B115" s="3663"/>
      <c r="C115" s="3663"/>
      <c r="D115" s="3663"/>
      <c r="E115" s="3663"/>
      <c r="F115" s="3663"/>
      <c r="G115" s="3663"/>
      <c r="H115" s="3663"/>
      <c r="I115" s="3664"/>
    </row>
    <row r="116" spans="1:27" ht="27" customHeight="1">
      <c r="A116" s="3619" t="s">
        <v>1441</v>
      </c>
      <c r="B116" s="3623" t="s">
        <v>1442</v>
      </c>
      <c r="C116" s="3623" t="s">
        <v>1443</v>
      </c>
      <c r="D116" s="3629" t="s">
        <v>1444</v>
      </c>
      <c r="E116" s="3630"/>
      <c r="F116" s="3661" t="s">
        <v>1445</v>
      </c>
      <c r="G116" s="3661"/>
      <c r="H116" s="3619" t="s">
        <v>1446</v>
      </c>
      <c r="I116" s="3619"/>
    </row>
    <row r="117" spans="1:27" ht="18.75" customHeight="1">
      <c r="A117" s="3619"/>
      <c r="B117" s="3624"/>
      <c r="C117" s="3624"/>
      <c r="D117" s="2327" t="s">
        <v>1447</v>
      </c>
      <c r="E117" s="2327" t="s">
        <v>1448</v>
      </c>
      <c r="F117" s="2327" t="s">
        <v>1447</v>
      </c>
      <c r="G117" s="2327" t="s">
        <v>1449</v>
      </c>
      <c r="H117" s="2327" t="s">
        <v>1447</v>
      </c>
      <c r="I117" s="2327" t="s">
        <v>1449</v>
      </c>
    </row>
    <row r="118" spans="1:27" ht="24.75" customHeight="1">
      <c r="A118" s="2597" t="str">
        <f>项目基本情况!S2</f>
        <v>北京市海淀区林风二路38号院5号楼1至2层110房地产</v>
      </c>
      <c r="B118" s="2327">
        <f>M18</f>
        <v>268.52</v>
      </c>
      <c r="C118" s="2327">
        <f>M19</f>
        <v>0</v>
      </c>
      <c r="D118" s="2327">
        <f>ROUND(IF(D32="总价",C34,E118*B118/10000),0)</f>
        <v>0</v>
      </c>
      <c r="E118" s="2327">
        <f>ROUND(IF(C33="自定义",IF(D32="楼面单价",C34,D118*10000/B118),I118-G118),0)</f>
        <v>0</v>
      </c>
      <c r="F118" s="2327">
        <f>ROUND(IF(D32="总价",C35,G118*B118/10000),0)</f>
        <v>0</v>
      </c>
      <c r="G118" s="2327">
        <f>ROUND(IF(D32="楼面单价",C35,F118*10000/B118),0)</f>
        <v>0</v>
      </c>
      <c r="H118" s="2327">
        <f ca="1">ROUND(IF(D32="总价",C32,I118*B118/10000),0)</f>
        <v>914</v>
      </c>
      <c r="I118" s="2327">
        <f ca="1">ROUND(IF(D32="楼面单价",C32,H118*10000/B118),0)</f>
        <v>34052</v>
      </c>
    </row>
    <row r="119" spans="1:27" ht="18.75" customHeight="1">
      <c r="A119" s="3619" t="s">
        <v>1450</v>
      </c>
      <c r="B119" s="3619"/>
      <c r="C119" s="3619"/>
      <c r="D119" s="3625" t="str">
        <f>NUMBERSTRING(INT(D118*10000),2)&amp;"元整"</f>
        <v>零元整</v>
      </c>
      <c r="E119" s="3626"/>
      <c r="F119" s="3625" t="str">
        <f>NUMBERSTRING(INT(F118*10000),2)&amp;"元整"</f>
        <v>零元整</v>
      </c>
      <c r="G119" s="3626"/>
      <c r="H119" s="3625" t="str">
        <f ca="1">NUMBERSTRING(INT(H118*10000),2)&amp;"元整"</f>
        <v>玖佰壹拾肆万元整</v>
      </c>
      <c r="I119" s="3626"/>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25" t="s">
        <v>1450</v>
      </c>
      <c r="B121" s="3627"/>
      <c r="C121" s="3626"/>
      <c r="D121" s="3625" t="str">
        <f>IF(D120=0,"零元整",NUMBERSTRING(INT(D120*10000),2)&amp;"元整")</f>
        <v>零元整</v>
      </c>
      <c r="E121" s="3627"/>
      <c r="F121" s="3627"/>
      <c r="G121" s="3627"/>
      <c r="H121" s="3627"/>
      <c r="I121" s="3626"/>
      <c r="AA121" s="723"/>
    </row>
    <row r="122" spans="1:27" ht="18.75" customHeight="1">
      <c r="A122" s="3631" t="str">
        <f>IF(项目基本情况!B9="房地产市场价值","",MID(E107,3,LEN(E107)-2))</f>
        <v>房地产抵押价值</v>
      </c>
      <c r="B122" s="3631"/>
      <c r="C122" s="3631"/>
      <c r="D122" s="3620">
        <f ca="1">H107</f>
        <v>914</v>
      </c>
      <c r="E122" s="3621"/>
      <c r="F122" s="3621"/>
      <c r="G122" s="3621"/>
      <c r="H122" s="3621"/>
      <c r="I122" s="3622"/>
      <c r="AA122" s="723"/>
    </row>
    <row r="123" spans="1:27" ht="18.75" customHeight="1">
      <c r="A123" s="3619" t="s">
        <v>1450</v>
      </c>
      <c r="B123" s="3619"/>
      <c r="C123" s="3619"/>
      <c r="D123" s="3625" t="str">
        <f ca="1">NUMBERSTRING(INT(D122*10000),2)&amp;"元整"</f>
        <v>玖佰壹拾肆万元整</v>
      </c>
      <c r="E123" s="3627"/>
      <c r="F123" s="3627"/>
      <c r="G123" s="3627"/>
      <c r="H123" s="3627"/>
      <c r="I123" s="3626"/>
      <c r="AA123" s="723"/>
    </row>
    <row r="124" spans="1:27" ht="18.75" customHeight="1">
      <c r="A124" s="3631" t="str">
        <f>IF(项目基本情况!B9="房地产市场价值","",MID(E109,3,LEN(E109)-2))</f>
        <v/>
      </c>
      <c r="B124" s="3631"/>
      <c r="C124" s="3631"/>
      <c r="D124" s="3620" t="str">
        <f>H109</f>
        <v>——</v>
      </c>
      <c r="E124" s="3621"/>
      <c r="F124" s="3621"/>
      <c r="G124" s="3621"/>
      <c r="H124" s="3621"/>
      <c r="I124" s="3622"/>
      <c r="AA124" s="723"/>
    </row>
    <row r="125" spans="1:27" ht="18.75" customHeight="1">
      <c r="A125" s="3619" t="s">
        <v>1450</v>
      </c>
      <c r="B125" s="3619"/>
      <c r="C125" s="3619"/>
      <c r="D125" s="3625" t="e">
        <f>NUMBERSTRING(INT(D124*10000),2)&amp;"元整"</f>
        <v>#VALUE!</v>
      </c>
      <c r="E125" s="3627"/>
      <c r="F125" s="3627"/>
      <c r="G125" s="3627"/>
      <c r="H125" s="3627"/>
      <c r="I125" s="3626"/>
      <c r="AA125" s="723"/>
    </row>
    <row r="126" spans="1:27" ht="18.75" customHeight="1">
      <c r="A126" s="3631" t="str">
        <f>IF(项目基本情况!B9="房地产市场价值","",MID(E111,3,LEN(E111)-2))</f>
        <v/>
      </c>
      <c r="B126" s="3631"/>
      <c r="C126" s="3631"/>
      <c r="D126" s="3620" t="str">
        <f>H111</f>
        <v>——</v>
      </c>
      <c r="E126" s="3621"/>
      <c r="F126" s="3621"/>
      <c r="G126" s="3621"/>
      <c r="H126" s="3621"/>
      <c r="I126" s="3622"/>
      <c r="AA126" s="723"/>
    </row>
    <row r="127" spans="1:27" ht="18.75" customHeight="1">
      <c r="A127" s="3619" t="s">
        <v>1450</v>
      </c>
      <c r="B127" s="3619"/>
      <c r="C127" s="3619"/>
      <c r="D127" s="3625" t="e">
        <f>NUMBERSTRING(INT(D126*10000),2)&amp;"元整"</f>
        <v>#VALUE!</v>
      </c>
      <c r="E127" s="3627"/>
      <c r="F127" s="3627"/>
      <c r="G127" s="3627"/>
      <c r="H127" s="3627"/>
      <c r="I127" s="3626"/>
      <c r="AA127" s="723"/>
    </row>
    <row r="128" spans="1:27" ht="21.75" customHeight="1">
      <c r="A128" s="3628" t="s">
        <v>1451</v>
      </c>
      <c r="B128" s="3628"/>
      <c r="C128" s="3628"/>
      <c r="D128" s="3628"/>
      <c r="E128" s="3628"/>
      <c r="F128" s="3628"/>
      <c r="G128" s="3628"/>
      <c r="H128" s="3628"/>
      <c r="I128" s="3628"/>
      <c r="AA128" s="723"/>
    </row>
    <row r="129" spans="1:35" ht="21.75" customHeight="1">
      <c r="A129" s="1829" t="s">
        <v>1452</v>
      </c>
      <c r="B129" s="1830"/>
      <c r="C129" s="1831" t="s">
        <v>1453</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1454</v>
      </c>
      <c r="G135" s="1846"/>
      <c r="H135" s="1846"/>
      <c r="I135" s="1847" t="s">
        <v>1455</v>
      </c>
    </row>
    <row r="136" spans="1:35" ht="21.75" customHeight="1">
      <c r="A136" s="723"/>
      <c r="B136" s="1848" t="s">
        <v>1456</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1457</v>
      </c>
    </row>
    <row r="139" spans="1:35" ht="21.75" customHeight="1">
      <c r="A139" s="723"/>
      <c r="B139" s="1848" t="s">
        <v>1458</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1457</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1" priority="21" stopIfTrue="1" operator="equal">
      <formula>25</formula>
    </cfRule>
  </conditionalFormatting>
  <conditionalFormatting sqref="C8:C9">
    <cfRule type="cellIs" dxfId="210" priority="19" stopIfTrue="1" operator="equal">
      <formula>15</formula>
    </cfRule>
  </conditionalFormatting>
  <conditionalFormatting sqref="C14:C16">
    <cfRule type="cellIs" dxfId="209" priority="13" stopIfTrue="1" operator="equal">
      <formula>30</formula>
    </cfRule>
  </conditionalFormatting>
  <conditionalFormatting sqref="D5:D7">
    <cfRule type="cellIs" dxfId="208" priority="10" stopIfTrue="1" operator="equal">
      <formula>25</formula>
    </cfRule>
  </conditionalFormatting>
  <conditionalFormatting sqref="D8:D9">
    <cfRule type="cellIs" dxfId="207" priority="9" stopIfTrue="1" operator="equal">
      <formula>15</formula>
    </cfRule>
  </conditionalFormatting>
  <conditionalFormatting sqref="C10:D13">
    <cfRule type="cellIs" dxfId="206" priority="8" stopIfTrue="1" operator="equal">
      <formula>15</formula>
    </cfRule>
  </conditionalFormatting>
  <conditionalFormatting sqref="D14:D16">
    <cfRule type="cellIs" dxfId="205" priority="6" stopIfTrue="1" operator="equal">
      <formula>30</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E36">
    <cfRule type="expression" dxfId="20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1459</v>
      </c>
      <c r="B1" s="1468"/>
      <c r="C1" s="198"/>
      <c r="D1" s="198"/>
      <c r="E1" s="198"/>
      <c r="F1" s="198"/>
      <c r="G1" s="1124">
        <f>MATCH(B1,'数据-取费表'!A6:A16,0)+5</f>
        <v>8</v>
      </c>
    </row>
    <row r="2" spans="1:9" s="200" customFormat="1" ht="18" customHeight="1">
      <c r="A2" s="201" t="s">
        <v>1460</v>
      </c>
      <c r="B2" s="202">
        <f ca="1">IF(D2="——",C52,C52-E2)</f>
        <v>289</v>
      </c>
      <c r="C2" s="199" t="s">
        <v>1461</v>
      </c>
      <c r="D2" s="1851" t="s">
        <v>43</v>
      </c>
      <c r="E2" s="1167"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5541</v>
      </c>
      <c r="C3" s="199" t="s">
        <v>1463</v>
      </c>
      <c r="D3" s="199"/>
      <c r="E3" s="199"/>
      <c r="F3" s="199"/>
      <c r="G3" s="199"/>
    </row>
    <row r="4" spans="1:9" s="208" customFormat="1" ht="16.2">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6" t="s">
        <v>1470</v>
      </c>
      <c r="B6" s="215" t="s">
        <v>1471</v>
      </c>
      <c r="C6" s="216"/>
      <c r="D6" s="217"/>
      <c r="E6" s="218"/>
      <c r="F6" s="218"/>
      <c r="G6" s="219"/>
    </row>
    <row r="7" spans="1:9" s="214" customFormat="1" ht="13.5" customHeight="1">
      <c r="A7" s="776" t="s">
        <v>1472</v>
      </c>
      <c r="B7" s="215" t="s">
        <v>1473</v>
      </c>
      <c r="C7" s="220">
        <f>ROUND(C6*F7,0)</f>
        <v>0</v>
      </c>
      <c r="D7" s="220"/>
      <c r="E7" s="218"/>
      <c r="F7" s="221">
        <f>IF(项目基本情况!B8="出让",0,'数据-取费表'!B48+'数据-取费表'!B49)</f>
        <v>3.0499999999999999E-2</v>
      </c>
      <c r="G7" s="219"/>
    </row>
    <row r="8" spans="1:9" s="223" customFormat="1">
      <c r="A8" s="776" t="s">
        <v>1474</v>
      </c>
      <c r="B8" s="215" t="s">
        <v>1475</v>
      </c>
      <c r="C8" s="220">
        <f>IF(G8="已包含在土地购买价格中","0",IF(B1="",'数据-取费表'!B29,IF(G9="全部缴纳",C9+C10,H9)))</f>
        <v>0</v>
      </c>
      <c r="D8" s="222"/>
      <c r="E8" s="220"/>
      <c r="F8" s="221"/>
      <c r="G8" s="1854"/>
    </row>
    <row r="9" spans="1:9" s="214" customFormat="1" ht="13.5" customHeight="1">
      <c r="A9" s="777" t="s">
        <v>355</v>
      </c>
      <c r="B9" s="224" t="s">
        <v>1476</v>
      </c>
      <c r="C9" s="225">
        <f ca="1">ROUND(D9*E9/10000,0)</f>
        <v>0</v>
      </c>
      <c r="D9" s="843">
        <f ca="1">IF(B1="",'数据-汇总表'!E5,IF(INDIRECT("'数据-取费表'!c"&amp;$G$1)="住宅",INDIRECT("'数据-取费表'!k"&amp;$G$1),0))</f>
        <v>0</v>
      </c>
      <c r="E9" s="225">
        <f>'数据-取费表'!B27</f>
        <v>160</v>
      </c>
      <c r="F9" s="221"/>
      <c r="G9" s="1855"/>
      <c r="H9" s="1135"/>
      <c r="I9" s="1856" t="s">
        <v>1477</v>
      </c>
    </row>
    <row r="10" spans="1:9" s="214" customFormat="1" ht="13.5" customHeight="1">
      <c r="A10" s="777" t="s">
        <v>356</v>
      </c>
      <c r="B10" s="224" t="s">
        <v>1478</v>
      </c>
      <c r="C10" s="225">
        <f ca="1">ROUND(D10*E10/10000,0)</f>
        <v>10</v>
      </c>
      <c r="D10" s="843">
        <f ca="1">IF(B1="",'数据-汇总表'!E6,IF(INDIRECT("'数据-取费表'!c"&amp;$G$1)="住宅",INDIRECT("'数据-取费表'!s"&amp;$G$1),INDIRECT("'数据-取费表'!k"&amp;$G$1)+INDIRECT("'数据-取费表'!s"&amp;$G$1)))</f>
        <v>521.56999999999994</v>
      </c>
      <c r="E10" s="225">
        <f>'数据-取费表'!B28</f>
        <v>200</v>
      </c>
      <c r="F10" s="221"/>
      <c r="G10" s="226"/>
    </row>
    <row r="11" spans="1:9" s="214" customFormat="1" ht="13.5" hidden="1" customHeight="1">
      <c r="A11" s="227" t="s">
        <v>4</v>
      </c>
      <c r="B11" s="215" t="s">
        <v>1479</v>
      </c>
      <c r="C11" s="211"/>
      <c r="D11" s="845"/>
      <c r="E11" s="218"/>
      <c r="F11" s="218"/>
      <c r="G11" s="219"/>
    </row>
    <row r="12" spans="1:9" s="214" customFormat="1" ht="13.5" hidden="1" customHeight="1">
      <c r="A12" s="227" t="s">
        <v>5</v>
      </c>
      <c r="B12" s="215" t="s">
        <v>1480</v>
      </c>
      <c r="C12" s="211">
        <v>0</v>
      </c>
      <c r="D12" s="845"/>
      <c r="E12" s="228"/>
      <c r="F12" s="221">
        <v>3.0499999999999999E-2</v>
      </c>
      <c r="G12" s="219"/>
    </row>
    <row r="13" spans="1:9" s="214" customFormat="1" ht="13.5" hidden="1" customHeight="1">
      <c r="A13" s="227" t="s">
        <v>6</v>
      </c>
      <c r="B13" s="215" t="s">
        <v>1481</v>
      </c>
      <c r="C13" s="211"/>
      <c r="D13" s="845"/>
      <c r="E13" s="218"/>
      <c r="F13" s="218"/>
      <c r="G13" s="219"/>
    </row>
    <row r="14" spans="1:9" s="214" customFormat="1" ht="13.5" hidden="1" customHeight="1">
      <c r="A14" s="227" t="s">
        <v>7</v>
      </c>
      <c r="B14" s="215" t="s">
        <v>1482</v>
      </c>
      <c r="C14" s="211"/>
      <c r="D14" s="845"/>
      <c r="E14" s="218"/>
      <c r="F14" s="218"/>
      <c r="G14" s="219" t="s">
        <v>1483</v>
      </c>
    </row>
    <row r="15" spans="1:9" s="214" customFormat="1" ht="13.5" hidden="1" customHeight="1">
      <c r="A15" s="227" t="s">
        <v>8</v>
      </c>
      <c r="B15" s="215" t="s">
        <v>1484</v>
      </c>
      <c r="C15" s="220"/>
      <c r="D15" s="845"/>
      <c r="E15" s="218"/>
      <c r="F15" s="218"/>
      <c r="G15" s="219" t="s">
        <v>1485</v>
      </c>
    </row>
    <row r="16" spans="1:9" s="214" customFormat="1" ht="13.5" hidden="1" customHeight="1">
      <c r="A16" s="227" t="s">
        <v>9</v>
      </c>
      <c r="B16" s="215" t="s">
        <v>1482</v>
      </c>
      <c r="C16" s="220"/>
      <c r="D16" s="845"/>
      <c r="E16" s="218"/>
      <c r="F16" s="218"/>
      <c r="G16" s="219"/>
    </row>
    <row r="17" spans="1:7" s="214" customFormat="1" ht="13.5" hidden="1" customHeight="1">
      <c r="A17" s="227" t="s">
        <v>10</v>
      </c>
      <c r="B17" s="215" t="s">
        <v>1486</v>
      </c>
      <c r="C17" s="229"/>
      <c r="D17" s="846"/>
      <c r="E17" s="229"/>
      <c r="F17" s="229"/>
      <c r="G17" s="219" t="s">
        <v>1485</v>
      </c>
    </row>
    <row r="18" spans="1:7" s="214" customFormat="1" ht="13.5" hidden="1" customHeight="1">
      <c r="A18" s="227" t="s">
        <v>11</v>
      </c>
      <c r="B18" s="215" t="s">
        <v>1487</v>
      </c>
      <c r="C18" s="220">
        <v>0</v>
      </c>
      <c r="D18" s="845"/>
      <c r="E18" s="218"/>
      <c r="F18" s="221">
        <v>3.0499999999999999E-2</v>
      </c>
      <c r="G18" s="219" t="s">
        <v>1488</v>
      </c>
    </row>
    <row r="19" spans="1:7" s="223" customFormat="1" ht="13.5" customHeight="1">
      <c r="A19" s="255" t="s">
        <v>1489</v>
      </c>
      <c r="B19" s="210" t="s">
        <v>1490</v>
      </c>
      <c r="C19" s="211">
        <f ca="1">IF(G19="已包含在土地取得成本中","0",ROUND(D19*E19/10000,0))</f>
        <v>10</v>
      </c>
      <c r="D19" s="847">
        <f ca="1">D9+D10</f>
        <v>521.56999999999994</v>
      </c>
      <c r="E19" s="211">
        <f>'数据-取费表'!B31</f>
        <v>200</v>
      </c>
      <c r="F19" s="231"/>
      <c r="G19" s="1854"/>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2">
        <f ca="1">ROUND(SUM(C23:C25),0)</f>
        <v>1</v>
      </c>
      <c r="D22" s="235">
        <f>C26</f>
        <v>6.9999999999999999E-4</v>
      </c>
      <c r="E22" s="236" t="s">
        <v>1496</v>
      </c>
      <c r="F22" s="237">
        <f>'数据-取费表'!B40</f>
        <v>3.3500000000000002E-2</v>
      </c>
      <c r="G22" s="234" t="str">
        <f>IF('数据-取费表'!B22&lt;=1,"单利计息","复利计息")</f>
        <v>复利计息</v>
      </c>
    </row>
    <row r="23" spans="1:7" s="214" customFormat="1" ht="13.5" customHeight="1">
      <c r="A23" s="778" t="s">
        <v>1500</v>
      </c>
      <c r="B23" s="215" t="s">
        <v>1501</v>
      </c>
      <c r="C23" s="1103">
        <f>ROUND(IF('数据-取费表'!B22&lt;=1,C5*F22*'数据-取费表'!B23,C5*(POWER((1+F22),'数据-取费表'!B23)-1)),0)</f>
        <v>0</v>
      </c>
      <c r="D23" s="238"/>
      <c r="E23" s="238"/>
      <c r="F23" s="239"/>
      <c r="G23" s="240" t="s">
        <v>1502</v>
      </c>
    </row>
    <row r="24" spans="1:7" s="214" customFormat="1" ht="13.5" customHeight="1">
      <c r="A24" s="778" t="s">
        <v>1503</v>
      </c>
      <c r="B24" s="215" t="s">
        <v>1504</v>
      </c>
      <c r="C24" s="1103">
        <f ca="1">ROUND(IF('数据-取费表'!B22&lt;=1,C19*F22*('数据-取费表'!B19/2+'数据-取费表'!B21),C19*(POWER((1+F22),('数据-取费表'!B19/2+'数据-取费表'!B21))-1)),0)</f>
        <v>1</v>
      </c>
      <c r="D24" s="238"/>
      <c r="E24" s="238"/>
      <c r="F24" s="239"/>
      <c r="G24" s="240" t="s">
        <v>1505</v>
      </c>
    </row>
    <row r="25" spans="1:7" s="214" customFormat="1" ht="24">
      <c r="A25" s="778" t="s">
        <v>1506</v>
      </c>
      <c r="B25" s="215" t="s">
        <v>1507</v>
      </c>
      <c r="C25" s="1103">
        <f ca="1">ROUND(IF('数据-取费表'!B22&lt;=1,C20*F22*'数据-取费表'!B23/2,C20*(POWER((1+F22),'数据-取费表'!B23/2)-1)),0)</f>
        <v>0</v>
      </c>
      <c r="D25" s="238"/>
      <c r="E25" s="241"/>
      <c r="F25" s="239"/>
      <c r="G25" s="242" t="s">
        <v>1508</v>
      </c>
    </row>
    <row r="26" spans="1:7" s="214" customFormat="1">
      <c r="A26" s="778" t="s">
        <v>350</v>
      </c>
      <c r="B26" s="215" t="s">
        <v>1509</v>
      </c>
      <c r="C26" s="238">
        <f>ROUND(IF('数据-取费表'!B22&lt;=1,F21*F22*'数据-取费表'!B23/2,F21*(POWER((1+F22),'数据-取费表'!B23/2)-1)),4)</f>
        <v>6.9999999999999999E-4</v>
      </c>
      <c r="D26" s="238"/>
      <c r="E26" s="241"/>
      <c r="F26" s="239"/>
      <c r="G26" s="243"/>
    </row>
    <row r="27" spans="1:7" s="214" customFormat="1" ht="26.4">
      <c r="A27" s="255" t="s">
        <v>1510</v>
      </c>
      <c r="B27" s="244" t="s">
        <v>1511</v>
      </c>
      <c r="C27" s="245">
        <f ca="1">C28</f>
        <v>2</v>
      </c>
      <c r="D27" s="235">
        <f ca="1">C29</f>
        <v>4.0000000000000001E-3</v>
      </c>
      <c r="E27" s="236" t="s">
        <v>1512</v>
      </c>
      <c r="F27" s="246">
        <f ca="1">IF(B1="",'数据-取费表'!Q16,INDIRECT("'数据-取费表'!q"&amp;$G$1))</f>
        <v>0.2</v>
      </c>
      <c r="G27" s="247" t="s">
        <v>1513</v>
      </c>
    </row>
    <row r="28" spans="1:7" s="214" customFormat="1" ht="13.5" customHeight="1">
      <c r="A28" s="778" t="s">
        <v>346</v>
      </c>
      <c r="B28" s="248" t="s">
        <v>1514</v>
      </c>
      <c r="C28" s="249">
        <f ca="1">ROUND((C5+C19+C20)*F27*'数据-取费表'!B21/'数据-取费表'!B20,0)</f>
        <v>2</v>
      </c>
      <c r="D28" s="235"/>
      <c r="E28" s="236"/>
      <c r="F28" s="246"/>
      <c r="G28" s="247"/>
    </row>
    <row r="29" spans="1:7" s="214" customFormat="1" ht="13.5" customHeight="1">
      <c r="A29" s="778"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14</v>
      </c>
      <c r="D31" s="230"/>
      <c r="E31" s="211"/>
      <c r="F31" s="250"/>
      <c r="G31" s="234" t="s">
        <v>1520</v>
      </c>
    </row>
    <row r="32" spans="1:7" s="208" customFormat="1" ht="16.2">
      <c r="A32" s="252" t="s">
        <v>1521</v>
      </c>
      <c r="B32" s="253"/>
      <c r="C32" s="253"/>
      <c r="D32" s="253"/>
      <c r="E32" s="253"/>
      <c r="F32" s="253"/>
      <c r="G32" s="254"/>
    </row>
    <row r="33" spans="1:7" s="214" customFormat="1" ht="13.5" customHeight="1">
      <c r="A33" s="255" t="s">
        <v>337</v>
      </c>
      <c r="B33" s="210" t="s">
        <v>1522</v>
      </c>
      <c r="C33" s="256">
        <f ca="1">SUM(C34:C38)</f>
        <v>228</v>
      </c>
      <c r="D33" s="232"/>
      <c r="E33" s="212"/>
      <c r="F33" s="241"/>
      <c r="G33" s="234"/>
    </row>
    <row r="34" spans="1:7" s="258" customFormat="1" ht="13.5" customHeight="1">
      <c r="A34" s="778" t="s">
        <v>346</v>
      </c>
      <c r="B34" s="215" t="s">
        <v>1523</v>
      </c>
      <c r="C34" s="220">
        <f ca="1">IF(B1="",IF(F34=100%,'数据-取费表'!M16,'数据-取费表'!O16),IF(F34=100%,INDIRECT("'数据-取费表'!m"&amp;$G$1)+INDIRECT("'数据-取费表'!t"&amp;$G$1),INDIRECT("'数据-取费表'!o"&amp;$G$1)+INDIRECT("'数据-取费表'!aq"&amp;$G$1)))</f>
        <v>208</v>
      </c>
      <c r="D34" s="217"/>
      <c r="E34" s="220"/>
      <c r="F34" s="257">
        <f ca="1">IF('数据-取费表'!B24=0,1,IF(B1="",'数据-取费表'!N16,INDIRECT("'数据-取费表'!n"&amp;$G$1)))</f>
        <v>1</v>
      </c>
      <c r="G34" s="219" t="s">
        <v>1524</v>
      </c>
    </row>
    <row r="35" spans="1:7" ht="13.5" customHeight="1">
      <c r="A35" s="778" t="s">
        <v>351</v>
      </c>
      <c r="B35" s="215" t="s">
        <v>1525</v>
      </c>
      <c r="C35" s="220">
        <f ca="1">ROUND(C34*F35,0)</f>
        <v>6</v>
      </c>
      <c r="D35" s="220"/>
      <c r="E35" s="220"/>
      <c r="F35" s="259">
        <f>'数据-取费表'!B33</f>
        <v>0.03</v>
      </c>
      <c r="G35" s="219" t="s">
        <v>1526</v>
      </c>
    </row>
    <row r="36" spans="1:7" ht="24">
      <c r="A36" s="778"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8" t="s">
        <v>353</v>
      </c>
      <c r="B37" s="215" t="s">
        <v>1529</v>
      </c>
      <c r="C37" s="249">
        <f ca="1">ROUND(E37*D37*F34/10000,0)</f>
        <v>10</v>
      </c>
      <c r="D37" s="217">
        <f ca="1">D19</f>
        <v>521.56999999999994</v>
      </c>
      <c r="E37" s="249">
        <f>'数据-取费表'!B35</f>
        <v>200</v>
      </c>
      <c r="F37" s="259"/>
      <c r="G37" s="261" t="s">
        <v>1530</v>
      </c>
    </row>
    <row r="38" spans="1:7" ht="13.5" customHeight="1">
      <c r="A38" s="778" t="s">
        <v>354</v>
      </c>
      <c r="B38" s="215" t="s">
        <v>1531</v>
      </c>
      <c r="C38" s="220">
        <f ca="1">ROUND(C34*F38,0)</f>
        <v>4</v>
      </c>
      <c r="D38" s="220"/>
      <c r="E38" s="220"/>
      <c r="F38" s="259">
        <f>'数据-取费表'!B36</f>
        <v>0.02</v>
      </c>
      <c r="G38" s="219" t="s">
        <v>1526</v>
      </c>
    </row>
    <row r="39" spans="1:7" s="214" customFormat="1" ht="13.5" customHeight="1">
      <c r="A39" s="255" t="s">
        <v>1532</v>
      </c>
      <c r="B39" s="210" t="s">
        <v>1533</v>
      </c>
      <c r="C39" s="232">
        <f ca="1">ROUND(C33*F20,0)</f>
        <v>5</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8</v>
      </c>
      <c r="D41" s="235">
        <f>C44</f>
        <v>6.9999999999999999E-4</v>
      </c>
      <c r="E41" s="236" t="s">
        <v>1537</v>
      </c>
      <c r="F41" s="237">
        <f>F22</f>
        <v>3.3500000000000002E-2</v>
      </c>
      <c r="G41" s="234" t="str">
        <f>IF('数据-取费表'!B22&lt;=1,"单利计息","复利计息")</f>
        <v>复利计息</v>
      </c>
    </row>
    <row r="42" spans="1:7" ht="13.5" customHeight="1">
      <c r="A42" s="778" t="s">
        <v>346</v>
      </c>
      <c r="B42" s="215" t="s">
        <v>1541</v>
      </c>
      <c r="C42" s="238">
        <f ca="1">ROUND(IF('数据-取费表'!B22&lt;=1,C33*F22*'数据-取费表'!B21/2,C33*(POWER((1+F22),'数据-取费表'!B21/2)-1)),0)</f>
        <v>8</v>
      </c>
      <c r="D42" s="238"/>
      <c r="E42" s="238"/>
      <c r="F42" s="239"/>
      <c r="G42" s="3698" t="s">
        <v>1542</v>
      </c>
    </row>
    <row r="43" spans="1:7" ht="13.5" customHeight="1">
      <c r="A43" s="778" t="s">
        <v>347</v>
      </c>
      <c r="B43" s="215" t="s">
        <v>1543</v>
      </c>
      <c r="C43" s="238">
        <f ca="1">ROUND(IF('数据-取费表'!B22&lt;=1,C39*F22*'数据-取费表'!B21/2,C39*(POWER((1+F22),'数据-取费表'!B21/2)-1)),0)</f>
        <v>0</v>
      </c>
      <c r="D43" s="238"/>
      <c r="E43" s="238"/>
      <c r="F43" s="239"/>
      <c r="G43" s="3699"/>
    </row>
    <row r="44" spans="1:7" ht="13.5" customHeight="1">
      <c r="A44" s="778" t="s">
        <v>348</v>
      </c>
      <c r="B44" s="215" t="s">
        <v>1544</v>
      </c>
      <c r="C44" s="238">
        <f>ROUND(IF('数据-取费表'!B22&lt;=1,C40*F22*'数据-取费表'!B21/2,C40*(POWER((1+F22),'数据-取费表'!B21/2)-1)),4)</f>
        <v>6.9999999999999999E-4</v>
      </c>
      <c r="D44" s="238"/>
      <c r="E44" s="238"/>
      <c r="F44" s="239"/>
      <c r="G44" s="3700"/>
    </row>
    <row r="45" spans="1:7" s="214" customFormat="1" ht="13.5" customHeight="1">
      <c r="A45" s="255" t="s">
        <v>1545</v>
      </c>
      <c r="B45" s="244" t="s">
        <v>1511</v>
      </c>
      <c r="C45" s="245">
        <f ca="1">C46</f>
        <v>47</v>
      </c>
      <c r="D45" s="235">
        <f ca="1">C47</f>
        <v>4.0000000000000001E-3</v>
      </c>
      <c r="E45" s="236" t="s">
        <v>1537</v>
      </c>
      <c r="F45" s="246">
        <f ca="1">F27</f>
        <v>0.2</v>
      </c>
      <c r="G45" s="247" t="s">
        <v>1546</v>
      </c>
    </row>
    <row r="46" spans="1:7" s="214" customFormat="1" ht="13.5" customHeight="1">
      <c r="A46" s="778" t="s">
        <v>346</v>
      </c>
      <c r="B46" s="248" t="s">
        <v>1547</v>
      </c>
      <c r="C46" s="249">
        <f ca="1">ROUND((C33+C39)*F27,0)</f>
        <v>47</v>
      </c>
      <c r="D46" s="263"/>
      <c r="E46" s="236"/>
      <c r="F46" s="246"/>
      <c r="G46" s="247"/>
    </row>
    <row r="47" spans="1:7" s="214" customFormat="1" ht="13.5" customHeight="1">
      <c r="A47" s="778" t="s">
        <v>347</v>
      </c>
      <c r="B47" s="248" t="s">
        <v>1548</v>
      </c>
      <c r="C47" s="238">
        <f ca="1">ROUND(C40*F27,4)</f>
        <v>4.0000000000000001E-3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312</v>
      </c>
      <c r="D49" s="232"/>
      <c r="E49" s="232"/>
      <c r="F49" s="264"/>
      <c r="G49" s="234" t="s">
        <v>1552</v>
      </c>
    </row>
    <row r="50" spans="1:7" s="258" customFormat="1" ht="24">
      <c r="A50" s="255" t="s">
        <v>1553</v>
      </c>
      <c r="B50" s="210" t="s">
        <v>1554</v>
      </c>
      <c r="C50" s="232"/>
      <c r="D50" s="232"/>
      <c r="E50" s="232"/>
      <c r="F50" s="264">
        <f>IF('数据-取费表'!B24=0,'数据-取费表'!N16,1)</f>
        <v>0.88</v>
      </c>
      <c r="G50" s="247" t="s">
        <v>1555</v>
      </c>
    </row>
    <row r="51" spans="1:7" ht="16.5" customHeight="1">
      <c r="A51" s="255" t="s">
        <v>1556</v>
      </c>
      <c r="B51" s="210" t="s">
        <v>1557</v>
      </c>
      <c r="C51" s="232">
        <f ca="1">ROUND(C49*F50,0)</f>
        <v>275</v>
      </c>
      <c r="D51" s="232"/>
      <c r="E51" s="232"/>
      <c r="F51" s="264"/>
      <c r="G51" s="234" t="s">
        <v>1558</v>
      </c>
    </row>
    <row r="52" spans="1:7" s="208" customFormat="1" ht="16.8" thickBot="1">
      <c r="A52" s="265" t="s">
        <v>1559</v>
      </c>
      <c r="B52" s="266"/>
      <c r="C52" s="267">
        <f ca="1">C31+C51</f>
        <v>289</v>
      </c>
      <c r="D52" s="266"/>
      <c r="E52" s="266"/>
      <c r="F52" s="266"/>
      <c r="G52" s="268"/>
    </row>
    <row r="55" spans="1:7" ht="15">
      <c r="B55" s="270" t="s">
        <v>1560</v>
      </c>
      <c r="C55" s="271"/>
    </row>
    <row r="56" spans="1:7">
      <c r="B56" s="273" t="s">
        <v>800</v>
      </c>
      <c r="C56" s="275">
        <f ca="1">1-C57</f>
        <v>4.8000000000000043E-2</v>
      </c>
    </row>
    <row r="57" spans="1:7">
      <c r="B57" s="273" t="s">
        <v>801</v>
      </c>
      <c r="C57" s="274">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515" t="str">
        <f>项目基本情况!B1</f>
        <v>北京市海淀区林风二路38号院5号楼1至2层110房地产抵押价值预评估</v>
      </c>
      <c r="C37" s="3515"/>
      <c r="D37" s="3515"/>
      <c r="E37" s="3515"/>
      <c r="F37" s="3515"/>
      <c r="G37" s="3515"/>
      <c r="H37" s="3515"/>
      <c r="I37" s="3515"/>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c r="B46" s="1472"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1459</v>
      </c>
      <c r="B1" s="1468"/>
      <c r="C1" s="1857" t="s">
        <v>1561</v>
      </c>
      <c r="D1" s="198"/>
      <c r="E1" s="198"/>
      <c r="F1" s="198"/>
      <c r="G1" s="1124">
        <f>MATCH(B1,'数据-取费表'!A6:A16,0)+5</f>
        <v>8</v>
      </c>
      <c r="H1" s="1059" t="str">
        <f>IF(ISERROR(FIND("住宅",B1)),"非住宅","住宅")</f>
        <v>非住宅</v>
      </c>
    </row>
    <row r="2" spans="1:8" s="200" customFormat="1" ht="18" customHeight="1">
      <c r="A2" s="201" t="s">
        <v>1460</v>
      </c>
      <c r="B2" s="3421">
        <f ca="1">ROUND(IF(D2="——",C52/10000,C52/10000-E2),4)</f>
        <v>304.83850000000001</v>
      </c>
      <c r="C2" s="199" t="s">
        <v>1461</v>
      </c>
      <c r="D2" s="1851" t="s">
        <v>43</v>
      </c>
      <c r="E2" s="1167"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5845</v>
      </c>
      <c r="C3" s="199" t="s">
        <v>1463</v>
      </c>
      <c r="D3" s="199"/>
      <c r="E3" s="199"/>
      <c r="F3" s="199"/>
      <c r="G3" s="199"/>
    </row>
    <row r="4" spans="1:8" s="208" customFormat="1" ht="16.2">
      <c r="A4" s="205" t="s">
        <v>1464</v>
      </c>
      <c r="B4" s="206"/>
      <c r="C4" s="206"/>
      <c r="D4" s="206"/>
      <c r="E4" s="206"/>
      <c r="F4" s="206"/>
      <c r="G4" s="207"/>
    </row>
    <row r="5" spans="1:8" s="214" customFormat="1" ht="13.5" customHeight="1">
      <c r="A5" s="255" t="s">
        <v>1465</v>
      </c>
      <c r="B5" s="210" t="s">
        <v>1466</v>
      </c>
      <c r="C5" s="211">
        <f ca="1">C6+C7+C8</f>
        <v>104314</v>
      </c>
      <c r="D5" s="211" t="s">
        <v>1467</v>
      </c>
      <c r="E5" s="212" t="s">
        <v>1468</v>
      </c>
      <c r="F5" s="212" t="s">
        <v>1469</v>
      </c>
      <c r="G5" s="213"/>
    </row>
    <row r="6" spans="1:8" s="214" customFormat="1" ht="13.5" customHeight="1">
      <c r="A6" s="776" t="s">
        <v>1470</v>
      </c>
      <c r="B6" s="215" t="s">
        <v>1471</v>
      </c>
      <c r="C6" s="216"/>
      <c r="D6" s="217"/>
      <c r="E6" s="218"/>
      <c r="F6" s="218"/>
      <c r="G6" s="219"/>
    </row>
    <row r="7" spans="1:8" s="214" customFormat="1" ht="13.5" customHeight="1">
      <c r="A7" s="776" t="s">
        <v>1472</v>
      </c>
      <c r="B7" s="215" t="s">
        <v>1473</v>
      </c>
      <c r="C7" s="220">
        <f>ROUND(C6*F7,0)</f>
        <v>0</v>
      </c>
      <c r="D7" s="220"/>
      <c r="E7" s="218"/>
      <c r="F7" s="221">
        <f>IF(项目基本情况!B8="出让",0,'数据-取费表'!B48+'数据-取费表'!B49)</f>
        <v>3.0499999999999999E-2</v>
      </c>
      <c r="G7" s="219"/>
    </row>
    <row r="8" spans="1:8" s="223" customFormat="1">
      <c r="A8" s="776" t="s">
        <v>1474</v>
      </c>
      <c r="B8" s="215" t="s">
        <v>1475</v>
      </c>
      <c r="C8" s="220">
        <f ca="1">IF(G8="已包含在土地购买价格中",0,C9+C10)</f>
        <v>104314</v>
      </c>
      <c r="D8" s="222"/>
      <c r="E8" s="220"/>
      <c r="F8" s="221"/>
      <c r="G8" s="1854"/>
    </row>
    <row r="9" spans="1:8" s="214" customFormat="1" ht="13.5" customHeight="1">
      <c r="A9" s="777" t="s">
        <v>355</v>
      </c>
      <c r="B9" s="224" t="s">
        <v>1476</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1478</v>
      </c>
      <c r="C10" s="225">
        <f ca="1">ROUND(D10*E10,0)</f>
        <v>104314</v>
      </c>
      <c r="D10" s="843">
        <f ca="1">IF(B1="",'数据-汇总表'!E6,IF(INDIRECT("'数据-取费表'!c"&amp;$G$1)="住宅",INDIRECT("'数据-取费表'!s"&amp;$G$1),INDIRECT("'数据-取费表'!k"&amp;$G$1)+INDIRECT("'数据-取费表'!s"&amp;$G$1)))</f>
        <v>521.56999999999994</v>
      </c>
      <c r="E10" s="225">
        <f>'数据-取费表'!B28</f>
        <v>200</v>
      </c>
      <c r="F10" s="221"/>
      <c r="G10" s="226"/>
    </row>
    <row r="11" spans="1:8" s="214" customFormat="1" ht="13.5" hidden="1" customHeight="1">
      <c r="A11" s="227" t="s">
        <v>4</v>
      </c>
      <c r="B11" s="215" t="s">
        <v>1479</v>
      </c>
      <c r="C11" s="211"/>
      <c r="D11" s="845"/>
      <c r="E11" s="218"/>
      <c r="F11" s="218"/>
      <c r="G11" s="219"/>
    </row>
    <row r="12" spans="1:8" s="214" customFormat="1" ht="13.5" hidden="1" customHeight="1">
      <c r="A12" s="227" t="s">
        <v>5</v>
      </c>
      <c r="B12" s="215" t="s">
        <v>1562</v>
      </c>
      <c r="C12" s="211">
        <v>0</v>
      </c>
      <c r="D12" s="845"/>
      <c r="E12" s="228"/>
      <c r="F12" s="221">
        <v>3.0499999999999999E-2</v>
      </c>
      <c r="G12" s="219"/>
    </row>
    <row r="13" spans="1:8" s="214" customFormat="1" ht="13.5" hidden="1" customHeight="1">
      <c r="A13" s="227" t="s">
        <v>6</v>
      </c>
      <c r="B13" s="215" t="s">
        <v>1563</v>
      </c>
      <c r="C13" s="211"/>
      <c r="D13" s="845"/>
      <c r="E13" s="218"/>
      <c r="F13" s="218"/>
      <c r="G13" s="219"/>
    </row>
    <row r="14" spans="1:8" s="214" customFormat="1" ht="13.5" hidden="1" customHeight="1">
      <c r="A14" s="227" t="s">
        <v>7</v>
      </c>
      <c r="B14" s="215" t="s">
        <v>1475</v>
      </c>
      <c r="C14" s="211"/>
      <c r="D14" s="845"/>
      <c r="E14" s="218"/>
      <c r="F14" s="218"/>
      <c r="G14" s="219" t="s">
        <v>1564</v>
      </c>
    </row>
    <row r="15" spans="1:8" s="214" customFormat="1" ht="13.5" hidden="1" customHeight="1">
      <c r="A15" s="227" t="s">
        <v>8</v>
      </c>
      <c r="B15" s="215" t="s">
        <v>1565</v>
      </c>
      <c r="C15" s="220"/>
      <c r="D15" s="845"/>
      <c r="E15" s="218"/>
      <c r="F15" s="218"/>
      <c r="G15" s="219" t="s">
        <v>1566</v>
      </c>
    </row>
    <row r="16" spans="1:8" s="214" customFormat="1" ht="13.5" hidden="1" customHeight="1">
      <c r="A16" s="227" t="s">
        <v>9</v>
      </c>
      <c r="B16" s="215" t="s">
        <v>1475</v>
      </c>
      <c r="C16" s="220"/>
      <c r="D16" s="845"/>
      <c r="E16" s="218"/>
      <c r="F16" s="218"/>
      <c r="G16" s="219"/>
    </row>
    <row r="17" spans="1:7" s="214" customFormat="1" ht="13.5" hidden="1" customHeight="1">
      <c r="A17" s="227" t="s">
        <v>10</v>
      </c>
      <c r="B17" s="215" t="s">
        <v>1567</v>
      </c>
      <c r="C17" s="229"/>
      <c r="D17" s="846"/>
      <c r="E17" s="229"/>
      <c r="F17" s="229"/>
      <c r="G17" s="219" t="s">
        <v>1566</v>
      </c>
    </row>
    <row r="18" spans="1:7" s="214" customFormat="1" ht="13.5" hidden="1" customHeight="1">
      <c r="A18" s="227" t="s">
        <v>11</v>
      </c>
      <c r="B18" s="215" t="s">
        <v>1568</v>
      </c>
      <c r="C18" s="220">
        <v>0</v>
      </c>
      <c r="D18" s="845"/>
      <c r="E18" s="218"/>
      <c r="F18" s="221">
        <v>3.0499999999999999E-2</v>
      </c>
      <c r="G18" s="219" t="s">
        <v>1569</v>
      </c>
    </row>
    <row r="19" spans="1:7" s="223" customFormat="1" ht="13.5" customHeight="1">
      <c r="A19" s="255" t="s">
        <v>1570</v>
      </c>
      <c r="B19" s="210" t="s">
        <v>1571</v>
      </c>
      <c r="C19" s="211">
        <f ca="1">IF(G19="已包含在土地取得成本中","0",ROUND(D19*E19,0))</f>
        <v>104314</v>
      </c>
      <c r="D19" s="847">
        <f ca="1">D9+D10</f>
        <v>521.56999999999994</v>
      </c>
      <c r="E19" s="211">
        <f>'数据-取费表'!B31</f>
        <v>200</v>
      </c>
      <c r="F19" s="231"/>
      <c r="G19" s="1854"/>
    </row>
    <row r="20" spans="1:7" s="214" customFormat="1" ht="13.5" customHeight="1">
      <c r="A20" s="255" t="s">
        <v>1572</v>
      </c>
      <c r="B20" s="210" t="s">
        <v>1573</v>
      </c>
      <c r="C20" s="232">
        <f ca="1">ROUND((C5+C19)*F20,0)</f>
        <v>4173</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5">
        <f ca="1">ROUND(SUM(C23:C25),0)</f>
        <v>14352</v>
      </c>
      <c r="D22" s="235">
        <f>C26</f>
        <v>6.9999999999999999E-4</v>
      </c>
      <c r="E22" s="236" t="s">
        <v>1577</v>
      </c>
      <c r="F22" s="237">
        <f>'数据-取费表'!B40</f>
        <v>3.3500000000000002E-2</v>
      </c>
      <c r="G22" s="234" t="str">
        <f>IF('数据-取费表'!B22&lt;=1,"单利计息","复利计息")</f>
        <v>复利计息</v>
      </c>
    </row>
    <row r="23" spans="1:7" s="214" customFormat="1" ht="13.5" customHeight="1">
      <c r="A23" s="778" t="s">
        <v>1470</v>
      </c>
      <c r="B23" s="215" t="s">
        <v>1581</v>
      </c>
      <c r="C23" s="1126">
        <f ca="1">ROUND(IF('数据-取费表'!B22&lt;=1,C5*F22*'数据-取费表'!B22,C5*(POWER((1+F22),'数据-取费表'!B22)-1)),0)</f>
        <v>7106</v>
      </c>
      <c r="D23" s="238"/>
      <c r="E23" s="238"/>
      <c r="F23" s="239"/>
      <c r="G23" s="240" t="s">
        <v>1582</v>
      </c>
    </row>
    <row r="24" spans="1:7" s="214" customFormat="1" ht="13.5" customHeight="1">
      <c r="A24" s="778" t="s">
        <v>1472</v>
      </c>
      <c r="B24" s="215" t="s">
        <v>1583</v>
      </c>
      <c r="C24" s="1126">
        <f ca="1">ROUND(IF('数据-取费表'!B22&lt;=1,C19*F22*('数据-取费表'!B19/2+'数据-取费表'!B20),C19*(POWER((1+F22),('数据-取费表'!B19/2+'数据-取费表'!B20))-1)),0)</f>
        <v>7106</v>
      </c>
      <c r="D24" s="238"/>
      <c r="E24" s="238"/>
      <c r="F24" s="239"/>
      <c r="G24" s="240" t="s">
        <v>1584</v>
      </c>
    </row>
    <row r="25" spans="1:7" s="214" customFormat="1" ht="24">
      <c r="A25" s="778" t="s">
        <v>1474</v>
      </c>
      <c r="B25" s="215" t="s">
        <v>1585</v>
      </c>
      <c r="C25" s="1126">
        <f ca="1">ROUND(IF('数据-取费表'!B22&lt;=1,C20*F22*'数据-取费表'!B22/2,C20*(POWER((1+F22),'数据-取费表'!B22/2)-1)),0)</f>
        <v>140</v>
      </c>
      <c r="D25" s="238"/>
      <c r="E25" s="241"/>
      <c r="F25" s="239"/>
      <c r="G25" s="242" t="s">
        <v>1586</v>
      </c>
    </row>
    <row r="26" spans="1:7" s="214" customFormat="1">
      <c r="A26" s="778" t="s">
        <v>350</v>
      </c>
      <c r="B26" s="215" t="s">
        <v>1509</v>
      </c>
      <c r="C26" s="238">
        <f>ROUND(IF('数据-取费表'!B22&lt;=1,F21*F22*'数据-取费表'!B22/2,F21*(POWER((1+F22),'数据-取费表'!B22/2)-1)),4)</f>
        <v>6.9999999999999999E-4</v>
      </c>
      <c r="D26" s="238"/>
      <c r="E26" s="241"/>
      <c r="F26" s="239"/>
      <c r="G26" s="243"/>
    </row>
    <row r="27" spans="1:7" s="214" customFormat="1" ht="26.4">
      <c r="A27" s="255" t="s">
        <v>1510</v>
      </c>
      <c r="B27" s="244" t="s">
        <v>1511</v>
      </c>
      <c r="C27" s="245">
        <f ca="1">C28</f>
        <v>42560</v>
      </c>
      <c r="D27" s="235">
        <f ca="1">C29</f>
        <v>4.0000000000000001E-3</v>
      </c>
      <c r="E27" s="236" t="s">
        <v>1512</v>
      </c>
      <c r="F27" s="246">
        <f ca="1">IF(B1="",'数据-取费表'!Q16,INDIRECT("'数据-取费表'!q"&amp;$G$1))</f>
        <v>0.2</v>
      </c>
      <c r="G27" s="247" t="s">
        <v>1513</v>
      </c>
    </row>
    <row r="28" spans="1:7" s="214" customFormat="1" ht="13.5" customHeight="1">
      <c r="A28" s="778" t="s">
        <v>346</v>
      </c>
      <c r="B28" s="248" t="s">
        <v>1514</v>
      </c>
      <c r="C28" s="249">
        <f ca="1">ROUND((C5+C19+C20)*F27,0)</f>
        <v>42560</v>
      </c>
      <c r="D28" s="235"/>
      <c r="E28" s="236"/>
      <c r="F28" s="246"/>
      <c r="G28" s="247"/>
    </row>
    <row r="29" spans="1:7" s="214" customFormat="1" ht="13.5" customHeight="1">
      <c r="A29" s="778"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292530</v>
      </c>
      <c r="D31" s="230"/>
      <c r="E31" s="211"/>
      <c r="F31" s="250"/>
      <c r="G31" s="234" t="s">
        <v>1520</v>
      </c>
    </row>
    <row r="32" spans="1:7" s="208" customFormat="1" ht="16.2">
      <c r="A32" s="252" t="s">
        <v>1587</v>
      </c>
      <c r="B32" s="253"/>
      <c r="C32" s="253"/>
      <c r="D32" s="253"/>
      <c r="E32" s="253"/>
      <c r="F32" s="253"/>
      <c r="G32" s="254"/>
    </row>
    <row r="33" spans="1:7" s="214" customFormat="1" ht="13.5" customHeight="1">
      <c r="A33" s="255" t="s">
        <v>337</v>
      </c>
      <c r="B33" s="210" t="s">
        <v>1588</v>
      </c>
      <c r="C33" s="256">
        <f ca="1">SUM(C34:C38)</f>
        <v>2294908</v>
      </c>
      <c r="D33" s="232"/>
      <c r="E33" s="212"/>
      <c r="F33" s="241"/>
      <c r="G33" s="234"/>
    </row>
    <row r="34" spans="1:7" s="258" customFormat="1" ht="13.5" customHeight="1">
      <c r="A34" s="778" t="s">
        <v>346</v>
      </c>
      <c r="B34" s="215" t="s">
        <v>1523</v>
      </c>
      <c r="C34" s="220">
        <f ca="1">ROUND(IF(B1="",SUMPRODUCT('数据-取费表'!K6:K14,'数据-取费表'!L6:L14),INDIRECT("'数据-取费表'!l"&amp;$G$1)*INDIRECT("'数据-取费表'!k"&amp;$G$1)+'数据-取费表'!L14*INDIRECT("'数据-取费表'!S"&amp;$G$1)),0)</f>
        <v>2086280</v>
      </c>
      <c r="D34" s="217"/>
      <c r="E34" s="220"/>
      <c r="F34" s="257"/>
      <c r="G34" s="219"/>
    </row>
    <row r="35" spans="1:7" ht="13.5" customHeight="1">
      <c r="A35" s="778" t="s">
        <v>351</v>
      </c>
      <c r="B35" s="215" t="s">
        <v>1525</v>
      </c>
      <c r="C35" s="220">
        <f ca="1">ROUND(C34*F35,0)</f>
        <v>62588</v>
      </c>
      <c r="D35" s="220"/>
      <c r="E35" s="220"/>
      <c r="F35" s="259">
        <f>'数据-取费表'!B33</f>
        <v>0.03</v>
      </c>
      <c r="G35" s="219" t="s">
        <v>1526</v>
      </c>
    </row>
    <row r="36" spans="1:7" ht="24">
      <c r="A36" s="778"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8" t="s">
        <v>353</v>
      </c>
      <c r="B37" s="215" t="s">
        <v>1529</v>
      </c>
      <c r="C37" s="249">
        <f ca="1">ROUND(E37*D37,0)</f>
        <v>104314</v>
      </c>
      <c r="D37" s="217">
        <f ca="1">D19</f>
        <v>521.56999999999994</v>
      </c>
      <c r="E37" s="249">
        <f>'数据-取费表'!B35</f>
        <v>200</v>
      </c>
      <c r="F37" s="259"/>
      <c r="G37" s="261"/>
    </row>
    <row r="38" spans="1:7" ht="13.5" customHeight="1">
      <c r="A38" s="778" t="s">
        <v>354</v>
      </c>
      <c r="B38" s="215" t="s">
        <v>1531</v>
      </c>
      <c r="C38" s="220">
        <f ca="1">ROUND(C34*F38,0)</f>
        <v>41726</v>
      </c>
      <c r="D38" s="220"/>
      <c r="E38" s="220"/>
      <c r="F38" s="259">
        <f>'数据-取费表'!B36</f>
        <v>0.02</v>
      </c>
      <c r="G38" s="219" t="s">
        <v>1526</v>
      </c>
    </row>
    <row r="39" spans="1:7" s="214" customFormat="1" ht="13.5" customHeight="1">
      <c r="A39" s="255" t="s">
        <v>1532</v>
      </c>
      <c r="B39" s="210" t="s">
        <v>1533</v>
      </c>
      <c r="C39" s="232">
        <f ca="1">ROUND(C33*F20,0)</f>
        <v>45898</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78417</v>
      </c>
      <c r="D41" s="235">
        <f>C44</f>
        <v>6.9999999999999999E-4</v>
      </c>
      <c r="E41" s="236" t="s">
        <v>1537</v>
      </c>
      <c r="F41" s="237">
        <f>F22</f>
        <v>3.3500000000000002E-2</v>
      </c>
      <c r="G41" s="234" t="str">
        <f>IF('数据-取费表'!B22&lt;=1,"单利计息","复利计息")</f>
        <v>复利计息</v>
      </c>
    </row>
    <row r="42" spans="1:7" ht="13.5" customHeight="1">
      <c r="A42" s="778" t="s">
        <v>346</v>
      </c>
      <c r="B42" s="215" t="s">
        <v>1541</v>
      </c>
      <c r="C42" s="238">
        <f ca="1">ROUND(IF('数据-取费表'!B22&lt;=1,C33*F22*'数据-取费表'!B20/2,C33*(POWER((1+F22),'数据-取费表'!B20/2)-1)),0)</f>
        <v>76879</v>
      </c>
      <c r="D42" s="238"/>
      <c r="E42" s="238"/>
      <c r="F42" s="239"/>
      <c r="G42" s="3698" t="s">
        <v>1589</v>
      </c>
    </row>
    <row r="43" spans="1:7" ht="13.5" customHeight="1">
      <c r="A43" s="778" t="s">
        <v>347</v>
      </c>
      <c r="B43" s="215" t="s">
        <v>1543</v>
      </c>
      <c r="C43" s="238">
        <f ca="1">ROUND(IF('数据-取费表'!B22&lt;=1,C39*F22*'数据-取费表'!B20/2,C39*(POWER((1+F22),'数据-取费表'!B20/2)-1)),0)</f>
        <v>1538</v>
      </c>
      <c r="D43" s="238"/>
      <c r="E43" s="238"/>
      <c r="F43" s="239"/>
      <c r="G43" s="3699"/>
    </row>
    <row r="44" spans="1:7" ht="13.5" customHeight="1">
      <c r="A44" s="778" t="s">
        <v>348</v>
      </c>
      <c r="B44" s="215" t="s">
        <v>1544</v>
      </c>
      <c r="C44" s="238">
        <f>ROUND(IF('数据-取费表'!B22&lt;=1,C40*F22*'数据-取费表'!B20/2,C40*(POWER((1+F22),'数据-取费表'!B20/2)-1)),4)</f>
        <v>6.9999999999999999E-4</v>
      </c>
      <c r="D44" s="238"/>
      <c r="E44" s="238"/>
      <c r="F44" s="239"/>
      <c r="G44" s="3700"/>
    </row>
    <row r="45" spans="1:7" s="214" customFormat="1" ht="13.5" customHeight="1">
      <c r="A45" s="255" t="s">
        <v>1545</v>
      </c>
      <c r="B45" s="244" t="s">
        <v>1511</v>
      </c>
      <c r="C45" s="245">
        <f ca="1">C46</f>
        <v>468161</v>
      </c>
      <c r="D45" s="235">
        <f ca="1">C47</f>
        <v>4.0000000000000001E-3</v>
      </c>
      <c r="E45" s="236" t="s">
        <v>1537</v>
      </c>
      <c r="F45" s="246">
        <f ca="1">F27</f>
        <v>0.2</v>
      </c>
      <c r="G45" s="247" t="s">
        <v>1546</v>
      </c>
    </row>
    <row r="46" spans="1:7" s="214" customFormat="1" ht="13.5" customHeight="1">
      <c r="A46" s="778" t="s">
        <v>346</v>
      </c>
      <c r="B46" s="248" t="s">
        <v>1547</v>
      </c>
      <c r="C46" s="249">
        <f ca="1">ROUND((C33+C39)*F27,0)</f>
        <v>468161</v>
      </c>
      <c r="D46" s="263"/>
      <c r="E46" s="236"/>
      <c r="F46" s="246"/>
      <c r="G46" s="247"/>
    </row>
    <row r="47" spans="1:7" s="214" customFormat="1" ht="13.5" customHeight="1">
      <c r="A47" s="778"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3131653</v>
      </c>
      <c r="D49" s="232"/>
      <c r="E49" s="232"/>
      <c r="F49" s="264"/>
      <c r="G49" s="234" t="s">
        <v>1552</v>
      </c>
    </row>
    <row r="50" spans="1:7" s="258" customFormat="1">
      <c r="A50" s="255" t="s">
        <v>1553</v>
      </c>
      <c r="B50" s="210" t="s">
        <v>1554</v>
      </c>
      <c r="C50" s="232"/>
      <c r="D50" s="232"/>
      <c r="E50" s="232"/>
      <c r="F50" s="264">
        <f>IF('数据-取费表'!B24=0,'数据-取费表'!N16,1)</f>
        <v>0.88</v>
      </c>
      <c r="G50" s="247"/>
    </row>
    <row r="51" spans="1:7" ht="16.5" customHeight="1">
      <c r="A51" s="255" t="s">
        <v>1556</v>
      </c>
      <c r="B51" s="210" t="s">
        <v>1591</v>
      </c>
      <c r="C51" s="232">
        <f ca="1">ROUND(C49*F50,0)</f>
        <v>2755855</v>
      </c>
      <c r="D51" s="232"/>
      <c r="E51" s="232"/>
      <c r="F51" s="264"/>
      <c r="G51" s="234" t="s">
        <v>1558</v>
      </c>
    </row>
    <row r="52" spans="1:7" s="208" customFormat="1" ht="16.8" thickBot="1">
      <c r="A52" s="265" t="s">
        <v>1559</v>
      </c>
      <c r="B52" s="266"/>
      <c r="C52" s="267">
        <f ca="1">C31+C51</f>
        <v>3048385</v>
      </c>
      <c r="D52" s="266"/>
      <c r="E52" s="266"/>
      <c r="F52" s="266"/>
      <c r="G52" s="268"/>
    </row>
    <row r="55" spans="1:7" ht="15">
      <c r="B55" s="270" t="s">
        <v>1560</v>
      </c>
      <c r="C55" s="271"/>
    </row>
    <row r="56" spans="1:7">
      <c r="B56" s="273" t="s">
        <v>800</v>
      </c>
      <c r="C56" s="275">
        <f ca="1">1-C57</f>
        <v>9.5999999999999974E-2</v>
      </c>
    </row>
    <row r="57" spans="1:7">
      <c r="B57" s="273" t="s">
        <v>801</v>
      </c>
      <c r="C57" s="274">
        <f ca="1">ROUND(C51/C52,3)</f>
        <v>0.90400000000000003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6" customWidth="1"/>
    <col min="2" max="2" width="25.77734375" style="779" customWidth="1"/>
    <col min="3" max="3" width="10.33203125" style="821" customWidth="1"/>
    <col min="4" max="4" width="9.88671875" style="779" customWidth="1"/>
    <col min="5" max="5" width="9.44140625" style="726"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6" t="s">
        <v>1592</v>
      </c>
      <c r="B1" s="1189"/>
      <c r="C1" s="1190"/>
      <c r="D1" s="1188"/>
      <c r="E1" s="2803"/>
      <c r="F1" s="2803"/>
      <c r="G1" s="2668"/>
      <c r="H1" s="2803"/>
      <c r="I1" s="2803"/>
      <c r="J1" s="2803"/>
      <c r="K1" s="2804">
        <f>MATCH(C1,'数据-取费表'!A6:A16,0)+5</f>
        <v>8</v>
      </c>
    </row>
    <row r="2" spans="1:33" ht="18" customHeight="1">
      <c r="A2" s="201" t="s">
        <v>1460</v>
      </c>
      <c r="B2" s="204">
        <f ca="1">C32</f>
        <v>-12</v>
      </c>
      <c r="C2" s="276" t="s">
        <v>1593</v>
      </c>
      <c r="D2" s="276"/>
      <c r="E2" s="2803"/>
      <c r="F2" s="2803"/>
      <c r="G2" s="2803"/>
      <c r="H2" s="2803"/>
      <c r="I2" s="2803"/>
      <c r="J2" s="2803"/>
      <c r="K2" s="2803"/>
    </row>
    <row r="3" spans="1:33" ht="18" customHeight="1" thickBot="1">
      <c r="A3" s="203" t="s">
        <v>1462</v>
      </c>
      <c r="B3" s="204">
        <f ca="1">ROUND(B2*10000/IF(C1="",'数据-汇总表'!E3,INDIRECT("'数据-取费表'!K"&amp;$K$1)),0)</f>
        <v>-230</v>
      </c>
      <c r="C3" s="276" t="s">
        <v>1594</v>
      </c>
      <c r="D3" s="276"/>
      <c r="E3" s="2803"/>
      <c r="F3" s="2803"/>
      <c r="G3" s="2803"/>
      <c r="H3" s="2803"/>
      <c r="I3" s="2803"/>
      <c r="J3" s="2803"/>
      <c r="K3" s="2803"/>
    </row>
    <row r="4" spans="1:33" s="783" customFormat="1" ht="16.5" customHeight="1">
      <c r="A4" s="780" t="s">
        <v>1595</v>
      </c>
      <c r="B4" s="781"/>
      <c r="C4" s="822">
        <f>SUM(C8:K8)</f>
        <v>0</v>
      </c>
      <c r="D4" s="781"/>
      <c r="E4" s="781"/>
      <c r="F4" s="781"/>
      <c r="G4" s="781"/>
      <c r="H4" s="781"/>
      <c r="I4" s="781"/>
      <c r="J4" s="781"/>
      <c r="K4" s="782"/>
    </row>
    <row r="5" spans="1:33" s="787" customFormat="1" ht="14.4">
      <c r="A5" s="784" t="s">
        <v>1596</v>
      </c>
      <c r="B5" s="785" t="s">
        <v>1597</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1598</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1601</v>
      </c>
      <c r="B8" s="164" t="s">
        <v>1602</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1603</v>
      </c>
      <c r="B9" s="781"/>
      <c r="C9" s="781"/>
      <c r="D9" s="781"/>
      <c r="E9" s="781"/>
      <c r="F9" s="781"/>
      <c r="G9" s="781"/>
      <c r="H9" s="781"/>
      <c r="I9" s="781"/>
      <c r="J9" s="781"/>
      <c r="K9" s="782"/>
    </row>
    <row r="10" spans="1:33" s="797" customFormat="1" ht="13.5" customHeight="1">
      <c r="A10" s="784" t="s">
        <v>1604</v>
      </c>
      <c r="B10" s="5" t="s">
        <v>1605</v>
      </c>
      <c r="C10" s="793" t="s">
        <v>1606</v>
      </c>
      <c r="D10" s="794" t="s">
        <v>1607</v>
      </c>
      <c r="E10" s="794" t="s">
        <v>1608</v>
      </c>
      <c r="F10" s="794" t="s">
        <v>1609</v>
      </c>
      <c r="G10" s="5"/>
      <c r="H10" s="795"/>
      <c r="I10" s="795"/>
      <c r="J10" s="795"/>
      <c r="K10" s="796"/>
    </row>
    <row r="11" spans="1:33" s="801" customFormat="1" ht="13.5" customHeight="1">
      <c r="A11" s="798" t="s">
        <v>635</v>
      </c>
      <c r="B11" s="799" t="s">
        <v>1610</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1611</v>
      </c>
      <c r="C12" s="21">
        <f ca="1">ROUND(C11*F12,0)</f>
        <v>0</v>
      </c>
      <c r="D12" s="800"/>
      <c r="E12" s="329"/>
      <c r="F12" s="810">
        <f>'数据-取费表'!B33</f>
        <v>0.03</v>
      </c>
      <c r="G12" s="5" t="s">
        <v>1612</v>
      </c>
      <c r="H12" s="795"/>
      <c r="I12" s="795"/>
      <c r="J12" s="795"/>
      <c r="K12" s="796"/>
    </row>
    <row r="13" spans="1:33" s="801" customFormat="1" ht="13.5" customHeight="1">
      <c r="A13" s="798" t="s">
        <v>637</v>
      </c>
      <c r="B13" s="799" t="s">
        <v>1613</v>
      </c>
      <c r="C13" s="21">
        <f ca="1">ROUND(IF(C1="",SUMIF('数据-取费表'!C:C,"住宅",'数据-取费表'!P:P)*F13,IF(INDIRECT("'数据-取费表'!c"&amp;$K$1)="住宅",INDIRECT("'数据-取费表'!P"&amp;$K$1)*F13,0)),0)</f>
        <v>0</v>
      </c>
      <c r="D13" s="844"/>
      <c r="E13" s="329"/>
      <c r="F13" s="810">
        <f>'数据-取费表'!B34</f>
        <v>0</v>
      </c>
      <c r="G13" s="5" t="s">
        <v>1614</v>
      </c>
      <c r="H13" s="795"/>
      <c r="I13" s="795"/>
      <c r="J13" s="795"/>
      <c r="K13" s="796"/>
    </row>
    <row r="14" spans="1:33" s="803" customFormat="1" ht="13.5" customHeight="1">
      <c r="A14" s="798" t="s">
        <v>638</v>
      </c>
      <c r="B14" s="799" t="s">
        <v>1615</v>
      </c>
      <c r="C14" s="21">
        <f ca="1">ROUND(D14*E14*F11/10000,0)</f>
        <v>0</v>
      </c>
      <c r="D14" s="844">
        <f ca="1">IF(C1="",'数据-汇总表'!E3,INDIRECT("'数据-取费表'!K"&amp;$K$1)+INDIRECT("'数据-取费表'!S"&amp;$K$1))</f>
        <v>521.56999999999994</v>
      </c>
      <c r="E14" s="21">
        <f>'数据-取费表'!B35</f>
        <v>200</v>
      </c>
      <c r="F14" s="802"/>
      <c r="G14" s="5" t="s">
        <v>1616</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1617</v>
      </c>
      <c r="C15" s="809">
        <f ca="1">ROUND(C11*F15,0)</f>
        <v>0</v>
      </c>
      <c r="D15" s="804"/>
      <c r="E15" s="809"/>
      <c r="F15" s="810">
        <f>'数据-取费表'!B36</f>
        <v>0.02</v>
      </c>
      <c r="G15" s="131" t="s">
        <v>1618</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1619</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1620</v>
      </c>
      <c r="C17" s="21">
        <f ca="1">ROUND(D17*E17/10000,0)</f>
        <v>0</v>
      </c>
      <c r="D17" s="844">
        <f ca="1">D14</f>
        <v>521.56999999999994</v>
      </c>
      <c r="E17" s="21">
        <f>'数据-取费表'!B32</f>
        <v>0</v>
      </c>
      <c r="F17" s="804"/>
      <c r="G17" s="131" t="s">
        <v>1621</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1622</v>
      </c>
      <c r="C18" s="21">
        <f ca="1">C19+C20-IF(C1="",'数据-取费表'!B29,IF(G18="已全部缴纳",C19+C20,H18))</f>
        <v>10</v>
      </c>
      <c r="D18" s="844"/>
      <c r="E18" s="21"/>
      <c r="F18" s="802"/>
      <c r="G18" s="1860"/>
      <c r="H18" s="1185"/>
      <c r="I18" s="1861" t="s">
        <v>1623</v>
      </c>
      <c r="J18" s="805"/>
      <c r="K18" s="806"/>
    </row>
    <row r="19" spans="1:33" s="801" customFormat="1" ht="13.5" customHeight="1">
      <c r="A19" s="798" t="s">
        <v>360</v>
      </c>
      <c r="B19" s="799" t="s">
        <v>1624</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1625</v>
      </c>
      <c r="C20" s="21">
        <f ca="1">ROUND(D20*E20/10000,0)</f>
        <v>10</v>
      </c>
      <c r="D20" s="844">
        <f ca="1">IF(C1="",'数据-汇总表'!E6,IF(INDIRECT("'数据-取费表'!c"&amp;$K$1)="住宅",INDIRECT("'数据-取费表'!s"&amp;$K$1),INDIRECT("'数据-取费表'!k"&amp;$K$1)+INDIRECT("'数据-取费表'!s"&amp;$K$1)))</f>
        <v>521.56999999999994</v>
      </c>
      <c r="E20" s="21">
        <f>'数据-取费表'!B28</f>
        <v>200</v>
      </c>
      <c r="F20" s="802"/>
      <c r="G20" s="12"/>
      <c r="H20" s="807"/>
      <c r="I20" s="807"/>
      <c r="J20" s="807"/>
      <c r="K20" s="808"/>
    </row>
    <row r="21" spans="1:33" s="801" customFormat="1" ht="13.5" customHeight="1">
      <c r="A21" s="788" t="s">
        <v>357</v>
      </c>
      <c r="B21" s="811" t="s">
        <v>1626</v>
      </c>
      <c r="C21" s="812">
        <f ca="1">C16+C17+C18</f>
        <v>10</v>
      </c>
      <c r="D21" s="813"/>
      <c r="E21" s="281"/>
      <c r="F21" s="281"/>
      <c r="G21" s="131" t="s">
        <v>1627</v>
      </c>
      <c r="H21" s="805"/>
      <c r="I21" s="805"/>
      <c r="J21" s="805"/>
      <c r="K21" s="806"/>
    </row>
    <row r="22" spans="1:33" s="801" customFormat="1" ht="13.5" customHeight="1">
      <c r="A22" s="788" t="s">
        <v>1599</v>
      </c>
      <c r="B22" s="811" t="s">
        <v>1628</v>
      </c>
      <c r="C22" s="812">
        <f ca="1">ROUND(C21*F22,0)</f>
        <v>0</v>
      </c>
      <c r="D22" s="281"/>
      <c r="E22" s="281"/>
      <c r="F22" s="814">
        <f>'数据-取费表'!B37</f>
        <v>0.02</v>
      </c>
      <c r="G22" s="5" t="s">
        <v>1629</v>
      </c>
      <c r="H22" s="795"/>
      <c r="I22" s="795"/>
      <c r="J22" s="795"/>
      <c r="K22" s="796"/>
    </row>
    <row r="23" spans="1:33" s="801" customFormat="1" ht="13.5" customHeight="1">
      <c r="A23" s="788" t="s">
        <v>1601</v>
      </c>
      <c r="B23" s="811" t="s">
        <v>1630</v>
      </c>
      <c r="C23" s="812">
        <f ca="1">ROUND(C4*F23*F11,0)</f>
        <v>0</v>
      </c>
      <c r="D23" s="281"/>
      <c r="E23" s="281"/>
      <c r="F23" s="814">
        <f>'数据-取费表'!B38</f>
        <v>0.02</v>
      </c>
      <c r="G23" s="5" t="s">
        <v>1631</v>
      </c>
      <c r="H23" s="795"/>
      <c r="I23" s="795"/>
      <c r="J23" s="795"/>
      <c r="K23" s="796"/>
    </row>
    <row r="24" spans="1:33" s="801" customFormat="1" ht="13.5" customHeight="1">
      <c r="A24" s="788" t="s">
        <v>1632</v>
      </c>
      <c r="B24" s="811" t="s">
        <v>1633</v>
      </c>
      <c r="C24" s="280">
        <f>ROUND(F24/(1+'数据-取费表'!C42),4)</f>
        <v>2.9000000000000001E-2</v>
      </c>
      <c r="D24" s="281" t="s">
        <v>12</v>
      </c>
      <c r="E24" s="281"/>
      <c r="F24" s="814">
        <f>IF(项目基本情况!B8="出让",0,'数据-取费表'!B48+'数据-取费表'!B49)</f>
        <v>3.0499999999999999E-2</v>
      </c>
      <c r="G24" s="5" t="s">
        <v>1634</v>
      </c>
      <c r="H24" s="816"/>
      <c r="I24" s="816"/>
      <c r="J24" s="816"/>
      <c r="K24" s="817"/>
    </row>
    <row r="25" spans="1:33" s="801" customFormat="1" ht="13.5" customHeight="1">
      <c r="A25" s="788" t="s">
        <v>1635</v>
      </c>
      <c r="B25" s="813" t="s">
        <v>1636</v>
      </c>
      <c r="C25" s="1104">
        <f ca="1">C27</f>
        <v>0</v>
      </c>
      <c r="D25" s="280">
        <f>C26</f>
        <v>0</v>
      </c>
      <c r="E25" s="282" t="s">
        <v>12</v>
      </c>
      <c r="F25" s="283">
        <f>'数据-取费表'!B40</f>
        <v>3.3500000000000002E-2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1637</v>
      </c>
      <c r="C26" s="1105">
        <f>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1638</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1639</v>
      </c>
      <c r="B28" s="1863" t="s">
        <v>1640</v>
      </c>
      <c r="C28" s="287">
        <f ca="1">C30</f>
        <v>2</v>
      </c>
      <c r="D28" s="280">
        <f ca="1">C29</f>
        <v>0</v>
      </c>
      <c r="E28" s="282" t="s">
        <v>12</v>
      </c>
      <c r="F28" s="288">
        <f ca="1">IF(C1="",'数据-取费表'!Q16,INDIRECT("'数据-取费表'!q"&amp;$K$1))</f>
        <v>0.2</v>
      </c>
      <c r="G28" s="815"/>
      <c r="H28" s="816"/>
      <c r="I28" s="816"/>
      <c r="J28" s="816"/>
      <c r="K28" s="817"/>
    </row>
    <row r="29" spans="1:33" s="291" customFormat="1" ht="13.5" customHeight="1">
      <c r="A29" s="798" t="s">
        <v>358</v>
      </c>
      <c r="B29" s="820" t="s">
        <v>1641</v>
      </c>
      <c r="C29" s="284">
        <f ca="1">ROUND((1+C24)*F28*'数据-取费表'!B24/'数据-取费表'!B20,4)</f>
        <v>0</v>
      </c>
      <c r="D29" s="284"/>
      <c r="E29" s="285"/>
      <c r="F29" s="290"/>
      <c r="G29" s="131" t="s">
        <v>1642</v>
      </c>
      <c r="H29" s="805"/>
      <c r="I29" s="805"/>
      <c r="J29" s="805"/>
      <c r="K29" s="806"/>
    </row>
    <row r="30" spans="1:33" s="291" customFormat="1" ht="13.5" customHeight="1">
      <c r="A30" s="798" t="s">
        <v>359</v>
      </c>
      <c r="B30" s="820" t="s">
        <v>1643</v>
      </c>
      <c r="C30" s="292">
        <f ca="1">ROUND((C21+C22+C23)*F28,0)</f>
        <v>2</v>
      </c>
      <c r="D30" s="284"/>
      <c r="E30" s="285"/>
      <c r="F30" s="290"/>
      <c r="G30" s="131"/>
      <c r="H30" s="805"/>
      <c r="I30" s="805"/>
      <c r="J30" s="805"/>
      <c r="K30" s="806"/>
    </row>
    <row r="31" spans="1:33" s="801" customFormat="1" ht="13.5" customHeight="1" thickBot="1">
      <c r="A31" s="1864" t="s">
        <v>1644</v>
      </c>
      <c r="B31" s="831" t="s">
        <v>1645</v>
      </c>
      <c r="C31" s="832">
        <f>ROUND(C4*F31/(1+'数据-取费表'!C42),0)</f>
        <v>0</v>
      </c>
      <c r="D31" s="833"/>
      <c r="E31" s="834"/>
      <c r="F31" s="835">
        <f>'数据-取费表'!B41</f>
        <v>5.6000000000000001E-2</v>
      </c>
      <c r="G31" s="836" t="s">
        <v>1646</v>
      </c>
      <c r="H31" s="837"/>
      <c r="I31" s="837"/>
      <c r="J31" s="837"/>
      <c r="K31" s="838"/>
    </row>
    <row r="32" spans="1:33" s="797" customFormat="1" ht="13.5" customHeight="1" thickBot="1">
      <c r="A32" s="826" t="s">
        <v>1647</v>
      </c>
      <c r="B32" s="827"/>
      <c r="C32" s="828">
        <f ca="1">ROUND((C4-C21-C22-C23-C25-C28-C31)/(1+C24+D25+D28),0)</f>
        <v>-12</v>
      </c>
      <c r="D32" s="827"/>
      <c r="E32" s="827"/>
      <c r="F32" s="827"/>
      <c r="G32" s="829" t="s">
        <v>1648</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875</v>
      </c>
      <c r="B1" s="711"/>
      <c r="C1" s="1377"/>
      <c r="D1" s="1360" t="s">
        <v>43</v>
      </c>
      <c r="E1" s="1361" t="s">
        <v>676</v>
      </c>
      <c r="F1" s="1060">
        <f ca="1">J53</f>
        <v>0</v>
      </c>
      <c r="G1" s="1376">
        <f>MATCH(C1,'数据-取费表'!A6:A16,0)+5</f>
        <v>8</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802</v>
      </c>
      <c r="B2" s="1384" t="e">
        <f ca="1">C40+J29+L46</f>
        <v>#DIV/0!</v>
      </c>
      <c r="C2" s="1385" t="s">
        <v>803</v>
      </c>
      <c r="D2" s="1385"/>
      <c r="E2" s="1386"/>
      <c r="F2" s="1387"/>
      <c r="G2" s="2703"/>
      <c r="H2" s="2692"/>
      <c r="I2" s="2692"/>
      <c r="J2" s="2692"/>
      <c r="K2" s="2693"/>
      <c r="L2" s="2692"/>
      <c r="M2" s="2692"/>
    </row>
    <row r="3" spans="1:37" ht="18" customHeight="1" thickBot="1">
      <c r="A3" s="1388" t="s">
        <v>804</v>
      </c>
      <c r="B3" s="1389">
        <f ca="1">IF(ISERROR(B2*10000/F43),0,ROUND(B2*10000/F43,0))</f>
        <v>0</v>
      </c>
      <c r="C3" s="1385" t="s">
        <v>805</v>
      </c>
      <c r="D3" s="1385"/>
      <c r="E3" s="1386"/>
      <c r="F3" s="1387"/>
      <c r="G3" s="2703"/>
      <c r="H3" s="681" t="s">
        <v>874</v>
      </c>
      <c r="I3" s="1380"/>
      <c r="J3" s="1380"/>
      <c r="K3" s="1381"/>
      <c r="L3" s="1380"/>
      <c r="M3" s="1380"/>
    </row>
    <row r="4" spans="1:37" ht="18" customHeight="1">
      <c r="A4" s="295" t="s">
        <v>685</v>
      </c>
      <c r="B4" s="296" t="s">
        <v>686</v>
      </c>
      <c r="C4" s="296" t="s">
        <v>687</v>
      </c>
      <c r="D4" s="296" t="s">
        <v>688</v>
      </c>
      <c r="E4" s="297" t="s">
        <v>689</v>
      </c>
      <c r="F4" s="298"/>
      <c r="G4" s="1382"/>
      <c r="H4" s="295" t="s">
        <v>685</v>
      </c>
      <c r="I4" s="296" t="s">
        <v>686</v>
      </c>
      <c r="J4" s="296" t="s">
        <v>687</v>
      </c>
      <c r="K4" s="296" t="s">
        <v>688</v>
      </c>
      <c r="L4" s="297" t="s">
        <v>689</v>
      </c>
      <c r="M4" s="298"/>
    </row>
    <row r="5" spans="1:37" ht="18" customHeight="1">
      <c r="A5" s="299">
        <v>1</v>
      </c>
      <c r="B5" s="300" t="s">
        <v>690</v>
      </c>
      <c r="C5" s="1068">
        <f ca="1">C6+C10+C12</f>
        <v>0</v>
      </c>
      <c r="D5" s="1362" t="s">
        <v>691</v>
      </c>
      <c r="E5" s="1069"/>
      <c r="F5" s="1070"/>
      <c r="G5" s="1382"/>
      <c r="H5" s="299">
        <v>1</v>
      </c>
      <c r="I5" s="300" t="s">
        <v>690</v>
      </c>
      <c r="J5" s="1068">
        <f ca="1">J6+J10+J12</f>
        <v>0</v>
      </c>
      <c r="K5" s="1362" t="s">
        <v>691</v>
      </c>
      <c r="L5" s="1069"/>
      <c r="M5" s="1070"/>
    </row>
    <row r="6" spans="1:37" ht="18" customHeight="1">
      <c r="A6" s="1067" t="s">
        <v>398</v>
      </c>
      <c r="B6" s="3703" t="s">
        <v>692</v>
      </c>
      <c r="C6" s="1072">
        <f ca="1">ROUND(F6*F8*F7*(1-F9)/10000,0)</f>
        <v>0</v>
      </c>
      <c r="D6" s="155" t="s">
        <v>2104</v>
      </c>
      <c r="E6" s="302" t="s">
        <v>694</v>
      </c>
      <c r="F6" s="303">
        <f ca="1">INDIRECT("'数据-取费表'!u"&amp;$G$1)</f>
        <v>0</v>
      </c>
      <c r="G6" s="1382"/>
      <c r="H6" s="1067" t="s">
        <v>398</v>
      </c>
      <c r="I6" s="3703" t="s">
        <v>692</v>
      </c>
      <c r="J6" s="301">
        <f ca="1">ROUND(M6*M8*M7*(1-M9)/10000,0)</f>
        <v>0</v>
      </c>
      <c r="K6" s="155" t="s">
        <v>2103</v>
      </c>
      <c r="L6" s="302" t="s">
        <v>694</v>
      </c>
      <c r="M6" s="303">
        <f ca="1">INDIRECT("'数据-取费表'!z"&amp;$G$1)</f>
        <v>0</v>
      </c>
    </row>
    <row r="7" spans="1:37" ht="18" customHeight="1">
      <c r="A7" s="1071"/>
      <c r="B7" s="3704"/>
      <c r="C7" s="1073"/>
      <c r="D7" s="307"/>
      <c r="E7" s="1074" t="s">
        <v>695</v>
      </c>
      <c r="F7" s="303">
        <f ca="1">IF(INDIRECT("'数据-取费表'!ah"&amp;$G$1)="",INDIRECT("'数据-取费表'!k"&amp;$G$1),INDIRECT("'数据-取费表'!ah"&amp;$G$1))</f>
        <v>0</v>
      </c>
      <c r="G7" s="1382"/>
      <c r="H7" s="304"/>
      <c r="I7" s="3704"/>
      <c r="J7" s="306"/>
      <c r="K7" s="307"/>
      <c r="L7" s="302" t="s">
        <v>695</v>
      </c>
      <c r="M7" s="303">
        <f ca="1">F7</f>
        <v>0</v>
      </c>
    </row>
    <row r="8" spans="1:37" ht="18" customHeight="1">
      <c r="A8" s="304"/>
      <c r="B8" s="3704"/>
      <c r="C8" s="306"/>
      <c r="D8" s="307"/>
      <c r="E8" s="302" t="s">
        <v>696</v>
      </c>
      <c r="F8" s="303">
        <f ca="1">INDIRECT("'数据-取费表'!ai"&amp;$G$1)</f>
        <v>0</v>
      </c>
      <c r="G8" s="1382"/>
      <c r="H8" s="304"/>
      <c r="I8" s="3704"/>
      <c r="J8" s="306"/>
      <c r="K8" s="307"/>
      <c r="L8" s="302" t="s">
        <v>696</v>
      </c>
      <c r="M8" s="303">
        <f ca="1">INDIRECT("'数据-取费表'!ai"&amp;$G$1)</f>
        <v>0</v>
      </c>
    </row>
    <row r="9" spans="1:37" ht="18" customHeight="1">
      <c r="A9" s="304"/>
      <c r="B9" s="3705"/>
      <c r="C9" s="306"/>
      <c r="D9" s="307"/>
      <c r="E9" s="302" t="s">
        <v>697</v>
      </c>
      <c r="F9" s="312">
        <f ca="1">INDIRECT("'数据-取费表'!w"&amp;$G$1)</f>
        <v>0</v>
      </c>
      <c r="G9" s="1382"/>
      <c r="H9" s="304"/>
      <c r="I9" s="3705"/>
      <c r="J9" s="306"/>
      <c r="K9" s="307"/>
      <c r="L9" s="313" t="s">
        <v>697</v>
      </c>
      <c r="M9" s="314">
        <f ca="1">INDIRECT("'数据-取费表'!ab"&amp;$G$1)</f>
        <v>0</v>
      </c>
    </row>
    <row r="10" spans="1:37" ht="18" customHeight="1">
      <c r="A10" s="1067" t="s">
        <v>402</v>
      </c>
      <c r="B10" s="1363" t="s">
        <v>698</v>
      </c>
      <c r="C10" s="316">
        <f ca="1">ROUND(IF(F10="押一",C6/12*F11,IF(F10="押二",C6/12*2*F11,IF(F10="押三",C6/12*3*F11,C11*F11))),0)</f>
        <v>0</v>
      </c>
      <c r="D10" s="1364" t="s">
        <v>2112</v>
      </c>
      <c r="E10" s="313" t="s">
        <v>699</v>
      </c>
      <c r="F10" s="1114"/>
      <c r="G10" s="1382"/>
      <c r="H10" s="1067" t="s">
        <v>402</v>
      </c>
      <c r="I10" s="1363" t="s">
        <v>698</v>
      </c>
      <c r="J10" s="301">
        <f ca="1">ROUND(IF(M10="押一",J6/12*M11,IF(M10="押二",J6/12*2*M11,IF(M10="押三",J6/12*3*M11,J11*M11))),0)</f>
        <v>0</v>
      </c>
      <c r="K10" s="1364" t="s">
        <v>2111</v>
      </c>
      <c r="L10" s="313" t="s">
        <v>699</v>
      </c>
      <c r="M10" s="1114"/>
    </row>
    <row r="11" spans="1:37" ht="18" customHeight="1">
      <c r="A11" s="308"/>
      <c r="B11" s="1365" t="s">
        <v>677</v>
      </c>
      <c r="C11" s="957"/>
      <c r="D11" s="1366"/>
      <c r="E11" s="313" t="s">
        <v>700</v>
      </c>
      <c r="F11" s="314">
        <f ca="1">'数据-取费表'!B39</f>
        <v>1.4999999999999999E-2</v>
      </c>
      <c r="G11" s="1382"/>
      <c r="H11" s="1075"/>
      <c r="I11" s="1365" t="s">
        <v>677</v>
      </c>
      <c r="J11" s="957"/>
      <c r="K11" s="682"/>
      <c r="L11" s="313" t="s">
        <v>700</v>
      </c>
      <c r="M11" s="860">
        <f ca="1">'数据-取费表'!B39</f>
        <v>1.4999999999999999E-2</v>
      </c>
    </row>
    <row r="12" spans="1:37" ht="18" customHeight="1" thickBot="1">
      <c r="A12" s="1081" t="s">
        <v>437</v>
      </c>
      <c r="B12" s="1367" t="s">
        <v>701</v>
      </c>
      <c r="C12" s="1082"/>
      <c r="D12" s="1083"/>
      <c r="E12" s="1088"/>
      <c r="F12" s="1084"/>
      <c r="G12" s="1382"/>
      <c r="H12" s="1081" t="s">
        <v>437</v>
      </c>
      <c r="I12" s="1367" t="s">
        <v>701</v>
      </c>
      <c r="J12" s="1082"/>
      <c r="K12" s="1096"/>
      <c r="L12" s="1088"/>
      <c r="M12" s="1097"/>
    </row>
    <row r="13" spans="1:37" ht="18" customHeight="1" thickTop="1">
      <c r="A13" s="1077">
        <v>2</v>
      </c>
      <c r="B13" s="1078" t="s">
        <v>702</v>
      </c>
      <c r="C13" s="310">
        <f ca="1">ROUND(C29*F13,0)</f>
        <v>0</v>
      </c>
      <c r="D13" s="1079" t="s">
        <v>703</v>
      </c>
      <c r="E13" s="1079" t="s">
        <v>704</v>
      </c>
      <c r="F13" s="1080">
        <f ca="1">INDIRECT("'数据-取费表'!y"&amp;$G$1)</f>
        <v>0</v>
      </c>
      <c r="G13" s="1382"/>
      <c r="H13" s="1077">
        <v>2</v>
      </c>
      <c r="I13" s="1078" t="s">
        <v>702</v>
      </c>
      <c r="J13" s="1066">
        <f ca="1">ROUND(J14*J15,0)</f>
        <v>0</v>
      </c>
      <c r="K13" s="1085" t="s">
        <v>703</v>
      </c>
      <c r="L13" s="1390"/>
      <c r="M13" s="1391"/>
    </row>
    <row r="14" spans="1:37" ht="18" customHeight="1">
      <c r="A14" s="980" t="s">
        <v>397</v>
      </c>
      <c r="B14" s="302" t="s">
        <v>705</v>
      </c>
      <c r="C14" s="318">
        <f ca="1">INDIRECT("'数据-取费表'!m"&amp;$G$1)+INDIRECT("'数据-取费表'!t"&amp;$G$1)</f>
        <v>0</v>
      </c>
      <c r="D14" s="1343" t="s">
        <v>706</v>
      </c>
      <c r="E14" s="1340"/>
      <c r="F14" s="319"/>
      <c r="G14" s="1382"/>
      <c r="H14" s="980" t="s">
        <v>398</v>
      </c>
      <c r="I14" s="302" t="s">
        <v>707</v>
      </c>
      <c r="J14" s="21">
        <f ca="1">C29</f>
        <v>0</v>
      </c>
      <c r="K14" s="12"/>
      <c r="L14" s="805"/>
      <c r="M14" s="806"/>
    </row>
    <row r="15" spans="1:37" s="1395" customFormat="1" ht="18" customHeight="1" thickBot="1">
      <c r="A15" s="980" t="s">
        <v>399</v>
      </c>
      <c r="B15" s="302" t="s">
        <v>708</v>
      </c>
      <c r="C15" s="21">
        <f ca="1">ROUND(C14*F15,0)</f>
        <v>0</v>
      </c>
      <c r="D15" s="320" t="s">
        <v>709</v>
      </c>
      <c r="E15" s="320" t="s">
        <v>710</v>
      </c>
      <c r="F15" s="321">
        <f>'数据-取费表'!B33</f>
        <v>0.03</v>
      </c>
      <c r="G15" s="1394"/>
      <c r="H15" s="1087" t="s">
        <v>402</v>
      </c>
      <c r="I15" s="1088" t="s">
        <v>704</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678</v>
      </c>
      <c r="B16" s="302" t="s">
        <v>711</v>
      </c>
      <c r="C16" s="21">
        <f ca="1">ROUND(INDIRECT("'数据-取费表'!m"&amp;$G$1)*F16,0)</f>
        <v>0</v>
      </c>
      <c r="D16" s="302" t="s">
        <v>709</v>
      </c>
      <c r="E16" s="302" t="s">
        <v>710</v>
      </c>
      <c r="F16" s="322">
        <f ca="1">IF(INDIRECT("'数据-取费表'!c"&amp;$G$1)="住宅",'数据-取费表'!B34,0)</f>
        <v>0</v>
      </c>
      <c r="G16" s="1382"/>
      <c r="H16" s="1077" t="s">
        <v>393</v>
      </c>
      <c r="I16" s="1078" t="s">
        <v>712</v>
      </c>
      <c r="J16" s="310">
        <f ca="1">ROUND(J17+J22+J23+J24,0)</f>
        <v>0</v>
      </c>
      <c r="K16" s="1085" t="s">
        <v>713</v>
      </c>
      <c r="L16" s="1086"/>
      <c r="M16" s="1070"/>
    </row>
    <row r="17" spans="1:37" s="1395" customFormat="1" ht="18" customHeight="1">
      <c r="A17" s="980" t="s">
        <v>679</v>
      </c>
      <c r="B17" s="302" t="s">
        <v>714</v>
      </c>
      <c r="C17" s="21">
        <f ca="1">ROUND(F17*(F43+INDIRECT("'数据-取费表'!S"&amp;$G$1))/10000,0)</f>
        <v>0</v>
      </c>
      <c r="D17" s="302" t="s">
        <v>715</v>
      </c>
      <c r="E17" s="302" t="s">
        <v>716</v>
      </c>
      <c r="F17" s="23">
        <f>'数据-取费表'!B35</f>
        <v>200</v>
      </c>
      <c r="G17" s="1394"/>
      <c r="H17" s="980" t="s">
        <v>398</v>
      </c>
      <c r="I17" s="302" t="s">
        <v>717</v>
      </c>
      <c r="J17" s="2314">
        <f ca="1">ROUND(IF(AND(项目基本情况!B11="自然人",项目基本情况!B10="北京市"),J6*M17/(1+'数据-取费表'!C42),J18+J19+J20),2)</f>
        <v>0</v>
      </c>
      <c r="K17" s="1343" t="s">
        <v>718</v>
      </c>
      <c r="L17" s="1342" t="s">
        <v>719</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680</v>
      </c>
      <c r="B18" s="302" t="s">
        <v>720</v>
      </c>
      <c r="C18" s="21">
        <f ca="1">ROUND(C14*F18,0)</f>
        <v>0</v>
      </c>
      <c r="D18" s="302" t="s">
        <v>709</v>
      </c>
      <c r="E18" s="302" t="s">
        <v>710</v>
      </c>
      <c r="F18" s="322">
        <f>'数据-取费表'!B36</f>
        <v>0.02</v>
      </c>
      <c r="G18" s="1394"/>
      <c r="H18" s="980" t="s">
        <v>397</v>
      </c>
      <c r="I18" s="302" t="s">
        <v>721</v>
      </c>
      <c r="J18" s="21">
        <f ca="1">ROUND(J6*M18/(1+'数据-取费表'!C42),2)</f>
        <v>0</v>
      </c>
      <c r="K18" s="1342" t="s">
        <v>722</v>
      </c>
      <c r="L18" s="302" t="s">
        <v>710</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723</v>
      </c>
      <c r="C19" s="21">
        <f ca="1">SUM(C14:C18)</f>
        <v>0</v>
      </c>
      <c r="D19" s="131" t="s">
        <v>724</v>
      </c>
      <c r="E19" s="1358"/>
      <c r="F19" s="23"/>
      <c r="G19" s="1382"/>
      <c r="H19" s="980" t="s">
        <v>399</v>
      </c>
      <c r="I19" s="302" t="s">
        <v>725</v>
      </c>
      <c r="J19" s="21">
        <f ca="1">IF(K19="按租金收入计税",ROUND(J6*M19/(1+'数据-取费表'!C42),2),ROUND(C29*M19*0.7,2))</f>
        <v>0</v>
      </c>
      <c r="K19" s="1368" t="s">
        <v>3334</v>
      </c>
      <c r="L19" s="302" t="s">
        <v>710</v>
      </c>
      <c r="M19" s="322">
        <f>IF(K19="按租金收入计税",'数据-取费表'!B51,'数据-取费表'!B50)</f>
        <v>0.12</v>
      </c>
    </row>
    <row r="20" spans="1:37" s="1395" customFormat="1" ht="18" customHeight="1">
      <c r="A20" s="980" t="s">
        <v>402</v>
      </c>
      <c r="B20" s="302" t="s">
        <v>726</v>
      </c>
      <c r="C20" s="21">
        <f ca="1">ROUND(C19*F20,0)</f>
        <v>0</v>
      </c>
      <c r="D20" s="323" t="s">
        <v>727</v>
      </c>
      <c r="E20" s="302" t="s">
        <v>710</v>
      </c>
      <c r="F20" s="322">
        <f>'数据-取费表'!B37</f>
        <v>0.02</v>
      </c>
      <c r="G20" s="1394"/>
      <c r="H20" s="980" t="s">
        <v>678</v>
      </c>
      <c r="I20" s="155" t="s">
        <v>728</v>
      </c>
      <c r="J20" s="22">
        <f ca="1">ROUND(M20*M21/10000,2)</f>
        <v>0</v>
      </c>
      <c r="K20" s="324" t="s">
        <v>729</v>
      </c>
      <c r="L20" s="302" t="s">
        <v>730</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731</v>
      </c>
      <c r="C21" s="21" t="s">
        <v>15</v>
      </c>
      <c r="D21" s="323" t="s">
        <v>732</v>
      </c>
      <c r="E21" s="302" t="s">
        <v>733</v>
      </c>
      <c r="F21" s="322">
        <f>'数据-取费表'!B38</f>
        <v>0.02</v>
      </c>
      <c r="G21" s="1394"/>
      <c r="H21" s="326"/>
      <c r="I21" s="311"/>
      <c r="J21" s="26"/>
      <c r="K21" s="327"/>
      <c r="L21" s="302" t="s">
        <v>734</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681</v>
      </c>
      <c r="B22" s="302" t="s">
        <v>735</v>
      </c>
      <c r="C22" s="21"/>
      <c r="D22" s="131" t="str">
        <f>IF(F23&lt;=1,"单利计息。","复利计息。")&amp;"建造成本、管理费用、销售费用产生的利息。"</f>
        <v>复利计息。建造成本、管理费用、销售费用产生的利息。</v>
      </c>
      <c r="E22" s="1358"/>
      <c r="F22" s="23"/>
      <c r="G22" s="1382"/>
      <c r="H22" s="980" t="s">
        <v>402</v>
      </c>
      <c r="I22" s="302" t="s">
        <v>736</v>
      </c>
      <c r="J22" s="21">
        <f ca="1">ROUND(J14*M22,2)</f>
        <v>0</v>
      </c>
      <c r="K22" s="1342" t="s">
        <v>737</v>
      </c>
      <c r="L22" s="302" t="s">
        <v>710</v>
      </c>
      <c r="M22" s="328">
        <f ca="1">INDIRECT("'数据-取费表'!Ak"&amp;$G$1)</f>
        <v>0</v>
      </c>
    </row>
    <row r="23" spans="1:37" s="1395" customFormat="1" ht="18" customHeight="1">
      <c r="A23" s="980"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2</v>
      </c>
      <c r="G23" s="1394"/>
      <c r="H23" s="980" t="s">
        <v>437</v>
      </c>
      <c r="I23" s="302" t="s">
        <v>740</v>
      </c>
      <c r="J23" s="21">
        <f ca="1">ROUND(J13*M23,2)</f>
        <v>0</v>
      </c>
      <c r="K23" s="1342" t="s">
        <v>741</v>
      </c>
      <c r="L23" s="302" t="s">
        <v>742</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743</v>
      </c>
      <c r="B24" s="302" t="s">
        <v>744</v>
      </c>
      <c r="C24" s="21">
        <f>ROUND(IF('数据-取费表'!B22&lt;=1,F21*F24*F23/2,F21*(POWER((1+F24),F23/2)-1)),4)</f>
        <v>6.9999999999999999E-4</v>
      </c>
      <c r="D24" s="329" t="str">
        <f>IF(F23&lt;=1,"销售费用×利率×(建设周期÷2)","销售费用×((1+利率)^(建设周期÷2)-1)")</f>
        <v>销售费用×((1+利率)^(建设周期÷2)-1)</v>
      </c>
      <c r="E24" s="302" t="s">
        <v>745</v>
      </c>
      <c r="F24" s="331">
        <f>'数据-取费表'!B40</f>
        <v>3.3500000000000002E-2</v>
      </c>
      <c r="G24" s="1394"/>
      <c r="H24" s="1087" t="s">
        <v>682</v>
      </c>
      <c r="I24" s="1088" t="s">
        <v>726</v>
      </c>
      <c r="J24" s="1089">
        <f ca="1">ROUND(J5*M24,2)</f>
        <v>0</v>
      </c>
      <c r="K24" s="1090" t="s">
        <v>746</v>
      </c>
      <c r="L24" s="1088" t="s">
        <v>742</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747</v>
      </c>
      <c r="B25" s="302" t="s">
        <v>748</v>
      </c>
      <c r="C25" s="21"/>
      <c r="D25" s="131" t="s">
        <v>749</v>
      </c>
      <c r="E25" s="1358"/>
      <c r="F25" s="23"/>
      <c r="G25" s="1382"/>
      <c r="H25" s="1077" t="s">
        <v>394</v>
      </c>
      <c r="I25" s="1092" t="s">
        <v>750</v>
      </c>
      <c r="J25" s="310">
        <f ca="1">J5-J16</f>
        <v>0</v>
      </c>
      <c r="K25" s="1093" t="s">
        <v>751</v>
      </c>
      <c r="L25" s="1094"/>
      <c r="M25" s="1095"/>
    </row>
    <row r="26" spans="1:37">
      <c r="A26" s="980" t="s">
        <v>397</v>
      </c>
      <c r="B26" s="302" t="s">
        <v>752</v>
      </c>
      <c r="C26" s="21">
        <f ca="1">ROUND((C19+C20)*F26,0)</f>
        <v>0</v>
      </c>
      <c r="D26" s="323" t="s">
        <v>753</v>
      </c>
      <c r="E26" s="313" t="s">
        <v>754</v>
      </c>
      <c r="F26" s="312">
        <f ca="1">INDIRECT("'数据-取费表'!q"&amp;$G$1)</f>
        <v>0</v>
      </c>
      <c r="G26" s="1382"/>
      <c r="H26" s="299" t="s">
        <v>395</v>
      </c>
      <c r="I26" s="300" t="s">
        <v>755</v>
      </c>
      <c r="J26" s="301">
        <f ca="1">IF(J5&lt;&gt;0,ROUND(J25*(1-((1+M28)/(1+M26))^M27)/(M26-M28),0),0)</f>
        <v>0</v>
      </c>
      <c r="K26" s="324" t="s">
        <v>756</v>
      </c>
      <c r="L26" s="302" t="s">
        <v>757</v>
      </c>
      <c r="M26" s="312">
        <f ca="1">INDIRECT("'数据-取费表'!I"&amp;$G$1)</f>
        <v>0</v>
      </c>
    </row>
    <row r="27" spans="1:37" ht="18" customHeight="1">
      <c r="A27" s="980" t="s">
        <v>399</v>
      </c>
      <c r="B27" s="302" t="s">
        <v>758</v>
      </c>
      <c r="C27" s="21">
        <f ca="1">ROUND(F21*F26,4)</f>
        <v>0</v>
      </c>
      <c r="D27" s="323" t="s">
        <v>759</v>
      </c>
      <c r="E27" s="320"/>
      <c r="F27" s="321"/>
      <c r="G27" s="1382"/>
      <c r="H27" s="304"/>
      <c r="I27" s="305"/>
      <c r="J27" s="306"/>
      <c r="K27" s="332" t="s">
        <v>760</v>
      </c>
      <c r="L27" s="302" t="s">
        <v>761</v>
      </c>
      <c r="M27" s="333">
        <f ca="1">INDIRECT("'数据-取费表'!ag"&amp;$G$1)</f>
        <v>0</v>
      </c>
    </row>
    <row r="28" spans="1:37" s="1395" customFormat="1" ht="18" customHeight="1">
      <c r="A28" s="980" t="s">
        <v>400</v>
      </c>
      <c r="B28" s="302" t="s">
        <v>762</v>
      </c>
      <c r="C28" s="21">
        <f>ROUND(F28/(1+'数据-取费表'!C42),4)</f>
        <v>5.33E-2</v>
      </c>
      <c r="D28" s="323" t="s">
        <v>763</v>
      </c>
      <c r="E28" s="302" t="s">
        <v>710</v>
      </c>
      <c r="F28" s="322">
        <f>'数据-取费表'!B41</f>
        <v>5.6000000000000001E-2</v>
      </c>
      <c r="G28" s="1394"/>
      <c r="H28" s="308"/>
      <c r="I28" s="309"/>
      <c r="J28" s="310"/>
      <c r="K28" s="327"/>
      <c r="L28" s="302" t="s">
        <v>764</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765</v>
      </c>
      <c r="C29" s="1089">
        <f ca="1">ROUND((C19+C20+C23+C26)/(1-F21-C24-C27-C28),0)</f>
        <v>0</v>
      </c>
      <c r="D29" s="1090"/>
      <c r="E29" s="1088"/>
      <c r="F29" s="1091"/>
      <c r="G29" s="1394"/>
      <c r="H29" s="334" t="s">
        <v>396</v>
      </c>
      <c r="I29" s="335" t="s">
        <v>766</v>
      </c>
      <c r="J29" s="336">
        <f ca="1">ROUND(J26/(1+F40)^F41,0)</f>
        <v>0</v>
      </c>
      <c r="K29" s="337" t="s">
        <v>767</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712</v>
      </c>
      <c r="C30" s="310">
        <f ca="1">ROUND(C31+C36+C37+C38,0)</f>
        <v>0</v>
      </c>
      <c r="D30" s="1085" t="s">
        <v>713</v>
      </c>
      <c r="E30" s="1086"/>
      <c r="F30" s="1070"/>
      <c r="G30" s="1382"/>
      <c r="H30" s="2694"/>
      <c r="I30" s="1396"/>
      <c r="J30" s="1397"/>
      <c r="K30" s="2472"/>
      <c r="L30" s="2695"/>
      <c r="M30" s="2696"/>
    </row>
    <row r="31" spans="1:37" ht="18" customHeight="1">
      <c r="A31" s="980" t="s">
        <v>398</v>
      </c>
      <c r="B31" s="302" t="s">
        <v>717</v>
      </c>
      <c r="C31" s="2314">
        <f ca="1">ROUND(IF(AND(项目基本情况!B11="自然人",项目基本情况!B10="北京市"),C6*F31/(1+'数据-取费表'!C42),C32+C33+C34),2)</f>
        <v>0</v>
      </c>
      <c r="D31" s="1343" t="s">
        <v>718</v>
      </c>
      <c r="E31" s="1342" t="s">
        <v>768</v>
      </c>
      <c r="F31" s="2313" t="str">
        <f>IF(项目基本情况!B11="企业","——",IF(M47="住宅",IF(F6*F7*F8/12/(1+'数据-取费表'!F30)&gt;100000,4%,2.5%),IF(F6*F7*F8/12/(1+'数据-取费表'!F30)&gt;100000,12%,7%)))</f>
        <v>——</v>
      </c>
      <c r="G31" s="1382"/>
      <c r="H31" s="2805" t="s">
        <v>2305</v>
      </c>
      <c r="I31" s="1396"/>
      <c r="J31" s="1397"/>
      <c r="K31" s="2472"/>
      <c r="L31" s="2695"/>
      <c r="M31" s="2696"/>
    </row>
    <row r="32" spans="1:37" ht="18" customHeight="1">
      <c r="A32" s="980" t="s">
        <v>397</v>
      </c>
      <c r="B32" s="302" t="s">
        <v>721</v>
      </c>
      <c r="C32" s="21">
        <f ca="1">IF(项目基本情况!B11="自然人","——",ROUND(C6*F32/(1+'数据-取费表'!C42),2))</f>
        <v>0</v>
      </c>
      <c r="D32" s="1342" t="s">
        <v>722</v>
      </c>
      <c r="E32" s="302" t="s">
        <v>710</v>
      </c>
      <c r="F32" s="331">
        <f>'数据-取费表'!B41</f>
        <v>5.6000000000000001E-2</v>
      </c>
      <c r="G32" s="1382"/>
      <c r="H32" s="2694"/>
      <c r="I32" s="1396"/>
      <c r="J32" s="1397"/>
      <c r="K32" s="2472"/>
      <c r="L32" s="2695"/>
      <c r="M32" s="2696"/>
    </row>
    <row r="33" spans="1:18" ht="18" customHeight="1">
      <c r="A33" s="980" t="s">
        <v>399</v>
      </c>
      <c r="B33" s="302" t="s">
        <v>725</v>
      </c>
      <c r="C33" s="21">
        <f ca="1">IF(项目基本情况!B11="自然人","——",IF(D33="按租金收入计税",ROUND(C6*F33/(1+'数据-取费表'!C42),2),IF(D33="按房产原值计税",ROUND(C29*F33*0.7,2),INDIRECT("'数据-取费表'!Aj"&amp;$G$1))))</f>
        <v>0</v>
      </c>
      <c r="D33" s="1368" t="s">
        <v>3334</v>
      </c>
      <c r="E33" s="302" t="s">
        <v>710</v>
      </c>
      <c r="F33" s="322">
        <f>IF(D33="按票据","——",IF(D33="按租金收入计税",'数据-取费表'!B51,'数据-取费表'!B50))</f>
        <v>0.12</v>
      </c>
      <c r="G33" s="1382"/>
      <c r="H33" s="2697"/>
      <c r="I33" s="1396"/>
      <c r="J33" s="1397"/>
      <c r="K33" s="2698"/>
      <c r="L33" s="2697"/>
      <c r="M33" s="2697"/>
    </row>
    <row r="34" spans="1:18" ht="18" customHeight="1">
      <c r="A34" s="1067" t="s">
        <v>678</v>
      </c>
      <c r="B34" s="155" t="s">
        <v>728</v>
      </c>
      <c r="C34" s="22">
        <f ca="1">IF(项目基本情况!B11="自然人","——",ROUND(F34*F35/10000,2))</f>
        <v>0</v>
      </c>
      <c r="D34" s="324" t="s">
        <v>729</v>
      </c>
      <c r="E34" s="302" t="s">
        <v>730</v>
      </c>
      <c r="F34" s="325">
        <f>'数据-取费表'!B52</f>
        <v>1.5</v>
      </c>
      <c r="G34" s="1382"/>
      <c r="H34" s="2694"/>
      <c r="I34" s="1396"/>
      <c r="J34" s="1397"/>
      <c r="K34" s="2699"/>
      <c r="L34" s="2700"/>
      <c r="M34" s="2700"/>
    </row>
    <row r="35" spans="1:18" ht="18" customHeight="1">
      <c r="A35" s="1101"/>
      <c r="B35" s="1099"/>
      <c r="C35" s="26"/>
      <c r="D35" s="327"/>
      <c r="E35" s="302" t="s">
        <v>734</v>
      </c>
      <c r="F35" s="303">
        <f ca="1">INDIRECT("'数据-取费表'!r"&amp;$G$1)</f>
        <v>0</v>
      </c>
      <c r="G35" s="1382"/>
      <c r="H35" s="2694"/>
      <c r="I35" s="1396"/>
      <c r="J35" s="1397"/>
      <c r="K35" s="2698"/>
      <c r="L35" s="2697"/>
      <c r="M35" s="2697"/>
    </row>
    <row r="36" spans="1:18" ht="18" customHeight="1">
      <c r="A36" s="1100" t="s">
        <v>402</v>
      </c>
      <c r="B36" s="302" t="s">
        <v>736</v>
      </c>
      <c r="C36" s="21">
        <f ca="1">ROUND(C29*F36,2)</f>
        <v>0</v>
      </c>
      <c r="D36" s="1342" t="s">
        <v>769</v>
      </c>
      <c r="E36" s="302" t="s">
        <v>710</v>
      </c>
      <c r="F36" s="328">
        <f ca="1">INDIRECT("'数据-取费表'!Ak"&amp;$G$1)</f>
        <v>0</v>
      </c>
      <c r="G36" s="1382"/>
      <c r="H36" s="2697"/>
      <c r="I36" s="1396"/>
      <c r="J36" s="1397"/>
      <c r="K36" s="2541"/>
      <c r="L36" s="2697"/>
      <c r="M36" s="2697"/>
    </row>
    <row r="37" spans="1:18" ht="18" customHeight="1">
      <c r="A37" s="980" t="s">
        <v>437</v>
      </c>
      <c r="B37" s="302" t="s">
        <v>740</v>
      </c>
      <c r="C37" s="21">
        <f ca="1">ROUND(C13*F37,2)</f>
        <v>0</v>
      </c>
      <c r="D37" s="1342" t="s">
        <v>741</v>
      </c>
      <c r="E37" s="302" t="s">
        <v>742</v>
      </c>
      <c r="F37" s="330">
        <f ca="1">INDIRECT("'数据-取费表'!Al"&amp;$G$1)</f>
        <v>0</v>
      </c>
      <c r="G37" s="1382"/>
      <c r="H37" s="2697"/>
      <c r="I37" s="1396"/>
      <c r="J37" s="1397"/>
      <c r="K37" s="2541"/>
      <c r="L37" s="2697"/>
      <c r="M37" s="2697"/>
    </row>
    <row r="38" spans="1:18" ht="18" customHeight="1" thickBot="1">
      <c r="A38" s="1087" t="s">
        <v>682</v>
      </c>
      <c r="B38" s="1088" t="s">
        <v>726</v>
      </c>
      <c r="C38" s="1089">
        <f ca="1">ROUND(C5*F38,2)</f>
        <v>0</v>
      </c>
      <c r="D38" s="1090" t="s">
        <v>746</v>
      </c>
      <c r="E38" s="1088" t="s">
        <v>742</v>
      </c>
      <c r="F38" s="1084">
        <f ca="1">INDIRECT("'数据-取费表'!Am"&amp;$G$1)</f>
        <v>0</v>
      </c>
      <c r="G38" s="1382"/>
      <c r="H38" s="2697"/>
      <c r="I38" s="1396"/>
      <c r="J38" s="1397"/>
      <c r="K38" s="2701"/>
      <c r="L38" s="2697"/>
      <c r="M38" s="2697"/>
    </row>
    <row r="39" spans="1:18" ht="24.6" customHeight="1" thickTop="1">
      <c r="A39" s="1077" t="s">
        <v>394</v>
      </c>
      <c r="B39" s="1092" t="s">
        <v>770</v>
      </c>
      <c r="C39" s="310">
        <f ca="1">C5-C30</f>
        <v>0</v>
      </c>
      <c r="D39" s="1093" t="s">
        <v>771</v>
      </c>
      <c r="E39" s="1094"/>
      <c r="F39" s="1095"/>
      <c r="G39" s="1382"/>
      <c r="H39" s="2697"/>
      <c r="I39" s="1396"/>
      <c r="J39" s="1397"/>
      <c r="K39" s="2701"/>
      <c r="L39" s="2697"/>
      <c r="M39" s="2697"/>
    </row>
    <row r="40" spans="1:18" ht="18" customHeight="1">
      <c r="A40" s="299" t="s">
        <v>395</v>
      </c>
      <c r="B40" s="300" t="s">
        <v>772</v>
      </c>
      <c r="C40" s="301" t="e">
        <f ca="1">ROUND(C39*(1-((1+F42)/(1+F40))^F41)/(F40-F42),0)</f>
        <v>#DIV/0!</v>
      </c>
      <c r="D40" s="324" t="s">
        <v>756</v>
      </c>
      <c r="E40" s="302" t="s">
        <v>757</v>
      </c>
      <c r="F40" s="312">
        <f ca="1">INDIRECT("'数据-取费表'!I"&amp;$G$1)</f>
        <v>0</v>
      </c>
      <c r="G40" s="1382"/>
      <c r="H40" s="1459"/>
      <c r="I40" s="1396"/>
      <c r="J40" s="1397"/>
      <c r="K40" s="2701"/>
      <c r="L40" s="1459"/>
      <c r="M40" s="1459"/>
    </row>
    <row r="41" spans="1:18" ht="18" customHeight="1">
      <c r="A41" s="304"/>
      <c r="B41" s="305"/>
      <c r="C41" s="306"/>
      <c r="D41" s="332" t="s">
        <v>773</v>
      </c>
      <c r="E41" s="302" t="s">
        <v>761</v>
      </c>
      <c r="F41" s="333">
        <f ca="1">IF(INDIRECT("'数据-取费表'!af"&amp;$G$1)=0,INDIRECT("'数据-取费表'!ae"&amp;$G$1),INDIRECT("'数据-取费表'!af"&amp;$G$1))</f>
        <v>0</v>
      </c>
      <c r="G41" s="1382"/>
      <c r="H41" s="1189"/>
      <c r="I41" s="1396"/>
      <c r="J41" s="1397"/>
      <c r="K41" s="2541"/>
      <c r="L41" s="1189"/>
      <c r="M41" s="1189"/>
    </row>
    <row r="42" spans="1:18" ht="18" customHeight="1">
      <c r="A42" s="308"/>
      <c r="B42" s="309"/>
      <c r="C42" s="310"/>
      <c r="D42" s="327"/>
      <c r="E42" s="302" t="s">
        <v>764</v>
      </c>
      <c r="F42" s="312">
        <f ca="1">INDIRECT("'数据-取费表'!v"&amp;$G$1)</f>
        <v>0</v>
      </c>
      <c r="G42" s="1382"/>
      <c r="H42" s="1189"/>
      <c r="I42" s="1396"/>
      <c r="J42" s="1397"/>
      <c r="K42" s="2541"/>
      <c r="L42" s="1189"/>
      <c r="M42" s="1189"/>
    </row>
    <row r="43" spans="1:18" ht="18" customHeight="1" thickBot="1">
      <c r="A43" s="334" t="s">
        <v>396</v>
      </c>
      <c r="B43" s="335" t="s">
        <v>774</v>
      </c>
      <c r="C43" s="336" t="e">
        <f ca="1">ROUND(C40*10000/F43,0)</f>
        <v>#DIV/0!</v>
      </c>
      <c r="D43" s="337" t="s">
        <v>775</v>
      </c>
      <c r="E43" s="338" t="s">
        <v>776</v>
      </c>
      <c r="F43" s="339">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2" t="s">
        <v>806</v>
      </c>
      <c r="P45" s="1459"/>
      <c r="Q45" s="1459"/>
      <c r="R45" s="1459"/>
    </row>
    <row r="46" spans="1:18" s="1382" customFormat="1" ht="13.8" thickBot="1">
      <c r="A46" s="1402" t="s">
        <v>807</v>
      </c>
      <c r="C46" s="1403" t="e">
        <f ca="1">C68-C40</f>
        <v>#DIV/0!</v>
      </c>
      <c r="D46" s="1404" t="str">
        <f>C2</f>
        <v>万元</v>
      </c>
      <c r="E46" s="1398"/>
      <c r="F46" s="1398"/>
      <c r="I46" s="1405" t="s">
        <v>808</v>
      </c>
      <c r="J46" s="1406"/>
      <c r="K46" s="1407"/>
      <c r="L46" s="1408" t="e">
        <f ca="1">IF(M47="住宅",0,IF(L48&gt;J51,L60,J60))</f>
        <v>#DIV/0!</v>
      </c>
      <c r="O46" s="1409" t="s">
        <v>809</v>
      </c>
      <c r="P46" s="1410" t="s">
        <v>810</v>
      </c>
      <c r="Q46" s="1411" t="s">
        <v>811</v>
      </c>
      <c r="R46" s="1411" t="s">
        <v>812</v>
      </c>
    </row>
    <row r="47" spans="1:18" s="1382" customFormat="1" ht="13.8" thickBot="1">
      <c r="A47" s="944" t="s">
        <v>685</v>
      </c>
      <c r="B47" s="976" t="s">
        <v>686</v>
      </c>
      <c r="C47" s="1115" t="s">
        <v>687</v>
      </c>
      <c r="D47" s="976" t="s">
        <v>688</v>
      </c>
      <c r="E47" s="1056" t="s">
        <v>689</v>
      </c>
      <c r="F47" s="1057"/>
      <c r="G47" s="720"/>
      <c r="I47" s="1412" t="s">
        <v>813</v>
      </c>
      <c r="J47" s="1413"/>
      <c r="K47" s="1414" t="s">
        <v>814</v>
      </c>
      <c r="L47" s="1415">
        <f ca="1">INDIRECT("'数据-取费表'!d"&amp;$G$1)</f>
        <v>0</v>
      </c>
      <c r="M47" s="1378" t="str">
        <f>IF(ISNUMBER(FIND("住宅",C1)),"住宅","非住宅")</f>
        <v>非住宅</v>
      </c>
      <c r="O47" s="1416" t="s">
        <v>403</v>
      </c>
      <c r="P47" s="1417" t="s">
        <v>815</v>
      </c>
      <c r="Q47" s="1418" t="e">
        <f ca="1">C40+J29</f>
        <v>#DIV/0!</v>
      </c>
      <c r="R47" s="1418" t="s">
        <v>816</v>
      </c>
    </row>
    <row r="48" spans="1:18" s="1382" customFormat="1" ht="40.200000000000003" thickBot="1">
      <c r="A48" s="1108" t="s">
        <v>438</v>
      </c>
      <c r="B48" s="300" t="s">
        <v>690</v>
      </c>
      <c r="C48" s="1357">
        <f ca="1">C49+C53+C55</f>
        <v>0</v>
      </c>
      <c r="D48" s="1110"/>
      <c r="E48" s="1111"/>
      <c r="F48" s="960"/>
      <c r="G48" s="720"/>
      <c r="H48" s="721"/>
      <c r="I48" s="1419" t="s">
        <v>817</v>
      </c>
      <c r="J48" s="1420"/>
      <c r="K48" s="1421" t="s">
        <v>818</v>
      </c>
      <c r="L48" s="1422">
        <f ca="1">INDIRECT("'数据-取费表'!f"&amp;$G$1)</f>
        <v>0</v>
      </c>
      <c r="O48" s="1416" t="s">
        <v>404</v>
      </c>
      <c r="P48" s="1417" t="s">
        <v>819</v>
      </c>
      <c r="Q48" s="1418" t="e">
        <f ca="1">J60</f>
        <v>#DIV/0!</v>
      </c>
      <c r="R48" s="1418" t="s">
        <v>820</v>
      </c>
    </row>
    <row r="49" spans="1:18" s="1382" customFormat="1" ht="13.8" thickBot="1">
      <c r="A49" s="973" t="s">
        <v>439</v>
      </c>
      <c r="B49" s="1369" t="s">
        <v>777</v>
      </c>
      <c r="C49" s="1112">
        <f ca="1">ROUND(F49*F51*F50*(1-F52)/10000,0)</f>
        <v>0</v>
      </c>
      <c r="D49" s="1053" t="s">
        <v>2105</v>
      </c>
      <c r="E49" s="1370" t="s">
        <v>778</v>
      </c>
      <c r="F49" s="1058"/>
      <c r="G49" s="1423"/>
      <c r="H49" s="721"/>
      <c r="I49" s="1419" t="s">
        <v>821</v>
      </c>
      <c r="J49" s="1424"/>
      <c r="K49" s="1421" t="s">
        <v>822</v>
      </c>
      <c r="L49" s="1425"/>
      <c r="O49" s="1426" t="s">
        <v>405</v>
      </c>
      <c r="P49" s="1417" t="s">
        <v>823</v>
      </c>
      <c r="Q49" s="1418">
        <f ca="1">C29</f>
        <v>0</v>
      </c>
      <c r="R49" s="1418" t="s">
        <v>816</v>
      </c>
    </row>
    <row r="50" spans="1:18" s="1382" customFormat="1" ht="13.8" thickBot="1">
      <c r="A50" s="974"/>
      <c r="B50" s="977"/>
      <c r="C50" s="1116"/>
      <c r="D50" s="951"/>
      <c r="E50" s="1054" t="s">
        <v>695</v>
      </c>
      <c r="F50" s="1055">
        <f ca="1">F7</f>
        <v>0</v>
      </c>
      <c r="H50" s="721"/>
      <c r="I50" s="1419" t="s">
        <v>824</v>
      </c>
      <c r="J50" s="1427">
        <f>SUMPRODUCT((I63:I65=J47)*(J62:L62=J48)*(J63:L65))</f>
        <v>0</v>
      </c>
      <c r="K50" s="1421" t="s">
        <v>825</v>
      </c>
      <c r="L50" s="1425"/>
      <c r="M50" s="1428"/>
      <c r="O50" s="1426" t="s">
        <v>406</v>
      </c>
      <c r="P50" s="1417" t="s">
        <v>826</v>
      </c>
      <c r="Q50" s="1429" t="e">
        <f ca="1">J58</f>
        <v>#DIV/0!</v>
      </c>
      <c r="R50" s="1418"/>
    </row>
    <row r="51" spans="1:18" s="1382" customFormat="1" ht="13.8" thickBot="1">
      <c r="A51" s="975"/>
      <c r="B51" s="977"/>
      <c r="C51" s="978"/>
      <c r="D51" s="951"/>
      <c r="E51" s="979" t="s">
        <v>696</v>
      </c>
      <c r="F51" s="303">
        <f ca="1">F8</f>
        <v>0</v>
      </c>
      <c r="I51" s="1430" t="s">
        <v>827</v>
      </c>
      <c r="J51" s="1431">
        <f>IF(J49="",J50,J49+J50-YEAR('数据-取费表'!B2))</f>
        <v>0</v>
      </c>
      <c r="K51" s="1432" t="s">
        <v>828</v>
      </c>
      <c r="L51" s="1433">
        <f ca="1">ROUND(-PV(INDIRECT("'数据-取费表'!h"&amp;$G$1),J51,(C39-C13*C76),0),0)</f>
        <v>0</v>
      </c>
      <c r="M51" s="1434"/>
      <c r="O51" s="1426" t="s">
        <v>407</v>
      </c>
      <c r="P51" s="1417" t="s">
        <v>829</v>
      </c>
      <c r="Q51" s="1429">
        <f>J52</f>
        <v>0</v>
      </c>
      <c r="R51" s="1418"/>
    </row>
    <row r="52" spans="1:18" s="1382" customFormat="1" ht="13.8" thickBot="1">
      <c r="A52" s="975"/>
      <c r="B52" s="977"/>
      <c r="C52" s="978"/>
      <c r="D52" s="951"/>
      <c r="E52" s="979" t="s">
        <v>697</v>
      </c>
      <c r="F52" s="1052"/>
      <c r="I52" s="1435" t="s">
        <v>830</v>
      </c>
      <c r="J52" s="1436"/>
      <c r="K52" s="1435" t="s">
        <v>831</v>
      </c>
      <c r="L52" s="1436"/>
      <c r="O52" s="1426" t="s">
        <v>408</v>
      </c>
      <c r="P52" s="1417" t="s">
        <v>832</v>
      </c>
      <c r="Q52" s="1418">
        <f ca="1">J53</f>
        <v>0</v>
      </c>
      <c r="R52" s="1418" t="s">
        <v>833</v>
      </c>
    </row>
    <row r="53" spans="1:18" s="1382" customFormat="1" ht="36.6" thickBot="1">
      <c r="A53" s="1150" t="s">
        <v>440</v>
      </c>
      <c r="B53" s="1371" t="s">
        <v>698</v>
      </c>
      <c r="C53" s="316">
        <f ca="1">ROUND(IF(F53="押一",C49/12*F11,IF(F53="押二",C49/12*2*F11,IF(F53="押三",C49/12*3*F11,C54*F11))),0)</f>
        <v>0</v>
      </c>
      <c r="D53" s="1364" t="s">
        <v>2111</v>
      </c>
      <c r="E53" s="313" t="s">
        <v>699</v>
      </c>
      <c r="F53" s="1114"/>
      <c r="I53" s="1437" t="s">
        <v>834</v>
      </c>
      <c r="J53" s="2166">
        <f ca="1">IF(M47="住宅",IF(D1="——",MAX(J51,L48),MAX(J51,L48-'数据-取费表'!B24)),IF(D1="——",MIN(J51,L48),MIN(J51,L48-'数据-取费表'!B24)))</f>
        <v>0</v>
      </c>
      <c r="K53" s="3701" t="s">
        <v>835</v>
      </c>
      <c r="L53" s="3702"/>
      <c r="O53" s="1416" t="s">
        <v>409</v>
      </c>
      <c r="P53" s="1417" t="s">
        <v>836</v>
      </c>
      <c r="Q53" s="1418" t="e">
        <f ca="1">Q47+Q48</f>
        <v>#DIV/0!</v>
      </c>
      <c r="R53" s="1418" t="s">
        <v>410</v>
      </c>
    </row>
    <row r="54" spans="1:18" s="1382" customFormat="1" ht="24.6" thickBot="1">
      <c r="A54" s="1151"/>
      <c r="B54" s="1365" t="s">
        <v>677</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837</v>
      </c>
      <c r="P54" s="1379"/>
      <c r="Q54" s="1379"/>
      <c r="R54" s="1379"/>
    </row>
    <row r="55" spans="1:18" s="1382" customFormat="1" ht="13.8" thickBot="1">
      <c r="A55" s="1081" t="s">
        <v>437</v>
      </c>
      <c r="B55" s="1367" t="s">
        <v>701</v>
      </c>
      <c r="C55" s="1082"/>
      <c r="D55" s="1364"/>
      <c r="E55" s="1372"/>
      <c r="F55" s="1438"/>
      <c r="I55" s="1441" t="s">
        <v>838</v>
      </c>
      <c r="J55" s="1442" t="e">
        <f ca="1">ROUND(IF(J47="钢混",J57/J50,1-(1-2%)*(J50-J57)/J50),3)</f>
        <v>#DIV/0!</v>
      </c>
      <c r="K55" s="1443" t="s">
        <v>839</v>
      </c>
      <c r="L55" s="1444"/>
      <c r="O55" s="1409" t="s">
        <v>809</v>
      </c>
      <c r="P55" s="1410" t="s">
        <v>810</v>
      </c>
      <c r="Q55" s="1411" t="s">
        <v>811</v>
      </c>
      <c r="R55" s="1411" t="s">
        <v>812</v>
      </c>
    </row>
    <row r="56" spans="1:18" s="1382" customFormat="1" ht="37.200000000000003" thickTop="1" thickBot="1">
      <c r="A56" s="955">
        <v>2</v>
      </c>
      <c r="B56" s="956" t="s">
        <v>702</v>
      </c>
      <c r="C56" s="232">
        <f ca="1">C13</f>
        <v>0</v>
      </c>
      <c r="D56" s="1445"/>
      <c r="E56" s="1446"/>
      <c r="F56" s="1438"/>
      <c r="I56" s="1447" t="s">
        <v>840</v>
      </c>
      <c r="J56" s="1448"/>
      <c r="K56" s="1419" t="s">
        <v>841</v>
      </c>
      <c r="L56" s="1422">
        <f ca="1">IF(L48&lt;J51,"——",L48-J53)</f>
        <v>0</v>
      </c>
      <c r="O56" s="1416" t="s">
        <v>403</v>
      </c>
      <c r="P56" s="1417" t="s">
        <v>815</v>
      </c>
      <c r="Q56" s="1418" t="e">
        <f ca="1">C40+J29</f>
        <v>#DIV/0!</v>
      </c>
      <c r="R56" s="1418" t="s">
        <v>816</v>
      </c>
    </row>
    <row r="57" spans="1:18" s="1382" customFormat="1" ht="24.6" thickBot="1">
      <c r="A57" s="1449"/>
      <c r="B57" s="948" t="s">
        <v>765</v>
      </c>
      <c r="C57" s="238">
        <f ca="1">C29</f>
        <v>0</v>
      </c>
      <c r="D57" s="1450"/>
      <c r="E57" s="1451"/>
      <c r="F57" s="1452"/>
      <c r="I57" s="1453" t="s">
        <v>842</v>
      </c>
      <c r="J57" s="1454">
        <f ca="1">IF(OR(M47="住宅",J51&lt;L48,J56="是"),"——",J51-L48)</f>
        <v>0</v>
      </c>
      <c r="K57" s="1419" t="s">
        <v>843</v>
      </c>
      <c r="L57" s="1422">
        <f ca="1">IF(L48&lt;J51,"——",IF(L55="比较法",L49,IF(L55="基准地价",L50,L51)))</f>
        <v>0</v>
      </c>
      <c r="O57" s="1416" t="s">
        <v>404</v>
      </c>
      <c r="P57" s="1417" t="s">
        <v>844</v>
      </c>
      <c r="Q57" s="1418" t="e">
        <f ca="1">L60</f>
        <v>#DIV/0!</v>
      </c>
      <c r="R57" s="1418" t="s">
        <v>845</v>
      </c>
    </row>
    <row r="58" spans="1:18" s="1382" customFormat="1" ht="24.6" thickBot="1">
      <c r="A58" s="315" t="s">
        <v>393</v>
      </c>
      <c r="B58" s="956" t="s">
        <v>712</v>
      </c>
      <c r="C58" s="316">
        <f ca="1">ROUND(C59+C64+C65+C66,0)</f>
        <v>0</v>
      </c>
      <c r="D58" s="958" t="s">
        <v>713</v>
      </c>
      <c r="E58" s="959"/>
      <c r="F58" s="960"/>
      <c r="I58" s="1453" t="s">
        <v>846</v>
      </c>
      <c r="J58" s="1455" t="e">
        <f ca="1">IF(J55&lt;0.4,0.4,J55)</f>
        <v>#DIV/0!</v>
      </c>
      <c r="K58" s="1432" t="s">
        <v>847</v>
      </c>
      <c r="L58" s="1422" t="e">
        <f ca="1">ROUND(POWER(1+L52,L47-L48)*(POWER(1+L52,L48)-1)/(POWER(1+L52,L47)-1),4)</f>
        <v>#DIV/0!</v>
      </c>
      <c r="O58" s="1426" t="s">
        <v>405</v>
      </c>
      <c r="P58" s="1417" t="s">
        <v>848</v>
      </c>
      <c r="Q58" s="1418">
        <f>IF(L55="比较法",L49,IF(L55="基准地价",L50,0))</f>
        <v>0</v>
      </c>
      <c r="R58" s="1418" t="s">
        <v>816</v>
      </c>
    </row>
    <row r="59" spans="1:18" s="1382" customFormat="1" ht="24.6" thickBot="1">
      <c r="A59" s="980" t="s">
        <v>398</v>
      </c>
      <c r="B59" s="948" t="s">
        <v>717</v>
      </c>
      <c r="C59" s="2314">
        <f ca="1">ROUND(IF(AND(项目基本情况!B11="自然人",项目基本情况!B10="北京市"),C49*F59/(1+'数据-取费表'!C42),C60+C61+C62),0)</f>
        <v>0</v>
      </c>
      <c r="D59" s="961" t="s">
        <v>718</v>
      </c>
      <c r="E59" s="962" t="s">
        <v>719</v>
      </c>
      <c r="F59" s="2313" t="str">
        <f>IF(项目基本情况!B11="企业","——",IF('数据-取费表'!B10="住宅",IF(F49*F50*F51/12/(1+'数据-取费表'!F30)&gt;100000,4%,2.5%),IF(F49*F50*F51/12/(1+'数据-取费表'!F30)&gt;100000,12%,7%)))</f>
        <v>——</v>
      </c>
      <c r="I59" s="1453" t="s">
        <v>849</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850</v>
      </c>
      <c r="Q59" s="1429">
        <f>L52</f>
        <v>0</v>
      </c>
      <c r="R59" s="1418"/>
    </row>
    <row r="60" spans="1:18" s="1382" customFormat="1" ht="16.2" thickBot="1">
      <c r="A60" s="980" t="s">
        <v>397</v>
      </c>
      <c r="B60" s="948" t="s">
        <v>721</v>
      </c>
      <c r="C60" s="21">
        <f ca="1">IF(项目基本情况!B11="自然人","——",ROUND(C48*F60/(1+'数据-取费表'!C42),2))</f>
        <v>0</v>
      </c>
      <c r="D60" s="962" t="s">
        <v>722</v>
      </c>
      <c r="E60" s="948" t="s">
        <v>710</v>
      </c>
      <c r="F60" s="331">
        <f t="shared" ref="F60:F66" si="0">F32</f>
        <v>5.6000000000000001E-2</v>
      </c>
      <c r="I60" s="1456" t="s">
        <v>851</v>
      </c>
      <c r="J60" s="1457" t="e">
        <f ca="1">IF(OR(M47="住宅",J51&lt;L48,J56="是"),"0",ROUND(J59/(1+J52)^J53,0))</f>
        <v>#DIV/0!</v>
      </c>
      <c r="K60" s="1458" t="s">
        <v>852</v>
      </c>
      <c r="L60" s="1457" t="e">
        <f ca="1">IF(OR(M47="住宅",L48&lt;J51),0,ROUND(L57*(L58/L59-1),0))</f>
        <v>#DIV/0!</v>
      </c>
      <c r="O60" s="1426" t="s">
        <v>407</v>
      </c>
      <c r="P60" s="1417" t="s">
        <v>853</v>
      </c>
      <c r="Q60" s="1418" t="e">
        <f ca="1">L58</f>
        <v>#DIV/0!</v>
      </c>
      <c r="R60" s="1418" t="s">
        <v>854</v>
      </c>
    </row>
    <row r="61" spans="1:18" s="1382" customFormat="1" ht="13.8" thickBot="1">
      <c r="A61" s="980" t="s">
        <v>779</v>
      </c>
      <c r="B61" s="948" t="s">
        <v>780</v>
      </c>
      <c r="C61" s="21">
        <f ca="1">IF(项目基本情况!B11="自然人","——",IF(D61="按租金收入计税",ROUND(C49*F61/(1+'数据-取费表'!C42),2),IF(D61="按房产原值计税",ROUND(C57*F61*0.7,2),INDIRECT("'数据-取费表'!Aj"&amp;$G$1))))</f>
        <v>0</v>
      </c>
      <c r="D61" s="1368" t="s">
        <v>3334</v>
      </c>
      <c r="E61" s="948" t="s">
        <v>781</v>
      </c>
      <c r="F61" s="322">
        <f t="shared" si="0"/>
        <v>0.12</v>
      </c>
      <c r="I61" s="1459"/>
      <c r="J61" s="1459"/>
      <c r="K61" s="1459"/>
      <c r="L61" s="1459"/>
      <c r="O61" s="1426" t="s">
        <v>408</v>
      </c>
      <c r="P61" s="1417" t="str">
        <f>K59</f>
        <v>建筑物剩余耐用年限下的土地年期修正系数Kn</v>
      </c>
      <c r="Q61" s="1418" t="e">
        <f ca="1">L59</f>
        <v>#DIV/0!</v>
      </c>
      <c r="R61" s="1418" t="s">
        <v>855</v>
      </c>
    </row>
    <row r="62" spans="1:18" s="1382" customFormat="1" ht="13.8" thickBot="1">
      <c r="A62" s="980" t="s">
        <v>782</v>
      </c>
      <c r="B62" s="947" t="s">
        <v>783</v>
      </c>
      <c r="C62" s="22">
        <f ca="1">IF(项目基本情况!B11="自然人","——",ROUND(F62*F63/10000,2))</f>
        <v>0</v>
      </c>
      <c r="D62" s="963" t="s">
        <v>784</v>
      </c>
      <c r="E62" s="948" t="s">
        <v>785</v>
      </c>
      <c r="F62" s="325">
        <f t="shared" si="0"/>
        <v>1.5</v>
      </c>
      <c r="I62" s="1460" t="s">
        <v>856</v>
      </c>
      <c r="J62" s="1461" t="s">
        <v>857</v>
      </c>
      <c r="K62" s="1461" t="s">
        <v>858</v>
      </c>
      <c r="L62" s="1461" t="s">
        <v>859</v>
      </c>
      <c r="M62" s="1462" t="s">
        <v>860</v>
      </c>
      <c r="O62" s="1416" t="s">
        <v>409</v>
      </c>
      <c r="P62" s="1417" t="s">
        <v>861</v>
      </c>
      <c r="Q62" s="1418" t="e">
        <f ca="1">Q56+Q57</f>
        <v>#DIV/0!</v>
      </c>
      <c r="R62" s="1418" t="s">
        <v>410</v>
      </c>
    </row>
    <row r="63" spans="1:18" s="1382" customFormat="1" ht="13.8" thickBot="1">
      <c r="A63" s="326"/>
      <c r="B63" s="954"/>
      <c r="C63" s="26"/>
      <c r="D63" s="964"/>
      <c r="E63" s="948" t="s">
        <v>786</v>
      </c>
      <c r="F63" s="303">
        <f t="shared" ca="1" si="0"/>
        <v>0</v>
      </c>
      <c r="I63" s="1460" t="s">
        <v>862</v>
      </c>
      <c r="J63" s="1461">
        <v>70</v>
      </c>
      <c r="K63" s="1461">
        <v>50</v>
      </c>
      <c r="L63" s="1461">
        <v>80</v>
      </c>
      <c r="M63" s="1463">
        <v>0.02</v>
      </c>
      <c r="O63" s="1401" t="s">
        <v>863</v>
      </c>
      <c r="P63" s="1379"/>
      <c r="Q63" s="1379"/>
      <c r="R63" s="1379"/>
    </row>
    <row r="64" spans="1:18" s="1382" customFormat="1" ht="13.8" thickBot="1">
      <c r="A64" s="980" t="s">
        <v>787</v>
      </c>
      <c r="B64" s="948" t="s">
        <v>788</v>
      </c>
      <c r="C64" s="21">
        <f ca="1">ROUND(C57*F64,2)</f>
        <v>0</v>
      </c>
      <c r="D64" s="962" t="s">
        <v>789</v>
      </c>
      <c r="E64" s="948" t="s">
        <v>781</v>
      </c>
      <c r="F64" s="328">
        <f t="shared" ca="1" si="0"/>
        <v>0</v>
      </c>
      <c r="I64" s="1460" t="s">
        <v>864</v>
      </c>
      <c r="J64" s="1461">
        <v>50</v>
      </c>
      <c r="K64" s="1461">
        <v>35</v>
      </c>
      <c r="L64" s="1461">
        <v>60</v>
      </c>
      <c r="M64" s="1462">
        <v>0</v>
      </c>
      <c r="O64" s="1409" t="s">
        <v>809</v>
      </c>
      <c r="P64" s="1410" t="s">
        <v>810</v>
      </c>
      <c r="Q64" s="1411" t="s">
        <v>811</v>
      </c>
      <c r="R64" s="1411" t="s">
        <v>812</v>
      </c>
    </row>
    <row r="65" spans="1:18" s="1382" customFormat="1" ht="13.8" thickBot="1">
      <c r="A65" s="980" t="s">
        <v>790</v>
      </c>
      <c r="B65" s="948" t="s">
        <v>740</v>
      </c>
      <c r="C65" s="21">
        <f ca="1">ROUND(C56*F65,2)</f>
        <v>0</v>
      </c>
      <c r="D65" s="962" t="s">
        <v>741</v>
      </c>
      <c r="E65" s="948" t="s">
        <v>742</v>
      </c>
      <c r="F65" s="330">
        <f t="shared" ca="1" si="0"/>
        <v>0</v>
      </c>
      <c r="I65" s="1460" t="s">
        <v>865</v>
      </c>
      <c r="J65" s="1461">
        <v>40</v>
      </c>
      <c r="K65" s="1461">
        <v>30</v>
      </c>
      <c r="L65" s="1461">
        <v>50</v>
      </c>
      <c r="M65" s="1463">
        <v>0.02</v>
      </c>
      <c r="O65" s="1416" t="s">
        <v>403</v>
      </c>
      <c r="P65" s="1417" t="s">
        <v>866</v>
      </c>
      <c r="Q65" s="1418" t="e">
        <f ca="1">C40+J29</f>
        <v>#DIV/0!</v>
      </c>
      <c r="R65" s="1418" t="s">
        <v>816</v>
      </c>
    </row>
    <row r="66" spans="1:18" s="1382" customFormat="1" ht="16.2" thickBot="1">
      <c r="A66" s="980" t="s">
        <v>791</v>
      </c>
      <c r="B66" s="948" t="s">
        <v>726</v>
      </c>
      <c r="C66" s="21">
        <f ca="1">ROUND(C48*F66,2)</f>
        <v>0</v>
      </c>
      <c r="D66" s="962" t="s">
        <v>792</v>
      </c>
      <c r="E66" s="948" t="s">
        <v>710</v>
      </c>
      <c r="F66" s="312">
        <f t="shared" ca="1" si="0"/>
        <v>0</v>
      </c>
      <c r="O66" s="1416" t="s">
        <v>404</v>
      </c>
      <c r="P66" s="1417" t="s">
        <v>844</v>
      </c>
      <c r="Q66" s="1418" t="e">
        <f ca="1">L60</f>
        <v>#DIV/0!</v>
      </c>
      <c r="R66" s="1418" t="s">
        <v>867</v>
      </c>
    </row>
    <row r="67" spans="1:18" s="1382" customFormat="1" ht="24.6" thickBot="1">
      <c r="A67" s="955" t="s">
        <v>394</v>
      </c>
      <c r="B67" s="965" t="s">
        <v>750</v>
      </c>
      <c r="C67" s="316">
        <f ca="1">C48-C58</f>
        <v>0</v>
      </c>
      <c r="D67" s="961" t="s">
        <v>751</v>
      </c>
      <c r="E67" s="966"/>
      <c r="F67" s="967"/>
      <c r="O67" s="1426" t="s">
        <v>405</v>
      </c>
      <c r="P67" s="1417" t="s">
        <v>848</v>
      </c>
      <c r="Q67" s="1464">
        <f ca="1">L51</f>
        <v>0</v>
      </c>
      <c r="R67" s="1418" t="s">
        <v>868</v>
      </c>
    </row>
    <row r="68" spans="1:18" s="1382" customFormat="1" ht="16.2" thickBot="1">
      <c r="A68" s="945" t="s">
        <v>395</v>
      </c>
      <c r="B68" s="946" t="s">
        <v>772</v>
      </c>
      <c r="C68" s="301" t="e">
        <f ca="1">ROUND(C67*(1-((1+F70)/(1+F68))^F69)/(F68-F70),0)</f>
        <v>#DIV/0!</v>
      </c>
      <c r="D68" s="963" t="s">
        <v>756</v>
      </c>
      <c r="E68" s="948" t="s">
        <v>757</v>
      </c>
      <c r="F68" s="312">
        <f ca="1">F40</f>
        <v>0</v>
      </c>
      <c r="O68" s="1426" t="s">
        <v>406</v>
      </c>
      <c r="P68" s="1465" t="s">
        <v>869</v>
      </c>
      <c r="Q68" s="1418">
        <f ca="1">ROUND(Q69-Q70*Q71,0)</f>
        <v>0</v>
      </c>
      <c r="R68" s="1418" t="s">
        <v>414</v>
      </c>
    </row>
    <row r="69" spans="1:18" s="1382" customFormat="1" ht="13.8" thickBot="1">
      <c r="A69" s="949"/>
      <c r="B69" s="950"/>
      <c r="C69" s="306"/>
      <c r="D69" s="968" t="s">
        <v>760</v>
      </c>
      <c r="E69" s="948" t="s">
        <v>761</v>
      </c>
      <c r="F69" s="333">
        <f ca="1">F41</f>
        <v>0</v>
      </c>
      <c r="O69" s="1426" t="s">
        <v>411</v>
      </c>
      <c r="P69" s="1465" t="s">
        <v>870</v>
      </c>
      <c r="Q69" s="1418">
        <f ca="1">C39</f>
        <v>0</v>
      </c>
      <c r="R69" s="1418" t="s">
        <v>816</v>
      </c>
    </row>
    <row r="70" spans="1:18" s="1382" customFormat="1" ht="13.8" thickBot="1">
      <c r="A70" s="952"/>
      <c r="B70" s="953"/>
      <c r="C70" s="310"/>
      <c r="D70" s="964"/>
      <c r="E70" s="948" t="s">
        <v>764</v>
      </c>
      <c r="F70" s="1052"/>
      <c r="O70" s="1426" t="s">
        <v>412</v>
      </c>
      <c r="P70" s="1465" t="s">
        <v>871</v>
      </c>
      <c r="Q70" s="1418">
        <f ca="1">C13</f>
        <v>0</v>
      </c>
      <c r="R70" s="1418" t="s">
        <v>816</v>
      </c>
    </row>
    <row r="71" spans="1:18" s="1382" customFormat="1" ht="13.8" thickBot="1">
      <c r="A71" s="969" t="s">
        <v>396</v>
      </c>
      <c r="B71" s="970" t="s">
        <v>774</v>
      </c>
      <c r="C71" s="336" t="e">
        <f ca="1">ROUND(C68*10000/F71,0)</f>
        <v>#DIV/0!</v>
      </c>
      <c r="D71" s="971" t="s">
        <v>775</v>
      </c>
      <c r="E71" s="972" t="s">
        <v>776</v>
      </c>
      <c r="F71" s="339">
        <f ca="1">F43</f>
        <v>0</v>
      </c>
      <c r="O71" s="1426" t="s">
        <v>413</v>
      </c>
      <c r="P71" s="1465" t="s">
        <v>872</v>
      </c>
      <c r="Q71" s="1429">
        <f ca="1">C76</f>
        <v>0</v>
      </c>
      <c r="R71" s="1418"/>
    </row>
    <row r="72" spans="1:18" s="1382" customFormat="1" ht="13.8" thickBot="1">
      <c r="B72" s="724"/>
      <c r="C72" s="724"/>
      <c r="O72" s="1426" t="s">
        <v>407</v>
      </c>
      <c r="P72" s="1417" t="s">
        <v>850</v>
      </c>
      <c r="Q72" s="1429">
        <f>L52</f>
        <v>0</v>
      </c>
      <c r="R72" s="1418"/>
    </row>
    <row r="73" spans="1:18" ht="16.2" thickBot="1">
      <c r="A73" s="1382"/>
      <c r="B73" s="724"/>
      <c r="C73" s="724"/>
      <c r="D73" s="1382"/>
      <c r="E73" s="1382"/>
      <c r="F73" s="1382"/>
      <c r="O73" s="1426" t="s">
        <v>408</v>
      </c>
      <c r="P73" s="1417" t="s">
        <v>853</v>
      </c>
      <c r="Q73" s="1418" t="e">
        <f ca="1">L58</f>
        <v>#DIV/0!</v>
      </c>
      <c r="R73" s="1418" t="s">
        <v>854</v>
      </c>
    </row>
    <row r="74" spans="1:18" ht="13.8" thickBot="1">
      <c r="A74" s="1382"/>
      <c r="B74" s="273" t="s">
        <v>873</v>
      </c>
      <c r="C74" s="1467"/>
      <c r="D74" s="1382"/>
      <c r="E74" s="1382"/>
      <c r="F74" s="1382"/>
      <c r="O74" s="1426" t="s">
        <v>415</v>
      </c>
      <c r="P74" s="1417" t="str">
        <f>K59</f>
        <v>建筑物剩余耐用年限下的土地年期修正系数Kn</v>
      </c>
      <c r="Q74" s="1418" t="e">
        <f ca="1">L59</f>
        <v>#DIV/0!</v>
      </c>
      <c r="R74" s="1418" t="s">
        <v>855</v>
      </c>
    </row>
    <row r="75" spans="1:18" ht="13.8" thickBot="1">
      <c r="A75" s="1382"/>
      <c r="B75" s="340" t="s">
        <v>793</v>
      </c>
      <c r="C75" s="341">
        <f ca="1">ROUND(C13*C76,0)</f>
        <v>0</v>
      </c>
      <c r="D75" s="1382"/>
      <c r="E75" s="1382"/>
      <c r="F75" s="1382"/>
      <c r="K75" s="1400"/>
      <c r="L75" s="1382"/>
      <c r="O75" s="1416" t="s">
        <v>409</v>
      </c>
      <c r="P75" s="1417" t="s">
        <v>836</v>
      </c>
      <c r="Q75" s="1418" t="e">
        <f ca="1">Q65+Q66</f>
        <v>#DIV/0!</v>
      </c>
      <c r="R75" s="1418" t="s">
        <v>410</v>
      </c>
    </row>
    <row r="76" spans="1:18">
      <c r="B76" s="342" t="s">
        <v>794</v>
      </c>
      <c r="C76" s="343">
        <f ca="1">INDIRECT("'数据-取费表'!j"&amp;$G$1)</f>
        <v>0</v>
      </c>
      <c r="I76" s="1382"/>
      <c r="J76" s="1382"/>
      <c r="K76" s="1400"/>
      <c r="L76" s="1382"/>
    </row>
    <row r="77" spans="1:18">
      <c r="B77" s="344" t="s">
        <v>795</v>
      </c>
      <c r="C77" s="345"/>
      <c r="I77" s="1382"/>
      <c r="J77" s="1382"/>
      <c r="K77" s="1400"/>
      <c r="L77" s="1382"/>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1" priority="56">
      <formula>$L$48&gt;$J$51</formula>
    </cfRule>
  </conditionalFormatting>
  <conditionalFormatting sqref="I55 I60">
    <cfRule type="expression" dxfId="200" priority="57">
      <formula>$J$51&gt;$L$48</formula>
    </cfRule>
  </conditionalFormatting>
  <conditionalFormatting sqref="C11">
    <cfRule type="expression" dxfId="199" priority="3">
      <formula>$F$10="自定义"</formula>
    </cfRule>
  </conditionalFormatting>
  <conditionalFormatting sqref="J11">
    <cfRule type="expression" dxfId="198" priority="2">
      <formula>$M$10="自定义"</formula>
    </cfRule>
  </conditionalFormatting>
  <conditionalFormatting sqref="C54">
    <cfRule type="expression" dxfId="1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8:L84"/>
  <sheetViews>
    <sheetView topLeftCell="A52" workbookViewId="0">
      <selection activeCell="K96" sqref="K96"/>
    </sheetView>
  </sheetViews>
  <sheetFormatPr defaultRowHeight="14.4"/>
  <cols>
    <col min="1" max="1" width="13.44140625" customWidth="1"/>
    <col min="7" max="7" width="15.109375" customWidth="1"/>
  </cols>
  <sheetData>
    <row r="48" spans="1:2">
      <c r="A48" s="3446" t="s">
        <v>3499</v>
      </c>
      <c r="B48" s="3446" t="s">
        <v>3500</v>
      </c>
    </row>
    <row r="49" spans="1:12">
      <c r="A49" t="s">
        <v>3425</v>
      </c>
      <c r="B49" t="s">
        <v>3426</v>
      </c>
      <c r="C49" t="s">
        <v>3427</v>
      </c>
      <c r="D49" t="s">
        <v>3428</v>
      </c>
      <c r="E49" t="s">
        <v>3429</v>
      </c>
      <c r="F49" t="s">
        <v>3430</v>
      </c>
      <c r="G49" t="s">
        <v>3431</v>
      </c>
      <c r="H49" t="s">
        <v>3432</v>
      </c>
      <c r="I49" t="s">
        <v>3433</v>
      </c>
      <c r="J49" t="s">
        <v>3434</v>
      </c>
      <c r="K49" t="s">
        <v>3435</v>
      </c>
      <c r="L49" t="s">
        <v>3436</v>
      </c>
    </row>
    <row r="50" spans="1:12">
      <c r="A50" s="3451">
        <v>45432</v>
      </c>
      <c r="B50" t="s">
        <v>3437</v>
      </c>
      <c r="C50" t="s">
        <v>633</v>
      </c>
      <c r="D50" t="s">
        <v>633</v>
      </c>
      <c r="E50">
        <v>1</v>
      </c>
      <c r="F50">
        <v>104</v>
      </c>
      <c r="G50" t="s">
        <v>3438</v>
      </c>
      <c r="H50" t="s">
        <v>671</v>
      </c>
      <c r="I50" t="s">
        <v>3439</v>
      </c>
      <c r="J50">
        <v>96.65</v>
      </c>
      <c r="K50">
        <v>125.65</v>
      </c>
      <c r="L50">
        <v>13000</v>
      </c>
    </row>
    <row r="51" spans="1:12">
      <c r="A51" s="3451">
        <v>45432</v>
      </c>
      <c r="B51" t="s">
        <v>3437</v>
      </c>
      <c r="C51" t="s">
        <v>633</v>
      </c>
      <c r="D51" t="s">
        <v>633</v>
      </c>
      <c r="E51">
        <v>1</v>
      </c>
      <c r="F51">
        <v>108</v>
      </c>
      <c r="G51" t="s">
        <v>3438</v>
      </c>
      <c r="H51" t="s">
        <v>671</v>
      </c>
      <c r="I51" t="s">
        <v>3439</v>
      </c>
      <c r="J51">
        <v>215.68</v>
      </c>
      <c r="K51">
        <v>280.38</v>
      </c>
      <c r="L51">
        <v>13000</v>
      </c>
    </row>
    <row r="52" spans="1:12">
      <c r="A52" s="3451">
        <v>45432</v>
      </c>
      <c r="B52" t="s">
        <v>3437</v>
      </c>
      <c r="C52" t="s">
        <v>633</v>
      </c>
      <c r="D52" t="s">
        <v>633</v>
      </c>
      <c r="E52">
        <v>1</v>
      </c>
      <c r="F52">
        <v>112</v>
      </c>
      <c r="G52" t="s">
        <v>3438</v>
      </c>
      <c r="H52" t="s">
        <v>671</v>
      </c>
      <c r="I52" t="s">
        <v>3439</v>
      </c>
      <c r="J52">
        <v>134.28</v>
      </c>
      <c r="K52">
        <v>174.56</v>
      </c>
      <c r="L52">
        <v>13000</v>
      </c>
    </row>
    <row r="53" spans="1:12">
      <c r="A53" s="3451">
        <v>45432</v>
      </c>
      <c r="B53" t="s">
        <v>3437</v>
      </c>
      <c r="C53" t="s">
        <v>633</v>
      </c>
      <c r="D53" t="s">
        <v>633</v>
      </c>
      <c r="E53">
        <v>1</v>
      </c>
      <c r="F53">
        <v>105</v>
      </c>
      <c r="G53" t="s">
        <v>3444</v>
      </c>
      <c r="H53" t="s">
        <v>671</v>
      </c>
      <c r="I53" t="s">
        <v>3439</v>
      </c>
      <c r="J53">
        <v>105.04</v>
      </c>
      <c r="K53">
        <v>136.55000000000001</v>
      </c>
      <c r="L53">
        <v>13000</v>
      </c>
    </row>
    <row r="54" spans="1:12">
      <c r="A54" s="3451">
        <v>45432</v>
      </c>
      <c r="B54" t="s">
        <v>3466</v>
      </c>
      <c r="C54" t="s">
        <v>633</v>
      </c>
      <c r="D54" t="s">
        <v>633</v>
      </c>
      <c r="E54">
        <v>1</v>
      </c>
      <c r="F54">
        <v>105</v>
      </c>
      <c r="G54" t="s">
        <v>3467</v>
      </c>
      <c r="H54" t="s">
        <v>671</v>
      </c>
      <c r="I54" t="s">
        <v>3439</v>
      </c>
      <c r="J54">
        <v>110.75</v>
      </c>
      <c r="K54">
        <v>143.97999999999999</v>
      </c>
      <c r="L54">
        <v>13000</v>
      </c>
    </row>
    <row r="55" spans="1:12">
      <c r="A55" s="3451">
        <v>45432</v>
      </c>
      <c r="B55" t="s">
        <v>3437</v>
      </c>
      <c r="C55" t="s">
        <v>633</v>
      </c>
      <c r="D55" t="s">
        <v>633</v>
      </c>
      <c r="E55">
        <v>1</v>
      </c>
      <c r="F55">
        <v>106</v>
      </c>
      <c r="G55" t="s">
        <v>3444</v>
      </c>
      <c r="H55" t="s">
        <v>671</v>
      </c>
      <c r="I55" t="s">
        <v>3439</v>
      </c>
      <c r="J55">
        <v>101.89</v>
      </c>
      <c r="K55">
        <v>132.46</v>
      </c>
      <c r="L55">
        <v>13000</v>
      </c>
    </row>
    <row r="56" spans="1:12">
      <c r="A56" s="3451">
        <v>45377</v>
      </c>
      <c r="B56" t="s">
        <v>3437</v>
      </c>
      <c r="C56" t="s">
        <v>633</v>
      </c>
      <c r="D56" t="s">
        <v>633</v>
      </c>
      <c r="E56">
        <v>2</v>
      </c>
      <c r="F56">
        <v>205</v>
      </c>
      <c r="G56" t="s">
        <v>3438</v>
      </c>
      <c r="H56" t="s">
        <v>671</v>
      </c>
      <c r="I56" t="s">
        <v>3439</v>
      </c>
      <c r="J56">
        <v>59.73</v>
      </c>
      <c r="K56">
        <v>77.650000000000006</v>
      </c>
      <c r="L56">
        <v>13000</v>
      </c>
    </row>
    <row r="57" spans="1:12">
      <c r="A57" s="3451">
        <v>45363</v>
      </c>
      <c r="B57" t="s">
        <v>3437</v>
      </c>
      <c r="C57" t="s">
        <v>633</v>
      </c>
      <c r="D57" t="s">
        <v>633</v>
      </c>
      <c r="E57">
        <v>2</v>
      </c>
      <c r="F57">
        <v>201</v>
      </c>
      <c r="G57" t="s">
        <v>3438</v>
      </c>
      <c r="H57" t="s">
        <v>671</v>
      </c>
      <c r="I57" t="s">
        <v>3439</v>
      </c>
      <c r="J57">
        <v>73.209999999999994</v>
      </c>
      <c r="K57">
        <v>95.17</v>
      </c>
      <c r="L57">
        <v>13000</v>
      </c>
    </row>
    <row r="58" spans="1:12">
      <c r="A58" s="3451">
        <v>45325</v>
      </c>
      <c r="B58" t="s">
        <v>3437</v>
      </c>
      <c r="C58" t="s">
        <v>633</v>
      </c>
      <c r="D58" t="s">
        <v>633</v>
      </c>
      <c r="E58">
        <v>2</v>
      </c>
      <c r="F58">
        <v>202</v>
      </c>
      <c r="G58" t="s">
        <v>3438</v>
      </c>
      <c r="H58" t="s">
        <v>671</v>
      </c>
      <c r="I58" t="s">
        <v>3439</v>
      </c>
      <c r="J58">
        <v>49.04</v>
      </c>
      <c r="K58">
        <v>63.75</v>
      </c>
      <c r="L58">
        <v>13000</v>
      </c>
    </row>
    <row r="59" spans="1:12">
      <c r="A59" s="3451">
        <v>45325</v>
      </c>
      <c r="B59" t="s">
        <v>3437</v>
      </c>
      <c r="C59" t="s">
        <v>633</v>
      </c>
      <c r="D59" t="s">
        <v>633</v>
      </c>
      <c r="E59">
        <v>2</v>
      </c>
      <c r="F59">
        <v>205</v>
      </c>
      <c r="G59" t="s">
        <v>3468</v>
      </c>
      <c r="H59" t="s">
        <v>671</v>
      </c>
      <c r="I59" t="s">
        <v>3439</v>
      </c>
      <c r="J59">
        <v>178.03</v>
      </c>
      <c r="K59">
        <v>231.44</v>
      </c>
      <c r="L59">
        <v>13000</v>
      </c>
    </row>
    <row r="60" spans="1:12">
      <c r="A60" s="3451">
        <v>45325</v>
      </c>
      <c r="B60" t="s">
        <v>3437</v>
      </c>
      <c r="C60" t="s">
        <v>633</v>
      </c>
      <c r="D60" t="s">
        <v>633</v>
      </c>
      <c r="E60">
        <v>1</v>
      </c>
      <c r="F60">
        <v>101</v>
      </c>
      <c r="G60" t="s">
        <v>3444</v>
      </c>
      <c r="H60" t="s">
        <v>671</v>
      </c>
      <c r="I60" t="s">
        <v>3439</v>
      </c>
      <c r="J60">
        <v>229.16</v>
      </c>
      <c r="K60">
        <v>297.91000000000003</v>
      </c>
      <c r="L60">
        <v>13000</v>
      </c>
    </row>
    <row r="61" spans="1:12">
      <c r="A61" s="3451">
        <v>45325</v>
      </c>
      <c r="B61" t="s">
        <v>3437</v>
      </c>
      <c r="C61" t="s">
        <v>633</v>
      </c>
      <c r="D61" t="s">
        <v>633</v>
      </c>
      <c r="E61">
        <v>2</v>
      </c>
      <c r="F61">
        <v>204</v>
      </c>
      <c r="G61" t="s">
        <v>3468</v>
      </c>
      <c r="H61" t="s">
        <v>671</v>
      </c>
      <c r="I61" t="s">
        <v>3439</v>
      </c>
      <c r="J61">
        <v>213.41</v>
      </c>
      <c r="K61">
        <v>277.43</v>
      </c>
      <c r="L61">
        <v>13000</v>
      </c>
    </row>
    <row r="62" spans="1:12">
      <c r="A62" s="3451">
        <v>45325</v>
      </c>
      <c r="B62" t="s">
        <v>3466</v>
      </c>
      <c r="C62" t="s">
        <v>633</v>
      </c>
      <c r="D62" t="s">
        <v>633</v>
      </c>
      <c r="E62">
        <v>2</v>
      </c>
      <c r="F62">
        <v>205</v>
      </c>
      <c r="G62" t="s">
        <v>3467</v>
      </c>
      <c r="H62" t="s">
        <v>671</v>
      </c>
      <c r="I62" t="s">
        <v>3439</v>
      </c>
      <c r="J62">
        <v>127.8</v>
      </c>
      <c r="K62">
        <v>166.14</v>
      </c>
      <c r="L62">
        <v>13000</v>
      </c>
    </row>
    <row r="63" spans="1:12">
      <c r="A63" s="3458">
        <v>45325</v>
      </c>
      <c r="B63" s="3459" t="s">
        <v>3437</v>
      </c>
      <c r="C63" s="3459" t="s">
        <v>633</v>
      </c>
      <c r="D63" s="3459" t="s">
        <v>633</v>
      </c>
      <c r="E63" s="3459">
        <v>2</v>
      </c>
      <c r="F63" s="3459">
        <v>201</v>
      </c>
      <c r="G63" s="3459" t="s">
        <v>3468</v>
      </c>
      <c r="H63" s="3459" t="s">
        <v>671</v>
      </c>
      <c r="I63" s="3459" t="s">
        <v>3439</v>
      </c>
      <c r="J63" s="3459">
        <v>132.83000000000001</v>
      </c>
      <c r="K63" s="3459">
        <v>172.68</v>
      </c>
      <c r="L63" s="3459">
        <v>13000</v>
      </c>
    </row>
    <row r="64" spans="1:12">
      <c r="A64" s="3451">
        <v>45325</v>
      </c>
      <c r="B64" t="s">
        <v>3437</v>
      </c>
      <c r="C64" t="s">
        <v>633</v>
      </c>
      <c r="D64" t="s">
        <v>633</v>
      </c>
      <c r="E64">
        <v>1</v>
      </c>
      <c r="F64">
        <v>101</v>
      </c>
      <c r="G64" t="s">
        <v>3468</v>
      </c>
      <c r="H64" t="s">
        <v>671</v>
      </c>
      <c r="I64" t="s">
        <v>3439</v>
      </c>
      <c r="J64">
        <v>100.01</v>
      </c>
      <c r="K64">
        <v>130.01</v>
      </c>
      <c r="L64">
        <v>13000</v>
      </c>
    </row>
    <row r="65" spans="1:12">
      <c r="A65" s="3451">
        <v>44676</v>
      </c>
      <c r="B65" t="s">
        <v>3437</v>
      </c>
      <c r="C65" t="s">
        <v>633</v>
      </c>
      <c r="D65" t="s">
        <v>633</v>
      </c>
      <c r="E65">
        <v>-1</v>
      </c>
      <c r="F65">
        <v>-112</v>
      </c>
      <c r="G65" t="s">
        <v>3438</v>
      </c>
      <c r="H65" t="s">
        <v>671</v>
      </c>
      <c r="I65" t="s">
        <v>3439</v>
      </c>
      <c r="J65">
        <v>127.85</v>
      </c>
      <c r="K65">
        <v>38.36</v>
      </c>
      <c r="L65">
        <v>3000</v>
      </c>
    </row>
    <row r="66" spans="1:12">
      <c r="A66" s="3451">
        <v>44676</v>
      </c>
      <c r="B66" t="s">
        <v>3437</v>
      </c>
      <c r="C66" t="s">
        <v>633</v>
      </c>
      <c r="D66" t="s">
        <v>633</v>
      </c>
      <c r="E66">
        <v>-1</v>
      </c>
      <c r="F66">
        <v>-110</v>
      </c>
      <c r="G66" t="s">
        <v>3438</v>
      </c>
      <c r="H66" t="s">
        <v>671</v>
      </c>
      <c r="I66" t="s">
        <v>3439</v>
      </c>
      <c r="J66">
        <v>103.1</v>
      </c>
      <c r="K66">
        <v>30.93</v>
      </c>
      <c r="L66">
        <v>3000</v>
      </c>
    </row>
    <row r="67" spans="1:12">
      <c r="A67" s="3451">
        <v>44676</v>
      </c>
      <c r="B67" t="s">
        <v>3437</v>
      </c>
      <c r="C67" t="s">
        <v>633</v>
      </c>
      <c r="D67" t="s">
        <v>633</v>
      </c>
      <c r="E67">
        <v>-1</v>
      </c>
      <c r="F67">
        <v>-111</v>
      </c>
      <c r="G67" t="s">
        <v>3438</v>
      </c>
      <c r="H67" t="s">
        <v>671</v>
      </c>
      <c r="I67" t="s">
        <v>3439</v>
      </c>
      <c r="J67">
        <v>104.22</v>
      </c>
      <c r="K67">
        <v>31.27</v>
      </c>
      <c r="L67">
        <v>3000</v>
      </c>
    </row>
    <row r="68" spans="1:12">
      <c r="A68" s="3451">
        <v>44676</v>
      </c>
      <c r="B68" t="s">
        <v>3440</v>
      </c>
      <c r="C68" t="s">
        <v>633</v>
      </c>
      <c r="D68" t="s">
        <v>633</v>
      </c>
      <c r="E68">
        <v>-1</v>
      </c>
      <c r="F68">
        <v>-112</v>
      </c>
      <c r="G68" t="s">
        <v>3441</v>
      </c>
      <c r="H68" t="s">
        <v>671</v>
      </c>
      <c r="I68" t="s">
        <v>3439</v>
      </c>
      <c r="J68">
        <v>68.75</v>
      </c>
      <c r="K68">
        <v>20.63</v>
      </c>
      <c r="L68">
        <v>3000</v>
      </c>
    </row>
    <row r="69" spans="1:12">
      <c r="A69" s="3451">
        <v>44676</v>
      </c>
      <c r="B69" t="s">
        <v>3440</v>
      </c>
      <c r="C69" t="s">
        <v>633</v>
      </c>
      <c r="D69" t="s">
        <v>633</v>
      </c>
      <c r="E69">
        <v>-1</v>
      </c>
      <c r="F69">
        <v>-114</v>
      </c>
      <c r="G69" t="s">
        <v>3441</v>
      </c>
      <c r="H69" t="s">
        <v>671</v>
      </c>
      <c r="I69" t="s">
        <v>3439</v>
      </c>
      <c r="J69">
        <v>79.44</v>
      </c>
      <c r="K69">
        <v>23.83</v>
      </c>
      <c r="L69">
        <v>3000</v>
      </c>
    </row>
    <row r="70" spans="1:12">
      <c r="A70" s="3451">
        <v>44676</v>
      </c>
      <c r="B70" t="s">
        <v>3437</v>
      </c>
      <c r="C70" t="s">
        <v>633</v>
      </c>
      <c r="D70" t="s">
        <v>633</v>
      </c>
      <c r="E70">
        <v>-1</v>
      </c>
      <c r="F70">
        <v>-106</v>
      </c>
      <c r="G70" t="s">
        <v>3438</v>
      </c>
      <c r="H70" t="s">
        <v>671</v>
      </c>
      <c r="I70" t="s">
        <v>3439</v>
      </c>
      <c r="J70">
        <v>68.290000000000006</v>
      </c>
      <c r="K70">
        <v>20.49</v>
      </c>
      <c r="L70">
        <v>3000</v>
      </c>
    </row>
    <row r="71" spans="1:12">
      <c r="A71" s="3451">
        <v>44676</v>
      </c>
      <c r="B71" t="s">
        <v>3437</v>
      </c>
      <c r="C71" t="s">
        <v>633</v>
      </c>
      <c r="D71" t="s">
        <v>633</v>
      </c>
      <c r="E71">
        <v>-1</v>
      </c>
      <c r="F71">
        <v>-108</v>
      </c>
      <c r="G71" t="s">
        <v>3438</v>
      </c>
      <c r="H71" t="s">
        <v>671</v>
      </c>
      <c r="I71" t="s">
        <v>3439</v>
      </c>
      <c r="J71">
        <v>74.77</v>
      </c>
      <c r="K71">
        <v>22.43</v>
      </c>
      <c r="L71">
        <v>3000</v>
      </c>
    </row>
    <row r="72" spans="1:12">
      <c r="A72" s="3451">
        <v>44676</v>
      </c>
      <c r="B72" t="s">
        <v>3440</v>
      </c>
      <c r="C72" t="s">
        <v>633</v>
      </c>
      <c r="D72" t="s">
        <v>633</v>
      </c>
      <c r="E72">
        <v>-1</v>
      </c>
      <c r="F72">
        <v>-113</v>
      </c>
      <c r="G72" t="s">
        <v>3441</v>
      </c>
      <c r="H72" t="s">
        <v>671</v>
      </c>
      <c r="I72" t="s">
        <v>3439</v>
      </c>
      <c r="J72">
        <v>67.47</v>
      </c>
      <c r="K72">
        <v>20.239999999999998</v>
      </c>
      <c r="L72">
        <v>3000</v>
      </c>
    </row>
    <row r="73" spans="1:12">
      <c r="A73" s="3451">
        <v>44676</v>
      </c>
      <c r="B73" t="s">
        <v>3440</v>
      </c>
      <c r="C73" t="s">
        <v>633</v>
      </c>
      <c r="D73" t="s">
        <v>633</v>
      </c>
      <c r="E73">
        <v>-1</v>
      </c>
      <c r="F73">
        <v>-110</v>
      </c>
      <c r="G73" t="s">
        <v>3441</v>
      </c>
      <c r="H73" t="s">
        <v>671</v>
      </c>
      <c r="I73" t="s">
        <v>3439</v>
      </c>
      <c r="J73">
        <v>67.89</v>
      </c>
      <c r="K73">
        <v>20.37</v>
      </c>
      <c r="L73">
        <v>3000</v>
      </c>
    </row>
    <row r="74" spans="1:12">
      <c r="A74" s="3451">
        <v>44676</v>
      </c>
      <c r="B74" t="s">
        <v>3437</v>
      </c>
      <c r="C74" t="s">
        <v>633</v>
      </c>
      <c r="D74" t="s">
        <v>633</v>
      </c>
      <c r="E74">
        <v>-1</v>
      </c>
      <c r="F74">
        <v>-109</v>
      </c>
      <c r="G74" t="s">
        <v>3438</v>
      </c>
      <c r="H74" t="s">
        <v>671</v>
      </c>
      <c r="I74" t="s">
        <v>3439</v>
      </c>
      <c r="J74">
        <v>69.510000000000005</v>
      </c>
      <c r="K74">
        <v>20.85</v>
      </c>
      <c r="L74">
        <v>3000</v>
      </c>
    </row>
    <row r="75" spans="1:12">
      <c r="A75" s="3451">
        <v>44456</v>
      </c>
      <c r="B75" t="s">
        <v>3442</v>
      </c>
      <c r="C75" t="s">
        <v>633</v>
      </c>
      <c r="D75" t="s">
        <v>633</v>
      </c>
      <c r="E75">
        <v>1</v>
      </c>
      <c r="F75">
        <v>111</v>
      </c>
      <c r="G75" t="s">
        <v>3443</v>
      </c>
      <c r="H75" t="s">
        <v>671</v>
      </c>
      <c r="I75" t="s">
        <v>3439</v>
      </c>
      <c r="J75">
        <v>51.89</v>
      </c>
      <c r="K75">
        <v>160.19</v>
      </c>
      <c r="L75">
        <v>30870</v>
      </c>
    </row>
    <row r="76" spans="1:12">
      <c r="A76" s="3451">
        <v>44456</v>
      </c>
      <c r="B76" t="s">
        <v>3442</v>
      </c>
      <c r="C76" t="s">
        <v>633</v>
      </c>
      <c r="D76" t="s">
        <v>633</v>
      </c>
      <c r="E76">
        <v>1</v>
      </c>
      <c r="F76">
        <v>115</v>
      </c>
      <c r="G76" t="s">
        <v>3443</v>
      </c>
      <c r="H76" t="s">
        <v>671</v>
      </c>
      <c r="I76" t="s">
        <v>3439</v>
      </c>
      <c r="J76">
        <v>86.64</v>
      </c>
      <c r="K76">
        <v>323.11</v>
      </c>
      <c r="L76">
        <v>37293</v>
      </c>
    </row>
    <row r="77" spans="1:12">
      <c r="A77" s="3451">
        <v>44439</v>
      </c>
      <c r="B77" t="s">
        <v>3437</v>
      </c>
      <c r="C77" t="s">
        <v>633</v>
      </c>
      <c r="D77" t="s">
        <v>633</v>
      </c>
      <c r="E77">
        <v>1</v>
      </c>
      <c r="F77">
        <v>120</v>
      </c>
      <c r="G77" t="s">
        <v>3444</v>
      </c>
      <c r="H77" t="s">
        <v>671</v>
      </c>
      <c r="I77" t="s">
        <v>3439</v>
      </c>
      <c r="J77">
        <v>47.97</v>
      </c>
      <c r="K77">
        <v>168.14</v>
      </c>
      <c r="L77">
        <v>35051</v>
      </c>
    </row>
    <row r="78" spans="1:12">
      <c r="A78" s="3452">
        <v>44428</v>
      </c>
      <c r="B78" s="3453" t="s">
        <v>3440</v>
      </c>
      <c r="C78" s="3453" t="s">
        <v>633</v>
      </c>
      <c r="D78" s="3453" t="s">
        <v>633</v>
      </c>
      <c r="E78" s="3453">
        <v>1</v>
      </c>
      <c r="F78" s="3453">
        <v>107</v>
      </c>
      <c r="G78" s="3453" t="s">
        <v>3441</v>
      </c>
      <c r="H78" s="3453" t="s">
        <v>671</v>
      </c>
      <c r="I78" s="3453" t="s">
        <v>3439</v>
      </c>
      <c r="J78" s="3453">
        <v>252.89</v>
      </c>
      <c r="K78" s="3453">
        <v>1224.29</v>
      </c>
      <c r="L78" s="3453">
        <v>48411</v>
      </c>
    </row>
    <row r="79" spans="1:12">
      <c r="A79" s="3451">
        <v>44415</v>
      </c>
      <c r="B79" s="3453" t="s">
        <v>3440</v>
      </c>
      <c r="C79" s="3453" t="s">
        <v>633</v>
      </c>
      <c r="D79" s="3453" t="s">
        <v>633</v>
      </c>
      <c r="E79" s="3453">
        <v>1</v>
      </c>
      <c r="F79" s="3453">
        <v>101</v>
      </c>
      <c r="G79" s="3453" t="s">
        <v>3441</v>
      </c>
      <c r="H79" s="3453" t="s">
        <v>671</v>
      </c>
      <c r="I79" s="3453" t="s">
        <v>3439</v>
      </c>
      <c r="J79" s="3453">
        <v>247.4</v>
      </c>
      <c r="K79" s="3453">
        <v>692.72</v>
      </c>
      <c r="L79" s="3453">
        <v>28000</v>
      </c>
    </row>
    <row r="80" spans="1:12">
      <c r="A80" s="3451">
        <v>44330</v>
      </c>
      <c r="B80" s="3453" t="s">
        <v>3440</v>
      </c>
      <c r="C80" s="3453" t="s">
        <v>633</v>
      </c>
      <c r="D80" s="3453" t="s">
        <v>633</v>
      </c>
      <c r="E80" s="3453">
        <v>1</v>
      </c>
      <c r="F80" s="3453">
        <v>104</v>
      </c>
      <c r="G80" s="3453" t="s">
        <v>3441</v>
      </c>
      <c r="H80" s="3453" t="s">
        <v>671</v>
      </c>
      <c r="I80" s="3453" t="s">
        <v>3439</v>
      </c>
      <c r="J80" s="3453">
        <v>253.05</v>
      </c>
      <c r="K80" s="3453">
        <v>708.54</v>
      </c>
      <c r="L80" s="3453">
        <v>28000</v>
      </c>
    </row>
    <row r="81" spans="1:12">
      <c r="A81" s="3451">
        <v>44330</v>
      </c>
      <c r="B81" s="3453" t="s">
        <v>3440</v>
      </c>
      <c r="C81" s="3453" t="s">
        <v>633</v>
      </c>
      <c r="D81" s="3453" t="s">
        <v>633</v>
      </c>
      <c r="E81" s="3453">
        <v>1</v>
      </c>
      <c r="F81" s="3453">
        <v>110</v>
      </c>
      <c r="G81" s="3453" t="s">
        <v>3441</v>
      </c>
      <c r="H81" s="3453" t="s">
        <v>671</v>
      </c>
      <c r="I81" s="3453" t="s">
        <v>3439</v>
      </c>
      <c r="J81" s="3453">
        <v>268.52</v>
      </c>
      <c r="K81" s="3453">
        <v>751.86</v>
      </c>
      <c r="L81" s="3453">
        <v>28000</v>
      </c>
    </row>
    <row r="82" spans="1:12">
      <c r="A82" s="3451">
        <v>44330</v>
      </c>
      <c r="B82" s="3453" t="s">
        <v>3440</v>
      </c>
      <c r="C82" s="3453" t="s">
        <v>633</v>
      </c>
      <c r="D82" s="3453" t="s">
        <v>633</v>
      </c>
      <c r="E82" s="3453">
        <v>1</v>
      </c>
      <c r="F82" s="3453">
        <v>102</v>
      </c>
      <c r="G82" s="3453" t="s">
        <v>3441</v>
      </c>
      <c r="H82" s="3453" t="s">
        <v>671</v>
      </c>
      <c r="I82" s="3453" t="s">
        <v>3439</v>
      </c>
      <c r="J82" s="3453">
        <v>205.91</v>
      </c>
      <c r="K82" s="3453">
        <v>576.54999999999995</v>
      </c>
      <c r="L82" s="3453">
        <v>28000</v>
      </c>
    </row>
    <row r="83" spans="1:12">
      <c r="A83" s="3451">
        <v>44330</v>
      </c>
      <c r="B83" t="s">
        <v>3445</v>
      </c>
      <c r="C83" t="s">
        <v>633</v>
      </c>
      <c r="D83" t="s">
        <v>633</v>
      </c>
      <c r="E83">
        <v>-1</v>
      </c>
      <c r="F83">
        <v>-101</v>
      </c>
      <c r="G83" t="s">
        <v>3446</v>
      </c>
      <c r="H83" t="s">
        <v>671</v>
      </c>
      <c r="I83" t="s">
        <v>3439</v>
      </c>
      <c r="J83">
        <v>144.88999999999999</v>
      </c>
      <c r="K83">
        <v>144.88999999999999</v>
      </c>
      <c r="L83">
        <v>10000</v>
      </c>
    </row>
    <row r="84" spans="1:12">
      <c r="A84" s="3451">
        <v>44330</v>
      </c>
      <c r="B84" s="3453" t="s">
        <v>3440</v>
      </c>
      <c r="C84" s="3453" t="s">
        <v>633</v>
      </c>
      <c r="D84" s="3453" t="s">
        <v>633</v>
      </c>
      <c r="E84" s="3453">
        <v>1</v>
      </c>
      <c r="F84" s="3453">
        <v>103</v>
      </c>
      <c r="G84" s="3453" t="s">
        <v>3441</v>
      </c>
      <c r="H84" s="3453" t="s">
        <v>671</v>
      </c>
      <c r="I84" s="3453" t="s">
        <v>3439</v>
      </c>
      <c r="J84" s="3453">
        <v>131.56</v>
      </c>
      <c r="K84" s="3453">
        <v>368.37</v>
      </c>
      <c r="L84" s="3453">
        <v>28000</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99"/>
  <sheetViews>
    <sheetView topLeftCell="J1" workbookViewId="0">
      <selection activeCell="T39" sqref="T39"/>
    </sheetView>
  </sheetViews>
  <sheetFormatPr defaultRowHeight="14.4"/>
  <cols>
    <col min="10" max="10" width="13.88671875" customWidth="1"/>
    <col min="13" max="13" width="15" customWidth="1"/>
    <col min="14" max="14" width="12.77734375" bestFit="1" customWidth="1"/>
    <col min="15" max="15" width="8" customWidth="1"/>
    <col min="16" max="16" width="6.21875" customWidth="1"/>
    <col min="17" max="17" width="7.44140625" customWidth="1"/>
    <col min="18" max="18" width="22.44140625" customWidth="1"/>
    <col min="19" max="19" width="6.88671875" customWidth="1"/>
    <col min="25" max="25" width="22.109375" customWidth="1"/>
  </cols>
  <sheetData>
    <row r="1" spans="1:30">
      <c r="A1" s="3446" t="s">
        <v>3520</v>
      </c>
    </row>
    <row r="2" spans="1:30">
      <c r="A2" s="3446" t="s">
        <v>3518</v>
      </c>
    </row>
    <row r="3" spans="1:30">
      <c r="A3" s="3446" t="s">
        <v>3519</v>
      </c>
    </row>
    <row r="4" spans="1:30">
      <c r="A4" s="3446"/>
    </row>
    <row r="6" spans="1:30">
      <c r="O6" s="3488" t="s">
        <v>3472</v>
      </c>
    </row>
    <row r="7" spans="1:30">
      <c r="O7" s="3488" t="s">
        <v>3474</v>
      </c>
      <c r="P7" s="3446" t="s">
        <v>3475</v>
      </c>
      <c r="Q7" s="3446" t="s">
        <v>3415</v>
      </c>
      <c r="R7" s="3446" t="s">
        <v>3477</v>
      </c>
      <c r="S7" s="3446" t="s">
        <v>3409</v>
      </c>
      <c r="T7" s="3446" t="s">
        <v>3403</v>
      </c>
      <c r="U7" s="3446" t="s">
        <v>3412</v>
      </c>
      <c r="V7" s="3446" t="s">
        <v>3402</v>
      </c>
      <c r="W7" s="3446" t="s">
        <v>3405</v>
      </c>
      <c r="X7" s="3446" t="s">
        <v>3408</v>
      </c>
      <c r="Y7" s="3446" t="s">
        <v>3479</v>
      </c>
      <c r="Z7" s="3446" t="s">
        <v>3480</v>
      </c>
      <c r="AB7" s="3446" t="s">
        <v>3529</v>
      </c>
    </row>
    <row r="8" spans="1:30">
      <c r="O8" s="3453">
        <v>110</v>
      </c>
      <c r="P8" s="3446" t="s">
        <v>3406</v>
      </c>
      <c r="Q8">
        <v>60</v>
      </c>
      <c r="R8" s="3446" t="s">
        <v>3516</v>
      </c>
      <c r="S8" s="3446" t="s">
        <v>3411</v>
      </c>
      <c r="T8">
        <v>27375</v>
      </c>
      <c r="U8" s="3446" t="s">
        <v>3414</v>
      </c>
      <c r="V8">
        <v>13687.5</v>
      </c>
      <c r="W8">
        <f>ROUND(V8/Q8/30,2)</f>
        <v>7.6</v>
      </c>
      <c r="X8">
        <v>0</v>
      </c>
      <c r="Y8" s="3446" t="s">
        <v>3416</v>
      </c>
      <c r="Z8">
        <f>W8-P25</f>
        <v>7.5699999999999994</v>
      </c>
      <c r="AB8">
        <v>5.58</v>
      </c>
      <c r="AD8" s="3446"/>
    </row>
    <row r="9" spans="1:30">
      <c r="O9" s="3453"/>
      <c r="P9" s="3446" t="s">
        <v>3417</v>
      </c>
      <c r="Q9">
        <v>105</v>
      </c>
      <c r="R9" s="3446" t="s">
        <v>3418</v>
      </c>
      <c r="S9" s="3446" t="s">
        <v>3410</v>
      </c>
      <c r="T9">
        <v>11816.9</v>
      </c>
      <c r="U9" s="3446" t="s">
        <v>3419</v>
      </c>
      <c r="V9">
        <v>11816.9</v>
      </c>
      <c r="W9">
        <f>ROUND(V9/Q9/30,2)</f>
        <v>3.75</v>
      </c>
      <c r="X9" s="3448">
        <v>0.09</v>
      </c>
      <c r="Y9" s="3446" t="s">
        <v>3404</v>
      </c>
      <c r="Z9">
        <f>W9-P25-P27+W9*X9</f>
        <v>3.6825000000000001</v>
      </c>
    </row>
    <row r="10" spans="1:30">
      <c r="O10" s="3453"/>
      <c r="Q10">
        <f>Q8+Q9</f>
        <v>165</v>
      </c>
      <c r="V10" s="3446"/>
    </row>
    <row r="11" spans="1:30">
      <c r="O11" s="3488" t="s">
        <v>3478</v>
      </c>
      <c r="Y11" s="3446" t="s">
        <v>3485</v>
      </c>
      <c r="Z11">
        <f>ROUND((Z8*Q8+Z9*Q9)/Q10,2)</f>
        <v>5.0999999999999996</v>
      </c>
    </row>
    <row r="12" spans="1:30">
      <c r="T12">
        <f>U12/Q13</f>
        <v>5.8654848800834207</v>
      </c>
      <c r="U12">
        <f>T13*S13+T14*S14*2</f>
        <v>1575</v>
      </c>
    </row>
    <row r="13" spans="1:30">
      <c r="Q13">
        <f>'数据-汇总表'!F19</f>
        <v>268.52</v>
      </c>
      <c r="S13">
        <v>105</v>
      </c>
      <c r="T13">
        <v>7.5</v>
      </c>
    </row>
    <row r="14" spans="1:30">
      <c r="Q14">
        <f>Q13/2</f>
        <v>134.26</v>
      </c>
      <c r="S14">
        <v>105</v>
      </c>
      <c r="T14">
        <f>T15</f>
        <v>3.75</v>
      </c>
    </row>
    <row r="15" spans="1:30">
      <c r="S15">
        <v>105</v>
      </c>
      <c r="T15">
        <v>3.75</v>
      </c>
    </row>
    <row r="17" spans="10:28">
      <c r="O17" s="3488" t="s">
        <v>3474</v>
      </c>
      <c r="P17" s="3446" t="s">
        <v>3475</v>
      </c>
      <c r="Q17" s="3446" t="s">
        <v>3415</v>
      </c>
      <c r="R17" s="3446" t="s">
        <v>3476</v>
      </c>
      <c r="S17" s="3446" t="s">
        <v>3409</v>
      </c>
      <c r="T17" s="3446" t="s">
        <v>3403</v>
      </c>
      <c r="U17" s="3446" t="s">
        <v>3412</v>
      </c>
      <c r="V17" s="3446" t="s">
        <v>3402</v>
      </c>
      <c r="W17" s="3446" t="s">
        <v>3405</v>
      </c>
      <c r="X17" s="3446" t="s">
        <v>3408</v>
      </c>
      <c r="Y17" s="3446" t="s">
        <v>3479</v>
      </c>
      <c r="Z17" s="3446" t="s">
        <v>3480</v>
      </c>
      <c r="AB17" s="3446" t="s">
        <v>3529</v>
      </c>
    </row>
    <row r="18" spans="10:28">
      <c r="O18" s="3453">
        <v>104</v>
      </c>
      <c r="P18" s="3446" t="s">
        <v>3400</v>
      </c>
      <c r="Q18">
        <v>126.5</v>
      </c>
      <c r="R18" s="3446" t="s">
        <v>3401</v>
      </c>
      <c r="S18" s="3446" t="s">
        <v>3410</v>
      </c>
      <c r="T18">
        <v>13467</v>
      </c>
      <c r="U18" s="3446" t="s">
        <v>3413</v>
      </c>
      <c r="V18">
        <v>13467</v>
      </c>
      <c r="W18">
        <f>ROUND(V18/Q18/30,2)</f>
        <v>3.55</v>
      </c>
      <c r="X18" s="3448">
        <v>0.09</v>
      </c>
      <c r="Y18" s="3446" t="s">
        <v>3404</v>
      </c>
      <c r="Z18">
        <f>W18-P25-P27+W18*X18</f>
        <v>3.4645000000000001</v>
      </c>
      <c r="AB18">
        <v>1.83</v>
      </c>
    </row>
    <row r="19" spans="10:28">
      <c r="O19" s="3453"/>
      <c r="P19" s="3446" t="s">
        <v>3406</v>
      </c>
      <c r="Q19">
        <v>130</v>
      </c>
      <c r="R19" s="3446" t="s">
        <v>3407</v>
      </c>
      <c r="S19" s="3446" t="s">
        <v>3410</v>
      </c>
      <c r="T19">
        <v>28470</v>
      </c>
      <c r="U19" s="3446" t="s">
        <v>3413</v>
      </c>
      <c r="V19">
        <v>28470</v>
      </c>
      <c r="W19">
        <f>ROUND(V19/Q19/30,2)</f>
        <v>7.3</v>
      </c>
      <c r="X19" s="3448">
        <f>X18</f>
        <v>0.09</v>
      </c>
      <c r="Y19" s="3446" t="s">
        <v>3404</v>
      </c>
      <c r="Z19">
        <f>W19-P25-P27+W19*X19</f>
        <v>7.5519999999999996</v>
      </c>
    </row>
    <row r="20" spans="10:28">
      <c r="O20" s="3453"/>
      <c r="Q20">
        <f>Q18+Q19</f>
        <v>256.5</v>
      </c>
      <c r="V20" s="3446" t="s">
        <v>3469</v>
      </c>
      <c r="W20">
        <f>ROUND((W18*Q18+W19*Q19)/Q20,2)</f>
        <v>5.45</v>
      </c>
    </row>
    <row r="21" spans="10:28">
      <c r="O21" s="3488" t="s">
        <v>3501</v>
      </c>
      <c r="Q21">
        <f>'数据-汇总表'!F20</f>
        <v>253.05</v>
      </c>
      <c r="Y21" s="3446" t="s">
        <v>3485</v>
      </c>
      <c r="Z21">
        <f>ROUND((Z18*Q18+Z19*Q19)/Q20,2)</f>
        <v>5.54</v>
      </c>
    </row>
    <row r="23" spans="10:28">
      <c r="P23" s="3446"/>
    </row>
    <row r="24" spans="10:28">
      <c r="O24" s="3446" t="s">
        <v>3473</v>
      </c>
      <c r="P24">
        <v>0.9</v>
      </c>
      <c r="Q24" s="3446" t="s">
        <v>3481</v>
      </c>
    </row>
    <row r="25" spans="10:28">
      <c r="P25">
        <f>P24/30</f>
        <v>3.0000000000000002E-2</v>
      </c>
      <c r="Q25" s="3446" t="s">
        <v>3482</v>
      </c>
    </row>
    <row r="26" spans="10:28">
      <c r="O26" s="3446" t="s">
        <v>3484</v>
      </c>
      <c r="P26" s="3461" t="s">
        <v>3483</v>
      </c>
      <c r="V26" s="3446"/>
    </row>
    <row r="27" spans="10:28">
      <c r="P27">
        <f>45/(30*4)</f>
        <v>0.375</v>
      </c>
      <c r="Q27" s="3446" t="s">
        <v>3482</v>
      </c>
      <c r="V27" s="3446"/>
    </row>
    <row r="28" spans="10:28">
      <c r="L28" s="3446" t="s">
        <v>3559</v>
      </c>
      <c r="M28" s="3446" t="s">
        <v>3560</v>
      </c>
    </row>
    <row r="29" spans="10:28">
      <c r="J29" s="2713" t="s">
        <v>3544</v>
      </c>
      <c r="K29" s="2713">
        <f>'比较法-商业110'!N23</f>
        <v>100</v>
      </c>
      <c r="L29" s="2713">
        <f>ROUND(K29*L32/K32,0)</f>
        <v>135</v>
      </c>
      <c r="M29" s="3453">
        <v>7</v>
      </c>
      <c r="N29" s="3488"/>
      <c r="O29" s="3446"/>
      <c r="P29" s="3446"/>
    </row>
    <row r="30" spans="10:28">
      <c r="J30" s="2713" t="s">
        <v>3545</v>
      </c>
      <c r="K30" s="2713">
        <f>'比较法-商业110'!N24</f>
        <v>80</v>
      </c>
      <c r="L30" s="2713">
        <f>ROUND(K30*L32/K32,0)</f>
        <v>108</v>
      </c>
      <c r="M30" s="3453">
        <f>M29*K30/100</f>
        <v>5.6</v>
      </c>
      <c r="N30" s="3453"/>
    </row>
    <row r="31" spans="10:28">
      <c r="J31" s="2713" t="s">
        <v>3546</v>
      </c>
      <c r="K31" s="2713">
        <f>'比较法-商业110'!N25</f>
        <v>48</v>
      </c>
      <c r="L31" s="2713"/>
      <c r="M31" s="3453">
        <f>M29*K31/100</f>
        <v>3.36</v>
      </c>
      <c r="N31" s="3453"/>
    </row>
    <row r="32" spans="10:28">
      <c r="J32" s="2713" t="s">
        <v>3547</v>
      </c>
      <c r="K32" s="2713">
        <f>'比较法-商业110'!N26</f>
        <v>74</v>
      </c>
      <c r="L32" s="2713">
        <v>100</v>
      </c>
      <c r="M32" s="3453">
        <f>ROUND(M29*K32/100,2)</f>
        <v>5.18</v>
      </c>
      <c r="N32" s="3453"/>
    </row>
    <row r="33" spans="9:17">
      <c r="J33" s="2715" t="s">
        <v>3548</v>
      </c>
      <c r="K33" s="2715">
        <f>'比较法-商业110'!N27</f>
        <v>64</v>
      </c>
      <c r="L33" s="2715">
        <f>ROUND(K33*L32/K32,0)</f>
        <v>86</v>
      </c>
      <c r="Q33" s="3446"/>
    </row>
    <row r="34" spans="9:17">
      <c r="L34" s="3446"/>
    </row>
    <row r="35" spans="9:17">
      <c r="L35" s="3446"/>
    </row>
    <row r="36" spans="9:17">
      <c r="I36" s="3446" t="s">
        <v>3384</v>
      </c>
      <c r="J36">
        <v>13718086626</v>
      </c>
    </row>
    <row r="37" spans="9:17">
      <c r="I37" s="3446" t="s">
        <v>3385</v>
      </c>
    </row>
    <row r="38" spans="9:17">
      <c r="I38" s="3446" t="s">
        <v>3386</v>
      </c>
    </row>
    <row r="39" spans="9:17">
      <c r="I39" s="3446"/>
    </row>
    <row r="40" spans="9:17">
      <c r="N40" s="3446" t="s">
        <v>3512</v>
      </c>
      <c r="O40">
        <f>7.22*365/59572</f>
        <v>4.4237225542201032E-2</v>
      </c>
    </row>
    <row r="41" spans="9:17">
      <c r="K41" s="3446"/>
    </row>
    <row r="60" spans="1:18">
      <c r="A60" s="3446"/>
    </row>
    <row r="63" spans="1:18">
      <c r="L63" s="3446" t="s">
        <v>3526</v>
      </c>
      <c r="M63" s="3446" t="s">
        <v>3527</v>
      </c>
      <c r="N63" s="3446" t="s">
        <v>3528</v>
      </c>
      <c r="P63">
        <v>125</v>
      </c>
      <c r="Q63">
        <v>7</v>
      </c>
      <c r="R63">
        <f>Q63*P63</f>
        <v>875</v>
      </c>
    </row>
    <row r="64" spans="1:18">
      <c r="L64" s="3446" t="s">
        <v>3523</v>
      </c>
      <c r="P64">
        <v>169.52</v>
      </c>
      <c r="Q64">
        <v>3</v>
      </c>
      <c r="R64">
        <f>Q64*P64</f>
        <v>508.56000000000006</v>
      </c>
    </row>
    <row r="65" spans="12:18">
      <c r="L65" s="3446" t="s">
        <v>3509</v>
      </c>
      <c r="M65">
        <v>500000</v>
      </c>
      <c r="N65" s="3446" t="s">
        <v>3524</v>
      </c>
      <c r="P65">
        <f>SUM(P63:P64)</f>
        <v>294.52</v>
      </c>
      <c r="Q65">
        <f>R65/P65</f>
        <v>4.697677577074562</v>
      </c>
      <c r="R65">
        <f>SUM(R63:R64)</f>
        <v>1383.56</v>
      </c>
    </row>
    <row r="66" spans="12:18">
      <c r="L66" s="3446" t="s">
        <v>3525</v>
      </c>
      <c r="M66">
        <v>294.52</v>
      </c>
    </row>
    <row r="67" spans="12:18">
      <c r="L67" s="3446" t="s">
        <v>3511</v>
      </c>
      <c r="M67">
        <f>M65/M66/365</f>
        <v>4.6511714440398961</v>
      </c>
    </row>
    <row r="68" spans="12:18">
      <c r="L68" s="3446" t="s">
        <v>3512</v>
      </c>
      <c r="M68">
        <f>M67*365/54326</f>
        <v>3.1249817344817622E-2</v>
      </c>
    </row>
    <row r="96" spans="12:12">
      <c r="L96" s="3446" t="s">
        <v>3508</v>
      </c>
    </row>
    <row r="97" spans="12:14">
      <c r="L97" s="3446" t="s">
        <v>3509</v>
      </c>
      <c r="M97">
        <v>6000</v>
      </c>
    </row>
    <row r="98" spans="12:14">
      <c r="L98" s="3446" t="s">
        <v>3510</v>
      </c>
      <c r="M98">
        <v>57.41</v>
      </c>
    </row>
    <row r="99" spans="12:14">
      <c r="L99" s="3446" t="s">
        <v>3511</v>
      </c>
      <c r="M99">
        <f>ROUND(M97/M98/30,2)</f>
        <v>3.48</v>
      </c>
      <c r="N99">
        <f>M99*365/52256</f>
        <v>2.4307256582976118E-2</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J34" sqref="J3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875</v>
      </c>
      <c r="B1" s="711"/>
      <c r="C1" s="1377">
        <v>110</v>
      </c>
      <c r="D1" s="1360" t="s">
        <v>43</v>
      </c>
      <c r="E1" s="1361" t="s">
        <v>676</v>
      </c>
      <c r="F1" s="1060">
        <f ca="1">J53</f>
        <v>30</v>
      </c>
      <c r="G1" s="1376">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876</v>
      </c>
      <c r="B2" s="3422">
        <f ca="1">ROUND(D2/10000,4)</f>
        <v>636.54499999999996</v>
      </c>
      <c r="C2" s="1385" t="s">
        <v>877</v>
      </c>
      <c r="D2" s="1469">
        <f ca="1">C40+J29+L46</f>
        <v>6365450</v>
      </c>
      <c r="E2" s="1386" t="s">
        <v>878</v>
      </c>
      <c r="F2" s="1387"/>
      <c r="G2" s="2703"/>
      <c r="H2" s="2692"/>
      <c r="I2" s="2692"/>
      <c r="J2" s="2692"/>
      <c r="K2" s="2693"/>
      <c r="L2" s="2692"/>
      <c r="M2" s="2692"/>
    </row>
    <row r="3" spans="1:37" ht="18" customHeight="1" thickBot="1">
      <c r="A3" s="1388" t="s">
        <v>879</v>
      </c>
      <c r="B3" s="1389">
        <f ca="1">IF(ISERROR(D2/F43),0,ROUND(D2/F43,0))</f>
        <v>23706</v>
      </c>
      <c r="C3" s="1385" t="s">
        <v>880</v>
      </c>
      <c r="D3" s="1385"/>
      <c r="E3" s="1386"/>
      <c r="F3" s="1387"/>
      <c r="G3" s="2703"/>
      <c r="H3" s="681" t="s">
        <v>874</v>
      </c>
      <c r="I3" s="1380"/>
      <c r="J3" s="1380"/>
      <c r="K3" s="1381"/>
      <c r="L3" s="1380"/>
      <c r="M3" s="1380"/>
    </row>
    <row r="4" spans="1:37" ht="18" customHeight="1">
      <c r="A4" s="295" t="s">
        <v>881</v>
      </c>
      <c r="B4" s="296" t="s">
        <v>882</v>
      </c>
      <c r="C4" s="296" t="s">
        <v>883</v>
      </c>
      <c r="D4" s="296" t="s">
        <v>884</v>
      </c>
      <c r="E4" s="297" t="s">
        <v>885</v>
      </c>
      <c r="F4" s="298"/>
      <c r="G4" s="1382"/>
      <c r="H4" s="295" t="s">
        <v>881</v>
      </c>
      <c r="I4" s="296" t="s">
        <v>882</v>
      </c>
      <c r="J4" s="296" t="s">
        <v>883</v>
      </c>
      <c r="K4" s="296" t="s">
        <v>884</v>
      </c>
      <c r="L4" s="297" t="s">
        <v>885</v>
      </c>
      <c r="M4" s="298"/>
    </row>
    <row r="5" spans="1:37" ht="18" customHeight="1">
      <c r="A5" s="299">
        <v>1</v>
      </c>
      <c r="B5" s="300" t="s">
        <v>886</v>
      </c>
      <c r="C5" s="1068">
        <f ca="1">C6+C10+C12</f>
        <v>432076</v>
      </c>
      <c r="D5" s="1362" t="s">
        <v>887</v>
      </c>
      <c r="E5" s="1069"/>
      <c r="F5" s="1070"/>
      <c r="G5" s="1382"/>
      <c r="H5" s="299">
        <v>1</v>
      </c>
      <c r="I5" s="300" t="s">
        <v>886</v>
      </c>
      <c r="J5" s="1068">
        <f ca="1">J6+J10+J12</f>
        <v>0</v>
      </c>
      <c r="K5" s="1362" t="s">
        <v>887</v>
      </c>
      <c r="L5" s="1069"/>
      <c r="M5" s="1070"/>
    </row>
    <row r="6" spans="1:37" ht="18" customHeight="1">
      <c r="A6" s="1067" t="s">
        <v>398</v>
      </c>
      <c r="B6" s="3703" t="s">
        <v>692</v>
      </c>
      <c r="C6" s="1072">
        <f ca="1">ROUND(F6*F8*F7*(1-F9),0)</f>
        <v>431537</v>
      </c>
      <c r="D6" s="155" t="s">
        <v>2101</v>
      </c>
      <c r="E6" s="302" t="s">
        <v>694</v>
      </c>
      <c r="F6" s="303">
        <f ca="1">INDIRECT("'数据-取费表'!u"&amp;$G$1)</f>
        <v>5.18</v>
      </c>
      <c r="G6" s="1382"/>
      <c r="H6" s="1067" t="s">
        <v>398</v>
      </c>
      <c r="I6" s="3703" t="s">
        <v>692</v>
      </c>
      <c r="J6" s="301">
        <f ca="1">ROUND(M6*M8*M7*(1-M9),0)</f>
        <v>0</v>
      </c>
      <c r="K6" s="1374" t="s">
        <v>2102</v>
      </c>
      <c r="L6" s="302" t="s">
        <v>694</v>
      </c>
      <c r="M6" s="303">
        <f ca="1">INDIRECT("'数据-取费表'!z"&amp;$G$1)</f>
        <v>0</v>
      </c>
    </row>
    <row r="7" spans="1:37" ht="18" customHeight="1">
      <c r="A7" s="1071"/>
      <c r="B7" s="3704"/>
      <c r="C7" s="1073"/>
      <c r="D7" s="307"/>
      <c r="E7" s="1074" t="s">
        <v>695</v>
      </c>
      <c r="F7" s="303">
        <f ca="1">IF(INDIRECT("'数据-取费表'!ah"&amp;$G$1)="",INDIRECT("'数据-取费表'!k"&amp;$G$1),INDIRECT("'数据-取费表'!ah"&amp;$G$1))</f>
        <v>268.52</v>
      </c>
      <c r="G7" s="1382"/>
      <c r="H7" s="304"/>
      <c r="I7" s="3704"/>
      <c r="J7" s="306"/>
      <c r="K7" s="307"/>
      <c r="L7" s="302" t="s">
        <v>695</v>
      </c>
      <c r="M7" s="303">
        <f ca="1">F7</f>
        <v>268.52</v>
      </c>
    </row>
    <row r="8" spans="1:37" ht="18" customHeight="1">
      <c r="A8" s="304"/>
      <c r="B8" s="3704"/>
      <c r="C8" s="306"/>
      <c r="D8" s="307"/>
      <c r="E8" s="302" t="s">
        <v>696</v>
      </c>
      <c r="F8" s="303">
        <f ca="1">INDIRECT("'数据-取费表'!ai"&amp;$G$1)</f>
        <v>365</v>
      </c>
      <c r="G8" s="1382"/>
      <c r="H8" s="304"/>
      <c r="I8" s="3704"/>
      <c r="J8" s="306"/>
      <c r="K8" s="307"/>
      <c r="L8" s="302" t="s">
        <v>696</v>
      </c>
      <c r="M8" s="303">
        <f ca="1">INDIRECT("'数据-取费表'!ai"&amp;$G$1)</f>
        <v>365</v>
      </c>
    </row>
    <row r="9" spans="1:37" ht="18" customHeight="1">
      <c r="A9" s="304"/>
      <c r="B9" s="3705"/>
      <c r="C9" s="306"/>
      <c r="D9" s="307"/>
      <c r="E9" s="302" t="s">
        <v>697</v>
      </c>
      <c r="F9" s="312">
        <f ca="1">INDIRECT("'数据-取费表'!w"&amp;$G$1)</f>
        <v>0.15</v>
      </c>
      <c r="G9" s="1382"/>
      <c r="H9" s="304"/>
      <c r="I9" s="3705"/>
      <c r="J9" s="306"/>
      <c r="K9" s="307"/>
      <c r="L9" s="313" t="s">
        <v>697</v>
      </c>
      <c r="M9" s="314">
        <f ca="1">INDIRECT("'数据-取费表'!ab"&amp;$G$1)</f>
        <v>0</v>
      </c>
    </row>
    <row r="10" spans="1:37" ht="18" customHeight="1">
      <c r="A10" s="1067" t="s">
        <v>402</v>
      </c>
      <c r="B10" s="1363" t="s">
        <v>698</v>
      </c>
      <c r="C10" s="316">
        <f ca="1">ROUND(IF(F10="押一",C6/12*F11,IF(F10="押二",C6/12*2*F11,IF(F10="押三",C6/12*3*F11,C11*F11))),0)</f>
        <v>539</v>
      </c>
      <c r="D10" s="1364" t="s">
        <v>2111</v>
      </c>
      <c r="E10" s="313" t="s">
        <v>699</v>
      </c>
      <c r="F10" s="1114" t="s">
        <v>3394</v>
      </c>
      <c r="G10" s="1382"/>
      <c r="H10" s="1067" t="s">
        <v>402</v>
      </c>
      <c r="I10" s="1363" t="s">
        <v>698</v>
      </c>
      <c r="J10" s="301">
        <f ca="1">ROUND(IF(M10="押一",J6/12*M11,IF(M10="押二",J6/12*2*M11,IF(M10="押三",J6/12*3*M11,J11*M11))),0)</f>
        <v>0</v>
      </c>
      <c r="K10" s="1375" t="s">
        <v>2113</v>
      </c>
      <c r="L10" s="313" t="s">
        <v>699</v>
      </c>
      <c r="M10" s="1114" t="s">
        <v>3394</v>
      </c>
    </row>
    <row r="11" spans="1:37" ht="18" customHeight="1">
      <c r="A11" s="308"/>
      <c r="B11" s="1365" t="s">
        <v>888</v>
      </c>
      <c r="C11" s="957"/>
      <c r="D11" s="307"/>
      <c r="E11" s="313" t="s">
        <v>700</v>
      </c>
      <c r="F11" s="314">
        <f ca="1">'数据-取费表'!B39</f>
        <v>1.4999999999999999E-2</v>
      </c>
      <c r="G11" s="1382"/>
      <c r="H11" s="1075"/>
      <c r="I11" s="1365" t="s">
        <v>889</v>
      </c>
      <c r="J11" s="957"/>
      <c r="K11" s="682"/>
      <c r="L11" s="313" t="s">
        <v>700</v>
      </c>
      <c r="M11" s="860">
        <f ca="1">'数据-取费表'!B39</f>
        <v>1.4999999999999999E-2</v>
      </c>
    </row>
    <row r="12" spans="1:37" ht="18" customHeight="1" thickBot="1">
      <c r="A12" s="1081" t="s">
        <v>437</v>
      </c>
      <c r="B12" s="1367" t="s">
        <v>701</v>
      </c>
      <c r="C12" s="1082"/>
      <c r="D12" s="1083"/>
      <c r="E12" s="1088"/>
      <c r="F12" s="1084"/>
      <c r="G12" s="1382"/>
      <c r="H12" s="1081" t="s">
        <v>437</v>
      </c>
      <c r="I12" s="1367" t="s">
        <v>701</v>
      </c>
      <c r="J12" s="1082"/>
      <c r="K12" s="1096"/>
      <c r="L12" s="1088"/>
      <c r="M12" s="1097"/>
    </row>
    <row r="13" spans="1:37" ht="18" customHeight="1" thickTop="1">
      <c r="A13" s="1077">
        <v>2</v>
      </c>
      <c r="B13" s="1078" t="s">
        <v>702</v>
      </c>
      <c r="C13" s="310">
        <f ca="1">ROUND(C29*F13,0)</f>
        <v>1418798</v>
      </c>
      <c r="D13" s="1079" t="s">
        <v>703</v>
      </c>
      <c r="E13" s="1079" t="s">
        <v>704</v>
      </c>
      <c r="F13" s="1080">
        <f ca="1">INDIRECT("'数据-取费表'!y"&amp;$G$1)</f>
        <v>0.88</v>
      </c>
      <c r="G13" s="1382"/>
      <c r="H13" s="1077">
        <v>2</v>
      </c>
      <c r="I13" s="1078" t="s">
        <v>702</v>
      </c>
      <c r="J13" s="1066">
        <f ca="1">ROUND(J14*J15,0)</f>
        <v>0</v>
      </c>
      <c r="K13" s="1085" t="s">
        <v>703</v>
      </c>
      <c r="L13" s="1390"/>
      <c r="M13" s="1391"/>
    </row>
    <row r="14" spans="1:37" ht="18" customHeight="1">
      <c r="A14" s="980" t="s">
        <v>397</v>
      </c>
      <c r="B14" s="302" t="s">
        <v>705</v>
      </c>
      <c r="C14" s="318">
        <f ca="1">ROUND(INDIRECT("'数据-取费表'!l"&amp;$G$1)*F43+'数据-取费表'!L14*INDIRECT("'数据-取费表'!S"&amp;$G$1),0)</f>
        <v>1074080</v>
      </c>
      <c r="D14" s="1343" t="s">
        <v>706</v>
      </c>
      <c r="E14" s="1340"/>
      <c r="F14" s="319"/>
      <c r="G14" s="1382"/>
      <c r="H14" s="980" t="s">
        <v>398</v>
      </c>
      <c r="I14" s="302" t="s">
        <v>707</v>
      </c>
      <c r="J14" s="21">
        <f ca="1">C29</f>
        <v>1612271</v>
      </c>
      <c r="K14" s="12"/>
      <c r="L14" s="805"/>
      <c r="M14" s="806"/>
    </row>
    <row r="15" spans="1:37" s="1395" customFormat="1" ht="18" customHeight="1" thickBot="1">
      <c r="A15" s="980" t="s">
        <v>399</v>
      </c>
      <c r="B15" s="302" t="s">
        <v>708</v>
      </c>
      <c r="C15" s="21">
        <f ca="1">ROUND(C14*F15,0)</f>
        <v>32222</v>
      </c>
      <c r="D15" s="320" t="s">
        <v>709</v>
      </c>
      <c r="E15" s="320" t="s">
        <v>710</v>
      </c>
      <c r="F15" s="321">
        <f>'数据-取费表'!B33</f>
        <v>0.03</v>
      </c>
      <c r="G15" s="1394"/>
      <c r="H15" s="1087" t="s">
        <v>402</v>
      </c>
      <c r="I15" s="1088" t="s">
        <v>704</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678</v>
      </c>
      <c r="B16" s="302" t="s">
        <v>711</v>
      </c>
      <c r="C16" s="21">
        <f ca="1">ROUND(INDIRECT("'数据-取费表'!l"&amp;$G$1)*F43*F16,0)</f>
        <v>0</v>
      </c>
      <c r="D16" s="302" t="s">
        <v>709</v>
      </c>
      <c r="E16" s="302" t="s">
        <v>710</v>
      </c>
      <c r="F16" s="322">
        <f ca="1">IF(INDIRECT("'数据-取费表'!c"&amp;$G$1)="住宅",'数据-取费表'!B34,0)</f>
        <v>0</v>
      </c>
      <c r="G16" s="1382"/>
      <c r="H16" s="1077" t="s">
        <v>393</v>
      </c>
      <c r="I16" s="1078" t="s">
        <v>712</v>
      </c>
      <c r="J16" s="310">
        <f ca="1">ROUND(J17+J22+J23+J24,0)</f>
        <v>8061</v>
      </c>
      <c r="K16" s="1085" t="s">
        <v>713</v>
      </c>
      <c r="L16" s="1086"/>
      <c r="M16" s="1070"/>
    </row>
    <row r="17" spans="1:37" s="1395" customFormat="1" ht="18" customHeight="1">
      <c r="A17" s="980" t="s">
        <v>679</v>
      </c>
      <c r="B17" s="302" t="s">
        <v>714</v>
      </c>
      <c r="C17" s="21">
        <f ca="1">ROUND(F17*(F43+INDIRECT("'数据-取费表'!S"&amp;$G$1)),0)</f>
        <v>53704</v>
      </c>
      <c r="D17" s="302" t="s">
        <v>715</v>
      </c>
      <c r="E17" s="302" t="s">
        <v>716</v>
      </c>
      <c r="F17" s="23">
        <f>'数据-取费表'!B35</f>
        <v>200</v>
      </c>
      <c r="G17" s="1394"/>
      <c r="H17" s="980" t="s">
        <v>398</v>
      </c>
      <c r="I17" s="302" t="s">
        <v>717</v>
      </c>
      <c r="J17" s="2314">
        <f ca="1">ROUND(IF(AND(项目基本情况!B11="自然人",项目基本情况!B10="北京市"),J6*M17/(1+'数据-取费表'!C42),J18+J19+J20),0)</f>
        <v>0</v>
      </c>
      <c r="K17" s="1343" t="s">
        <v>718</v>
      </c>
      <c r="L17" s="1342" t="s">
        <v>719</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680</v>
      </c>
      <c r="B18" s="302" t="s">
        <v>720</v>
      </c>
      <c r="C18" s="21">
        <f ca="1">ROUND(C14*F18,0)</f>
        <v>21482</v>
      </c>
      <c r="D18" s="302" t="s">
        <v>709</v>
      </c>
      <c r="E18" s="302" t="s">
        <v>710</v>
      </c>
      <c r="F18" s="322">
        <f>'数据-取费表'!B36</f>
        <v>0.02</v>
      </c>
      <c r="G18" s="1394"/>
      <c r="H18" s="980" t="s">
        <v>397</v>
      </c>
      <c r="I18" s="302" t="s">
        <v>721</v>
      </c>
      <c r="J18" s="21">
        <f ca="1">ROUND(J6*M18/(1+'数据-取费表'!C42),0)</f>
        <v>0</v>
      </c>
      <c r="K18" s="1342" t="s">
        <v>722</v>
      </c>
      <c r="L18" s="302" t="s">
        <v>710</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723</v>
      </c>
      <c r="C19" s="21">
        <f ca="1">SUM(C14:C18)</f>
        <v>1181488</v>
      </c>
      <c r="D19" s="131" t="s">
        <v>724</v>
      </c>
      <c r="E19" s="1358"/>
      <c r="F19" s="23"/>
      <c r="G19" s="1382"/>
      <c r="H19" s="980" t="s">
        <v>399</v>
      </c>
      <c r="I19" s="302" t="s">
        <v>725</v>
      </c>
      <c r="J19" s="21">
        <f ca="1">IF(K19="按租金收入计税",ROUND(J6*M19/(1+'数据-取费表'!C42),0),ROUND(C29*M19*0.7,0))</f>
        <v>0</v>
      </c>
      <c r="K19" s="1368" t="s">
        <v>3334</v>
      </c>
      <c r="L19" s="302" t="s">
        <v>710</v>
      </c>
      <c r="M19" s="322">
        <f>IF(K19="按租金收入计税",'数据-取费表'!B51,'数据-取费表'!B50)</f>
        <v>0.12</v>
      </c>
    </row>
    <row r="20" spans="1:37" s="1395" customFormat="1" ht="18" customHeight="1">
      <c r="A20" s="980" t="s">
        <v>402</v>
      </c>
      <c r="B20" s="302" t="s">
        <v>726</v>
      </c>
      <c r="C20" s="21">
        <f ca="1">ROUND(C19*F20,0)</f>
        <v>23630</v>
      </c>
      <c r="D20" s="323" t="s">
        <v>727</v>
      </c>
      <c r="E20" s="302" t="s">
        <v>710</v>
      </c>
      <c r="F20" s="322">
        <f>'数据-取费表'!B37</f>
        <v>0.02</v>
      </c>
      <c r="G20" s="1394"/>
      <c r="H20" s="980" t="s">
        <v>678</v>
      </c>
      <c r="I20" s="155" t="s">
        <v>728</v>
      </c>
      <c r="J20" s="22">
        <f ca="1">ROUND(M20*M21,0)</f>
        <v>0</v>
      </c>
      <c r="K20" s="324" t="s">
        <v>729</v>
      </c>
      <c r="L20" s="302" t="s">
        <v>730</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731</v>
      </c>
      <c r="C21" s="21" t="s">
        <v>0</v>
      </c>
      <c r="D21" s="323" t="s">
        <v>732</v>
      </c>
      <c r="E21" s="302" t="s">
        <v>733</v>
      </c>
      <c r="F21" s="322">
        <f>'数据-取费表'!B38</f>
        <v>0.02</v>
      </c>
      <c r="G21" s="1394"/>
      <c r="H21" s="326"/>
      <c r="I21" s="311"/>
      <c r="J21" s="26"/>
      <c r="K21" s="327"/>
      <c r="L21" s="302" t="s">
        <v>734</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681</v>
      </c>
      <c r="B22" s="302" t="s">
        <v>735</v>
      </c>
      <c r="C22" s="21"/>
      <c r="D22" s="131" t="str">
        <f>IF(F23&lt;=1,"单利计息。","复利计息。")&amp;"建造成本、管理费用、销售费用产生的利息。"</f>
        <v>复利计息。建造成本、管理费用、销售费用产生的利息。</v>
      </c>
      <c r="E22" s="1358"/>
      <c r="F22" s="23"/>
      <c r="G22" s="1382"/>
      <c r="H22" s="980" t="s">
        <v>402</v>
      </c>
      <c r="I22" s="302" t="s">
        <v>736</v>
      </c>
      <c r="J22" s="21">
        <f ca="1">ROUND(J14*M22,0)</f>
        <v>8061</v>
      </c>
      <c r="K22" s="1342" t="s">
        <v>737</v>
      </c>
      <c r="L22" s="302" t="s">
        <v>710</v>
      </c>
      <c r="M22" s="328">
        <f ca="1">INDIRECT("'数据-取费表'!Ak"&amp;$G$1)</f>
        <v>5.0000000000000001E-3</v>
      </c>
    </row>
    <row r="23" spans="1:37" s="1395" customFormat="1" ht="18" customHeight="1">
      <c r="A23" s="980" t="s">
        <v>397</v>
      </c>
      <c r="B23" s="302" t="s">
        <v>738</v>
      </c>
      <c r="C23" s="21">
        <f ca="1">IF('数据-取费表'!B22&lt;=1,ROUND(C19*F24*F23/2,0)+ROUND(C20*F24*F23/2,0),ROUND(C19*(POWER((1+F24),F23/2)-1),0)+ROUND(C20*(POWER((1+F24),F23/2)-1),0))</f>
        <v>40372</v>
      </c>
      <c r="D23" s="329" t="str">
        <f>IF(F23&lt;=1,"(建造成本+管理费用)×利率×(建设周期÷2)","(建造成本+管理费用)×((1+利率)^(建设周期÷2)-1)")</f>
        <v>(建造成本+管理费用)×((1+利率)^(建设周期÷2)-1)</v>
      </c>
      <c r="E23" s="302" t="s">
        <v>739</v>
      </c>
      <c r="F23" s="325">
        <f>'数据-取费表'!B20</f>
        <v>2</v>
      </c>
      <c r="G23" s="1394"/>
      <c r="H23" s="980" t="s">
        <v>437</v>
      </c>
      <c r="I23" s="302" t="s">
        <v>740</v>
      </c>
      <c r="J23" s="21">
        <f ca="1">ROUND(J13*M23,0)</f>
        <v>0</v>
      </c>
      <c r="K23" s="1342" t="s">
        <v>741</v>
      </c>
      <c r="L23" s="302" t="s">
        <v>742</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743</v>
      </c>
      <c r="B24" s="302" t="s">
        <v>744</v>
      </c>
      <c r="C24" s="21">
        <f>ROUND(IF('数据-取费表'!B22&lt;=1,F21*F24*F23/2,F21*(POWER((1+F24),F23/2)-1)),4)</f>
        <v>6.9999999999999999E-4</v>
      </c>
      <c r="D24" s="329" t="str">
        <f>IF(F23&lt;=1,"销售费用×利率×(建设周期÷2)","销售费用×((1+利率)^(建设周期÷2)-1)")</f>
        <v>销售费用×((1+利率)^(建设周期÷2)-1)</v>
      </c>
      <c r="E24" s="302" t="s">
        <v>745</v>
      </c>
      <c r="F24" s="331">
        <f>'数据-取费表'!B40</f>
        <v>3.3500000000000002E-2</v>
      </c>
      <c r="G24" s="1394"/>
      <c r="H24" s="1087" t="s">
        <v>682</v>
      </c>
      <c r="I24" s="1088" t="s">
        <v>726</v>
      </c>
      <c r="J24" s="1089">
        <f ca="1">ROUND(J5*M24,0)</f>
        <v>0</v>
      </c>
      <c r="K24" s="1090" t="s">
        <v>746</v>
      </c>
      <c r="L24" s="1088" t="s">
        <v>742</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747</v>
      </c>
      <c r="B25" s="302" t="s">
        <v>748</v>
      </c>
      <c r="C25" s="21"/>
      <c r="D25" s="131" t="s">
        <v>749</v>
      </c>
      <c r="E25" s="1358"/>
      <c r="F25" s="23"/>
      <c r="G25" s="1382"/>
      <c r="H25" s="1077" t="s">
        <v>394</v>
      </c>
      <c r="I25" s="1092" t="s">
        <v>750</v>
      </c>
      <c r="J25" s="310">
        <f ca="1">J5-J16</f>
        <v>-8061</v>
      </c>
      <c r="K25" s="1093" t="s">
        <v>751</v>
      </c>
      <c r="L25" s="1094"/>
      <c r="M25" s="1095"/>
      <c r="N25" s="1382" t="e">
        <f ca="1">J25/J5</f>
        <v>#DIV/0!</v>
      </c>
    </row>
    <row r="26" spans="1:37" ht="18" customHeight="1">
      <c r="A26" s="980" t="s">
        <v>397</v>
      </c>
      <c r="B26" s="302" t="s">
        <v>752</v>
      </c>
      <c r="C26" s="21">
        <f ca="1">ROUND((C19+C20)*F26,0)</f>
        <v>241024</v>
      </c>
      <c r="D26" s="323" t="s">
        <v>753</v>
      </c>
      <c r="E26" s="313" t="s">
        <v>754</v>
      </c>
      <c r="F26" s="312">
        <f ca="1">INDIRECT("'数据-取费表'!q"&amp;$G$1)</f>
        <v>0.2</v>
      </c>
      <c r="G26" s="1382"/>
      <c r="H26" s="299" t="s">
        <v>395</v>
      </c>
      <c r="I26" s="300" t="s">
        <v>755</v>
      </c>
      <c r="J26" s="301">
        <f ca="1">IF(J5&lt;&gt;0,ROUND(J25*(1-((1+M28)/(1+M26))^M27)/(M26-M28),0),0)</f>
        <v>0</v>
      </c>
      <c r="K26" s="324" t="s">
        <v>756</v>
      </c>
      <c r="L26" s="302" t="s">
        <v>757</v>
      </c>
      <c r="M26" s="312">
        <f ca="1">INDIRECT("'数据-取费表'!I"&amp;$G$1)</f>
        <v>5.5E-2</v>
      </c>
    </row>
    <row r="27" spans="1:37" ht="18" customHeight="1">
      <c r="A27" s="980" t="s">
        <v>399</v>
      </c>
      <c r="B27" s="302" t="s">
        <v>758</v>
      </c>
      <c r="C27" s="21">
        <f ca="1">ROUND(F21*F26,4)</f>
        <v>4.0000000000000001E-3</v>
      </c>
      <c r="D27" s="323" t="s">
        <v>759</v>
      </c>
      <c r="E27" s="320"/>
      <c r="F27" s="321"/>
      <c r="G27" s="1382"/>
      <c r="H27" s="304"/>
      <c r="I27" s="305"/>
      <c r="J27" s="306"/>
      <c r="K27" s="332" t="s">
        <v>760</v>
      </c>
      <c r="L27" s="302" t="s">
        <v>761</v>
      </c>
      <c r="M27" s="333">
        <f ca="1">INDIRECT("'数据-取费表'!ag"&amp;$G$1)</f>
        <v>0</v>
      </c>
    </row>
    <row r="28" spans="1:37" s="1395" customFormat="1" ht="18" customHeight="1">
      <c r="A28" s="980" t="s">
        <v>400</v>
      </c>
      <c r="B28" s="302" t="s">
        <v>762</v>
      </c>
      <c r="C28" s="21">
        <f>ROUND(F28/(1+'数据-取费表'!C42),4)</f>
        <v>5.33E-2</v>
      </c>
      <c r="D28" s="323" t="s">
        <v>763</v>
      </c>
      <c r="E28" s="302" t="s">
        <v>710</v>
      </c>
      <c r="F28" s="322">
        <f>'数据-取费表'!B41</f>
        <v>5.6000000000000001E-2</v>
      </c>
      <c r="G28" s="1394"/>
      <c r="H28" s="308"/>
      <c r="I28" s="309"/>
      <c r="J28" s="310"/>
      <c r="K28" s="327"/>
      <c r="L28" s="302" t="s">
        <v>764</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765</v>
      </c>
      <c r="C29" s="1089">
        <f ca="1">ROUND((C19+C20+C23+C26)/(1-F21-C24-C27-C28),0)</f>
        <v>1612271</v>
      </c>
      <c r="D29" s="1090"/>
      <c r="E29" s="1088"/>
      <c r="F29" s="1091"/>
      <c r="G29" s="1394"/>
      <c r="H29" s="334" t="s">
        <v>396</v>
      </c>
      <c r="I29" s="335" t="s">
        <v>766</v>
      </c>
      <c r="J29" s="336">
        <f ca="1">ROUND(J26/(1+F40)^F41,0)</f>
        <v>0</v>
      </c>
      <c r="K29" s="337" t="s">
        <v>767</v>
      </c>
      <c r="L29" s="338"/>
      <c r="M29" s="339">
        <f ca="1">INDIRECT("'数据-取费表'!k"&amp;$G$1)</f>
        <v>268.52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712</v>
      </c>
      <c r="C30" s="310">
        <f ca="1">ROUND(C31+C36+C37+C38,0)</f>
        <v>86135</v>
      </c>
      <c r="D30" s="1085" t="s">
        <v>713</v>
      </c>
      <c r="E30" s="1086"/>
      <c r="F30" s="1070"/>
      <c r="G30" s="1382"/>
      <c r="H30" s="2694"/>
      <c r="I30" s="1396"/>
      <c r="J30" s="1397"/>
      <c r="K30" s="2472"/>
      <c r="L30" s="2695"/>
      <c r="M30" s="2696"/>
    </row>
    <row r="31" spans="1:37" ht="18" customHeight="1">
      <c r="A31" s="980" t="s">
        <v>398</v>
      </c>
      <c r="B31" s="302" t="s">
        <v>717</v>
      </c>
      <c r="C31" s="2314">
        <f ca="1">ROUND(IF(AND(项目基本情况!B11="自然人",项目基本情况!B10="北京市"),C6*F31/(1+'数据-取费表'!C42),C32+C33+C34),0)</f>
        <v>72334</v>
      </c>
      <c r="D31" s="1343" t="s">
        <v>718</v>
      </c>
      <c r="E31" s="1342" t="s">
        <v>768</v>
      </c>
      <c r="F31" s="2313" t="str">
        <f>IF(项目基本情况!B11="企业","——",IF(M47="住宅",IF(F6*F7*F8/12/(1+'数据-取费表'!F30)&gt;100000,4%,2.5%),IF(F6*F7*F8/12/(1+'数据-取费表'!F30)&gt;100000,12%,7%)))</f>
        <v>——</v>
      </c>
      <c r="G31" s="1382"/>
      <c r="H31" s="2805" t="s">
        <v>2305</v>
      </c>
      <c r="I31" s="1396"/>
      <c r="J31" s="1397"/>
      <c r="K31" s="2472"/>
      <c r="L31" s="2695"/>
      <c r="M31" s="2696"/>
    </row>
    <row r="32" spans="1:37" ht="18" customHeight="1">
      <c r="A32" s="980" t="s">
        <v>397</v>
      </c>
      <c r="B32" s="302" t="s">
        <v>721</v>
      </c>
      <c r="C32" s="21">
        <f ca="1">IF(项目基本情况!B11="自然人","——",ROUND(C6*F32/(1+'数据-取费表'!C42),0))</f>
        <v>23015</v>
      </c>
      <c r="D32" s="1342" t="s">
        <v>722</v>
      </c>
      <c r="E32" s="302" t="s">
        <v>710</v>
      </c>
      <c r="F32" s="331">
        <f>'数据-取费表'!B41</f>
        <v>5.6000000000000001E-2</v>
      </c>
      <c r="G32" s="1382"/>
      <c r="H32" s="2694"/>
      <c r="I32" s="1396"/>
      <c r="J32" s="1397"/>
      <c r="K32" s="2472"/>
      <c r="L32" s="2695"/>
      <c r="M32" s="2696"/>
    </row>
    <row r="33" spans="1:18" ht="18" customHeight="1">
      <c r="A33" s="980" t="s">
        <v>399</v>
      </c>
      <c r="B33" s="302" t="s">
        <v>725</v>
      </c>
      <c r="C33" s="21">
        <f ca="1">IF(项目基本情况!B11="自然人","——",IF(D33="按租金收入计税",ROUND(C6*F33/(1+'数据-取费表'!C42),0),IF(D33="按房产原值计税",ROUND(C29*F33*0.7,0),INDIRECT("'数据-取费表'!Aj"&amp;$G$1))))</f>
        <v>49319</v>
      </c>
      <c r="D33" s="1368" t="s">
        <v>3334</v>
      </c>
      <c r="E33" s="302" t="s">
        <v>710</v>
      </c>
      <c r="F33" s="322">
        <f>IF(D33="按票据","——",IF(D33="按租金收入计税",'数据-取费表'!B51,'数据-取费表'!B50))</f>
        <v>0.12</v>
      </c>
      <c r="G33" s="1382"/>
      <c r="H33" s="2697"/>
      <c r="I33" s="1396"/>
      <c r="J33" s="1397"/>
      <c r="K33" s="2698"/>
      <c r="L33" s="2697"/>
      <c r="M33" s="2697"/>
    </row>
    <row r="34" spans="1:18" ht="18" customHeight="1">
      <c r="A34" s="1067" t="s">
        <v>678</v>
      </c>
      <c r="B34" s="155" t="s">
        <v>728</v>
      </c>
      <c r="C34" s="22">
        <f ca="1">IF(项目基本情况!B11="自然人","——",ROUND(F34*F35,0))</f>
        <v>0</v>
      </c>
      <c r="D34" s="324" t="s">
        <v>729</v>
      </c>
      <c r="E34" s="302" t="s">
        <v>730</v>
      </c>
      <c r="F34" s="325">
        <f>'数据-取费表'!B52</f>
        <v>1.5</v>
      </c>
      <c r="G34" s="1382"/>
      <c r="H34" s="2694"/>
      <c r="I34" s="1396"/>
      <c r="J34" s="1397"/>
      <c r="K34" s="2699"/>
      <c r="L34" s="2700"/>
      <c r="M34" s="2700"/>
    </row>
    <row r="35" spans="1:18" ht="18" customHeight="1">
      <c r="A35" s="1101"/>
      <c r="B35" s="1099"/>
      <c r="C35" s="26"/>
      <c r="D35" s="327"/>
      <c r="E35" s="302" t="s">
        <v>734</v>
      </c>
      <c r="F35" s="303">
        <f ca="1">INDIRECT("'数据-取费表'!r"&amp;$G$1)</f>
        <v>0</v>
      </c>
      <c r="G35" s="1382"/>
      <c r="H35" s="2694"/>
      <c r="I35" s="1396"/>
      <c r="J35" s="1397"/>
      <c r="K35" s="2698"/>
      <c r="L35" s="2697"/>
      <c r="M35" s="2697"/>
    </row>
    <row r="36" spans="1:18" ht="18" customHeight="1">
      <c r="A36" s="1100" t="s">
        <v>402</v>
      </c>
      <c r="B36" s="302" t="s">
        <v>736</v>
      </c>
      <c r="C36" s="21">
        <f ca="1">ROUND(C29*F36,0)</f>
        <v>8061</v>
      </c>
      <c r="D36" s="1342" t="s">
        <v>769</v>
      </c>
      <c r="E36" s="302" t="s">
        <v>710</v>
      </c>
      <c r="F36" s="328">
        <f ca="1">INDIRECT("'数据-取费表'!Ak"&amp;$G$1)</f>
        <v>5.0000000000000001E-3</v>
      </c>
      <c r="G36" s="1382"/>
      <c r="H36" s="2697"/>
      <c r="I36" s="1396"/>
      <c r="J36" s="1397"/>
      <c r="K36" s="2541"/>
      <c r="L36" s="2697"/>
      <c r="M36" s="2697"/>
    </row>
    <row r="37" spans="1:18" ht="18" customHeight="1">
      <c r="A37" s="980" t="s">
        <v>437</v>
      </c>
      <c r="B37" s="302" t="s">
        <v>740</v>
      </c>
      <c r="C37" s="21">
        <f ca="1">ROUND(C13*F37,0)</f>
        <v>1419</v>
      </c>
      <c r="D37" s="1342" t="s">
        <v>741</v>
      </c>
      <c r="E37" s="302" t="s">
        <v>742</v>
      </c>
      <c r="F37" s="330">
        <f ca="1">INDIRECT("'数据-取费表'!Al"&amp;$G$1)</f>
        <v>1E-3</v>
      </c>
      <c r="G37" s="1382"/>
      <c r="H37" s="2697"/>
      <c r="I37" s="1396"/>
      <c r="J37" s="1397"/>
      <c r="K37" s="2541"/>
      <c r="L37" s="2697"/>
      <c r="M37" s="2697"/>
    </row>
    <row r="38" spans="1:18" ht="18" customHeight="1" thickBot="1">
      <c r="A38" s="1087" t="s">
        <v>682</v>
      </c>
      <c r="B38" s="1088" t="s">
        <v>726</v>
      </c>
      <c r="C38" s="1089">
        <f ca="1">ROUND(C5*F38,0)</f>
        <v>4321</v>
      </c>
      <c r="D38" s="1090" t="s">
        <v>746</v>
      </c>
      <c r="E38" s="1088" t="s">
        <v>742</v>
      </c>
      <c r="F38" s="1084">
        <f ca="1">INDIRECT("'数据-取费表'!Am"&amp;$G$1)</f>
        <v>0.01</v>
      </c>
      <c r="G38" s="1382"/>
      <c r="H38" s="2697"/>
      <c r="I38" s="1396"/>
      <c r="J38" s="1397"/>
      <c r="K38" s="2701"/>
      <c r="L38" s="2697"/>
      <c r="M38" s="2697"/>
    </row>
    <row r="39" spans="1:18" ht="24.6" customHeight="1" thickTop="1">
      <c r="A39" s="1077" t="s">
        <v>394</v>
      </c>
      <c r="B39" s="1092" t="s">
        <v>770</v>
      </c>
      <c r="C39" s="310">
        <f ca="1">C5-C30</f>
        <v>345941</v>
      </c>
      <c r="D39" s="1093" t="s">
        <v>771</v>
      </c>
      <c r="E39" s="1094"/>
      <c r="F39" s="1095"/>
      <c r="G39" s="1382"/>
      <c r="H39" s="2697"/>
      <c r="I39" s="1396"/>
      <c r="J39" s="1397"/>
      <c r="K39" s="2701"/>
      <c r="L39" s="2697"/>
      <c r="M39" s="2697"/>
    </row>
    <row r="40" spans="1:18" ht="18" customHeight="1">
      <c r="A40" s="299" t="s">
        <v>395</v>
      </c>
      <c r="B40" s="300" t="s">
        <v>772</v>
      </c>
      <c r="C40" s="301">
        <f ca="1">ROUND(C39*(1-((1+F42)/(1+F40))^F41)/(F40-F42),0)</f>
        <v>6291788</v>
      </c>
      <c r="D40" s="324" t="s">
        <v>756</v>
      </c>
      <c r="E40" s="302" t="s">
        <v>757</v>
      </c>
      <c r="F40" s="312">
        <f ca="1">INDIRECT("'数据-取费表'!I"&amp;$G$1)</f>
        <v>5.5E-2</v>
      </c>
      <c r="G40" s="1382"/>
      <c r="H40" s="1459"/>
      <c r="I40" s="1396"/>
      <c r="J40" s="1397"/>
      <c r="K40" s="2701"/>
      <c r="L40" s="1459"/>
      <c r="M40" s="1459"/>
    </row>
    <row r="41" spans="1:18" ht="18" customHeight="1">
      <c r="A41" s="304"/>
      <c r="B41" s="305"/>
      <c r="C41" s="306"/>
      <c r="D41" s="332" t="s">
        <v>773</v>
      </c>
      <c r="E41" s="302" t="s">
        <v>761</v>
      </c>
      <c r="F41" s="333">
        <f ca="1">IF(INDIRECT("'数据-取费表'!af"&amp;$G$1)=0,INDIRECT("'数据-取费表'!ae"&amp;$G$1),INDIRECT("'数据-取费表'!af"&amp;$G$1))</f>
        <v>30</v>
      </c>
      <c r="G41" s="1382"/>
      <c r="H41" s="1189">
        <f ca="1">C39/C5</f>
        <v>0.8006484970236718</v>
      </c>
      <c r="I41" s="1396"/>
      <c r="J41" s="1397"/>
      <c r="K41" s="2541"/>
      <c r="L41" s="1189"/>
      <c r="M41" s="1189"/>
    </row>
    <row r="42" spans="1:18" ht="18" customHeight="1">
      <c r="A42" s="308"/>
      <c r="B42" s="309"/>
      <c r="C42" s="310"/>
      <c r="D42" s="327"/>
      <c r="E42" s="302" t="s">
        <v>764</v>
      </c>
      <c r="F42" s="312">
        <f ca="1">INDIRECT("'数据-取费表'!v"&amp;$G$1)</f>
        <v>0.02</v>
      </c>
      <c r="G42" s="1382"/>
      <c r="H42" s="1189"/>
      <c r="I42" s="1396"/>
      <c r="J42" s="1397"/>
      <c r="K42" s="2541"/>
      <c r="L42" s="1189"/>
      <c r="M42" s="1189"/>
    </row>
    <row r="43" spans="1:18" ht="18" customHeight="1" thickBot="1">
      <c r="A43" s="334" t="s">
        <v>396</v>
      </c>
      <c r="B43" s="335" t="s">
        <v>774</v>
      </c>
      <c r="C43" s="336">
        <f ca="1">ROUND(C40/F43,0)</f>
        <v>23431</v>
      </c>
      <c r="D43" s="337" t="s">
        <v>775</v>
      </c>
      <c r="E43" s="338" t="s">
        <v>776</v>
      </c>
      <c r="F43" s="339">
        <f ca="1">INDIRECT("'数据-取费表'!k"&amp;$G$1)</f>
        <v>268.52</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8" t="s">
        <v>3350</v>
      </c>
      <c r="B45" s="1398"/>
      <c r="C45" s="1470">
        <f ca="1">ROUND((C68-C40)/10000,4)</f>
        <v>-642.95680000000004</v>
      </c>
      <c r="D45" s="3429" t="s">
        <v>3351</v>
      </c>
      <c r="E45" s="1398"/>
      <c r="F45" s="1398"/>
      <c r="O45" s="1401" t="s">
        <v>806</v>
      </c>
      <c r="P45" s="1459"/>
      <c r="Q45" s="1459"/>
      <c r="R45" s="1459"/>
    </row>
    <row r="46" spans="1:18" s="1382" customFormat="1" ht="13.8" thickBot="1">
      <c r="A46" s="1402" t="s">
        <v>807</v>
      </c>
      <c r="C46" s="1403">
        <f ca="1">ROUND(C45,0)</f>
        <v>-643</v>
      </c>
      <c r="D46" s="1404" t="str">
        <f>C2</f>
        <v>万元</v>
      </c>
      <c r="I46" s="1405" t="s">
        <v>808</v>
      </c>
      <c r="J46" s="1406"/>
      <c r="K46" s="1407"/>
      <c r="L46" s="1408">
        <f ca="1">IF(M47="住宅",0,IF(L48&gt;J51,L60,J60))</f>
        <v>73662</v>
      </c>
      <c r="O46" s="1409" t="s">
        <v>809</v>
      </c>
      <c r="P46" s="1410" t="s">
        <v>810</v>
      </c>
      <c r="Q46" s="1411" t="s">
        <v>811</v>
      </c>
      <c r="R46" s="1411" t="s">
        <v>812</v>
      </c>
    </row>
    <row r="47" spans="1:18" s="1382" customFormat="1" ht="13.8" thickBot="1">
      <c r="A47" s="944" t="s">
        <v>685</v>
      </c>
      <c r="B47" s="976" t="s">
        <v>686</v>
      </c>
      <c r="C47" s="976" t="s">
        <v>687</v>
      </c>
      <c r="D47" s="976" t="s">
        <v>688</v>
      </c>
      <c r="E47" s="1056" t="s">
        <v>689</v>
      </c>
      <c r="F47" s="1057"/>
      <c r="G47" s="720"/>
      <c r="I47" s="1412" t="s">
        <v>813</v>
      </c>
      <c r="J47" s="1413" t="s">
        <v>3395</v>
      </c>
      <c r="K47" s="1414" t="s">
        <v>814</v>
      </c>
      <c r="L47" s="1415">
        <f ca="1">INDIRECT("'数据-取费表'!d"&amp;$G$1)</f>
        <v>40</v>
      </c>
      <c r="M47" s="1378" t="str">
        <f>IF(ISNUMBER(FIND("住宅",C1)),"住宅","非住宅")</f>
        <v>非住宅</v>
      </c>
      <c r="O47" s="1416" t="s">
        <v>403</v>
      </c>
      <c r="P47" s="1417" t="s">
        <v>815</v>
      </c>
      <c r="Q47" s="1418">
        <f ca="1">C40+J29</f>
        <v>6291788</v>
      </c>
      <c r="R47" s="1418" t="s">
        <v>816</v>
      </c>
    </row>
    <row r="48" spans="1:18" s="1382" customFormat="1" ht="40.200000000000003" thickBot="1">
      <c r="A48" s="1108" t="s">
        <v>438</v>
      </c>
      <c r="B48" s="300" t="s">
        <v>690</v>
      </c>
      <c r="C48" s="1357">
        <f ca="1">C49+C53+C55</f>
        <v>0</v>
      </c>
      <c r="D48" s="1110"/>
      <c r="E48" s="1111"/>
      <c r="F48" s="960"/>
      <c r="G48" s="720"/>
      <c r="H48" s="721"/>
      <c r="I48" s="1419" t="s">
        <v>817</v>
      </c>
      <c r="J48" s="1420" t="s">
        <v>3396</v>
      </c>
      <c r="K48" s="1421" t="s">
        <v>818</v>
      </c>
      <c r="L48" s="1422">
        <f ca="1">INDIRECT("'数据-取费表'!f"&amp;$G$1)</f>
        <v>30</v>
      </c>
      <c r="O48" s="1416" t="s">
        <v>404</v>
      </c>
      <c r="P48" s="1417" t="s">
        <v>819</v>
      </c>
      <c r="Q48" s="1418">
        <f ca="1">J60</f>
        <v>73662</v>
      </c>
      <c r="R48" s="1418" t="s">
        <v>820</v>
      </c>
    </row>
    <row r="49" spans="1:18" s="1382" customFormat="1" ht="13.8" thickBot="1">
      <c r="A49" s="973" t="s">
        <v>439</v>
      </c>
      <c r="B49" s="1369" t="s">
        <v>777</v>
      </c>
      <c r="C49" s="1112">
        <f ca="1">ROUND(F49*F51*F50*(1-F52),0)</f>
        <v>0</v>
      </c>
      <c r="D49" s="1053" t="s">
        <v>693</v>
      </c>
      <c r="E49" s="1370" t="s">
        <v>778</v>
      </c>
      <c r="F49" s="1058"/>
      <c r="G49" s="1423"/>
      <c r="H49" s="721"/>
      <c r="I49" s="1419" t="s">
        <v>821</v>
      </c>
      <c r="J49" s="1424">
        <f>'数据-取费表'!L21</f>
        <v>2017</v>
      </c>
      <c r="K49" s="1421" t="s">
        <v>822</v>
      </c>
      <c r="L49" s="1425"/>
      <c r="O49" s="1426" t="s">
        <v>405</v>
      </c>
      <c r="P49" s="1417" t="s">
        <v>823</v>
      </c>
      <c r="Q49" s="1418">
        <f ca="1">C29</f>
        <v>1612271</v>
      </c>
      <c r="R49" s="1418" t="s">
        <v>816</v>
      </c>
    </row>
    <row r="50" spans="1:18" s="1382" customFormat="1" ht="13.8" thickBot="1">
      <c r="A50" s="974"/>
      <c r="B50" s="977"/>
      <c r="C50" s="978"/>
      <c r="D50" s="951"/>
      <c r="E50" s="1054" t="s">
        <v>695</v>
      </c>
      <c r="F50" s="1055">
        <f ca="1">F7</f>
        <v>268.52</v>
      </c>
      <c r="H50" s="721"/>
      <c r="I50" s="1419" t="s">
        <v>824</v>
      </c>
      <c r="J50" s="1427">
        <f>SUMPRODUCT((I63:I65=J47)*(J62:L62=J48)*(J63:L65))</f>
        <v>60</v>
      </c>
      <c r="K50" s="1421" t="s">
        <v>825</v>
      </c>
      <c r="L50" s="1425"/>
      <c r="M50" s="1428"/>
      <c r="O50" s="1426" t="s">
        <v>406</v>
      </c>
      <c r="P50" s="1417" t="s">
        <v>826</v>
      </c>
      <c r="Q50" s="1429">
        <f ca="1">J58</f>
        <v>0.4</v>
      </c>
      <c r="R50" s="1418"/>
    </row>
    <row r="51" spans="1:18" s="1382" customFormat="1" ht="13.8" thickBot="1">
      <c r="A51" s="975"/>
      <c r="B51" s="977"/>
      <c r="C51" s="978"/>
      <c r="D51" s="951"/>
      <c r="E51" s="979" t="s">
        <v>696</v>
      </c>
      <c r="F51" s="303">
        <f ca="1">F8</f>
        <v>365</v>
      </c>
      <c r="I51" s="1430" t="s">
        <v>827</v>
      </c>
      <c r="J51" s="1431">
        <f>IF(J49="",J50,J49+J50-YEAR('数据-取费表'!B2))</f>
        <v>53</v>
      </c>
      <c r="K51" s="1432" t="s">
        <v>828</v>
      </c>
      <c r="L51" s="1433">
        <f ca="1">ROUND(-PV(INDIRECT("'数据-取费表'!h"&amp;$G$1),J51,(C39-C13*C76),0),0)</f>
        <v>4560938</v>
      </c>
      <c r="M51" s="1434"/>
      <c r="O51" s="1426" t="s">
        <v>407</v>
      </c>
      <c r="P51" s="1417" t="s">
        <v>829</v>
      </c>
      <c r="Q51" s="1429">
        <f>J52</f>
        <v>7.4999999999999997E-2</v>
      </c>
      <c r="R51" s="1418"/>
    </row>
    <row r="52" spans="1:18" s="1382" customFormat="1" ht="13.8" thickBot="1">
      <c r="A52" s="975"/>
      <c r="B52" s="977"/>
      <c r="C52" s="978"/>
      <c r="D52" s="951"/>
      <c r="E52" s="979" t="s">
        <v>697</v>
      </c>
      <c r="F52" s="1052"/>
      <c r="I52" s="1435" t="s">
        <v>830</v>
      </c>
      <c r="J52" s="1436">
        <v>7.4999999999999997E-2</v>
      </c>
      <c r="K52" s="1435" t="s">
        <v>831</v>
      </c>
      <c r="L52" s="1436"/>
      <c r="O52" s="1426" t="s">
        <v>408</v>
      </c>
      <c r="P52" s="1417" t="s">
        <v>832</v>
      </c>
      <c r="Q52" s="1418">
        <f ca="1">J53</f>
        <v>30</v>
      </c>
      <c r="R52" s="1418" t="s">
        <v>833</v>
      </c>
    </row>
    <row r="53" spans="1:18" s="1382" customFormat="1" ht="30.75" customHeight="1" thickBot="1">
      <c r="A53" s="1109" t="s">
        <v>440</v>
      </c>
      <c r="B53" s="323" t="s">
        <v>698</v>
      </c>
      <c r="C53" s="316">
        <f ca="1">ROUND(IF(F53="押一",C49/12*F11,IF(F53="押二",C49/12*2*F11,IF(F53="押三",C49/12*3*F11,C54*F11))),0)</f>
        <v>0</v>
      </c>
      <c r="D53" s="1364" t="s">
        <v>2114</v>
      </c>
      <c r="E53" s="313" t="s">
        <v>699</v>
      </c>
      <c r="F53" s="1114"/>
      <c r="I53" s="1437" t="s">
        <v>834</v>
      </c>
      <c r="J53" s="2166">
        <f ca="1">IF(M47="住宅",IF(D1="——",MAX(J51,L48),MAX(J51,L48-'数据-取费表'!B24)),IF(D1="——",MIN(J51,L48),MIN(J51,L48-'数据-取费表'!B24)))</f>
        <v>30</v>
      </c>
      <c r="K53" s="3701" t="s">
        <v>835</v>
      </c>
      <c r="L53" s="3702"/>
      <c r="O53" s="1416" t="s">
        <v>409</v>
      </c>
      <c r="P53" s="1417" t="s">
        <v>836</v>
      </c>
      <c r="Q53" s="1418">
        <f ca="1">Q47+Q48</f>
        <v>6365450</v>
      </c>
      <c r="R53" s="1418" t="s">
        <v>410</v>
      </c>
    </row>
    <row r="54" spans="1:18" s="1382" customFormat="1" ht="13.8" thickBot="1">
      <c r="A54" s="973"/>
      <c r="B54" s="1471" t="s">
        <v>889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837</v>
      </c>
      <c r="P54" s="1379"/>
      <c r="Q54" s="1379"/>
      <c r="R54" s="1379"/>
    </row>
    <row r="55" spans="1:18" s="1382" customFormat="1" ht="13.8" thickBot="1">
      <c r="A55" s="1081" t="s">
        <v>437</v>
      </c>
      <c r="B55" s="1367" t="s">
        <v>701</v>
      </c>
      <c r="C55" s="1082"/>
      <c r="D55" s="1364"/>
      <c r="E55" s="1372"/>
      <c r="F55" s="1438"/>
      <c r="I55" s="1441" t="s">
        <v>838</v>
      </c>
      <c r="J55" s="1442">
        <f ca="1">ROUND(IF(J47="钢混",J57/J50,1-(1-2%)*(J50-J57)/J50),3)</f>
        <v>0.38300000000000001</v>
      </c>
      <c r="K55" s="1443" t="s">
        <v>839</v>
      </c>
      <c r="L55" s="1444"/>
      <c r="O55" s="1409" t="s">
        <v>809</v>
      </c>
      <c r="P55" s="1410" t="s">
        <v>810</v>
      </c>
      <c r="Q55" s="1411" t="s">
        <v>811</v>
      </c>
      <c r="R55" s="1411" t="s">
        <v>812</v>
      </c>
    </row>
    <row r="56" spans="1:18" s="1382" customFormat="1" ht="36" customHeight="1" thickTop="1" thickBot="1">
      <c r="A56" s="955">
        <v>2</v>
      </c>
      <c r="B56" s="956" t="s">
        <v>702</v>
      </c>
      <c r="C56" s="232">
        <f ca="1">C13</f>
        <v>1418798</v>
      </c>
      <c r="D56" s="1445"/>
      <c r="E56" s="1446"/>
      <c r="F56" s="1438"/>
      <c r="I56" s="1447" t="s">
        <v>840</v>
      </c>
      <c r="J56" s="1448" t="s">
        <v>3397</v>
      </c>
      <c r="K56" s="1419" t="s">
        <v>841</v>
      </c>
      <c r="L56" s="1422" t="str">
        <f ca="1">IF(L48&lt;J51,"——",L48-J51)</f>
        <v>——</v>
      </c>
      <c r="O56" s="1416" t="s">
        <v>403</v>
      </c>
      <c r="P56" s="1417" t="s">
        <v>815</v>
      </c>
      <c r="Q56" s="1418">
        <f ca="1">C40+J29</f>
        <v>6291788</v>
      </c>
      <c r="R56" s="1418" t="s">
        <v>816</v>
      </c>
    </row>
    <row r="57" spans="1:18" s="1382" customFormat="1" ht="24.6" thickBot="1">
      <c r="A57" s="1449"/>
      <c r="B57" s="948" t="s">
        <v>765</v>
      </c>
      <c r="C57" s="238">
        <f ca="1">C29</f>
        <v>1612271</v>
      </c>
      <c r="D57" s="1450"/>
      <c r="E57" s="1451"/>
      <c r="F57" s="1452"/>
      <c r="I57" s="1453" t="s">
        <v>842</v>
      </c>
      <c r="J57" s="1454">
        <f ca="1">IF(OR(M47="住宅",J51&lt;L48,J56="是"),"——",J51-L48)</f>
        <v>23</v>
      </c>
      <c r="K57" s="1419" t="s">
        <v>890</v>
      </c>
      <c r="L57" s="1422" t="str">
        <f ca="1">IF(L48&lt;J51,"——",IF(L55="比较法",L49,IF(L55="基准地价",L50,L51)))</f>
        <v>——</v>
      </c>
      <c r="O57" s="1416" t="s">
        <v>404</v>
      </c>
      <c r="P57" s="1417" t="s">
        <v>891</v>
      </c>
      <c r="Q57" s="1418">
        <f ca="1">L60</f>
        <v>0</v>
      </c>
      <c r="R57" s="1418" t="s">
        <v>892</v>
      </c>
    </row>
    <row r="58" spans="1:18" s="1382" customFormat="1" ht="24.6" thickBot="1">
      <c r="A58" s="315" t="s">
        <v>393</v>
      </c>
      <c r="B58" s="956" t="s">
        <v>712</v>
      </c>
      <c r="C58" s="316">
        <f ca="1">ROUND(C59+C64+C65+C66,0)</f>
        <v>9480</v>
      </c>
      <c r="D58" s="958" t="s">
        <v>713</v>
      </c>
      <c r="E58" s="959"/>
      <c r="F58" s="960"/>
      <c r="I58" s="1453" t="s">
        <v>846</v>
      </c>
      <c r="J58" s="1455">
        <f ca="1">IF(J55&lt;0.4,0.4,J55)</f>
        <v>0.4</v>
      </c>
      <c r="K58" s="1432" t="s">
        <v>893</v>
      </c>
      <c r="L58" s="1422" t="e">
        <f ca="1">ROUND(POWER(1+L52,L47-L48)*(POWER(1+L52,L48)-1)/(POWER(1+L52,L47)-1),4)</f>
        <v>#DIV/0!</v>
      </c>
      <c r="O58" s="1426" t="s">
        <v>405</v>
      </c>
      <c r="P58" s="1417" t="s">
        <v>848</v>
      </c>
      <c r="Q58" s="1418">
        <f>IF(L55="比较法",L49,IF(L55="基准地价",L50,0))</f>
        <v>0</v>
      </c>
      <c r="R58" s="1418" t="s">
        <v>816</v>
      </c>
    </row>
    <row r="59" spans="1:18" s="1382" customFormat="1" ht="24.6" thickBot="1">
      <c r="A59" s="980" t="s">
        <v>398</v>
      </c>
      <c r="B59" s="948" t="s">
        <v>717</v>
      </c>
      <c r="C59" s="2314">
        <f ca="1">ROUND(IF(AND(项目基本情况!B11="自然人",项目基本情况!B10="北京市"),C49*F59/(1+'数据-取费表'!C42),C60+C61+C62),0)</f>
        <v>0</v>
      </c>
      <c r="D59" s="961" t="s">
        <v>718</v>
      </c>
      <c r="E59" s="962" t="s">
        <v>719</v>
      </c>
      <c r="F59" s="2313" t="str">
        <f>IF(项目基本情况!B11="企业","——",IF('数据-取费表'!B10="住宅",IF(F49*F50*F51/12/(1+'数据-取费表'!F30)&gt;100000,4%,2.5%),IF(F49*F50*F51/12/(1+'数据-取费表'!F30)&gt;100000,12%,7%)))</f>
        <v>——</v>
      </c>
      <c r="I59" s="1453" t="s">
        <v>849</v>
      </c>
      <c r="J59" s="1454">
        <f ca="1">IF(OR(M47="住宅",J51&lt;L48,J56="是"),"——",ROUND(C29*J58,0))</f>
        <v>644908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850</v>
      </c>
      <c r="Q59" s="1429">
        <f>L52</f>
        <v>0</v>
      </c>
      <c r="R59" s="1418"/>
    </row>
    <row r="60" spans="1:18" s="1382" customFormat="1" ht="16.2" thickBot="1">
      <c r="A60" s="980" t="s">
        <v>397</v>
      </c>
      <c r="B60" s="948" t="s">
        <v>721</v>
      </c>
      <c r="C60" s="21">
        <f ca="1">IF(项目基本情况!B11="自然人","——",ROUND(C48*F60/(1+'数据-取费表'!C42),0))</f>
        <v>0</v>
      </c>
      <c r="D60" s="962" t="s">
        <v>722</v>
      </c>
      <c r="E60" s="948" t="s">
        <v>710</v>
      </c>
      <c r="F60" s="331">
        <f t="shared" ref="F60:F66" si="0">F32</f>
        <v>5.6000000000000001E-2</v>
      </c>
      <c r="I60" s="1456" t="s">
        <v>851</v>
      </c>
      <c r="J60" s="1457">
        <f ca="1">IF(OR(M47="住宅",J51&lt;L48,J56="是"),"0",ROUND(J59/(1+J52)^J53,0))</f>
        <v>73662</v>
      </c>
      <c r="K60" s="1458" t="s">
        <v>852</v>
      </c>
      <c r="L60" s="1457">
        <f ca="1">IF(OR(M47="住宅",L48&lt;J51),0,ROUND(L57*(L58/L59-1),0))</f>
        <v>0</v>
      </c>
      <c r="O60" s="1426" t="s">
        <v>407</v>
      </c>
      <c r="P60" s="1417" t="s">
        <v>853</v>
      </c>
      <c r="Q60" s="1418" t="e">
        <f ca="1">L58</f>
        <v>#DIV/0!</v>
      </c>
      <c r="R60" s="1418" t="s">
        <v>854</v>
      </c>
    </row>
    <row r="61" spans="1:18" s="1382" customFormat="1" ht="13.8" thickBot="1">
      <c r="A61" s="980" t="s">
        <v>779</v>
      </c>
      <c r="B61" s="948" t="s">
        <v>780</v>
      </c>
      <c r="C61" s="21">
        <f ca="1">IF(项目基本情况!B11="自然人","——",IF(D61="按租金收入计税",ROUND(C49*F61/(1+'数据-取费表'!C42),0),IF(D61="按房产原值计税",ROUND(C57*F61*0.7,0),INDIRECT("'数据-取费表'!Aj"&amp;$G$1))))</f>
        <v>0</v>
      </c>
      <c r="D61" s="1368" t="s">
        <v>3334</v>
      </c>
      <c r="E61" s="948" t="s">
        <v>781</v>
      </c>
      <c r="F61" s="322">
        <f t="shared" si="0"/>
        <v>0.12</v>
      </c>
      <c r="I61" s="1459"/>
      <c r="J61" s="1459"/>
      <c r="K61" s="1459"/>
      <c r="L61" s="1459"/>
      <c r="O61" s="1426" t="s">
        <v>408</v>
      </c>
      <c r="P61" s="1417" t="str">
        <f>K59</f>
        <v>建筑物剩余耐用年限下的土地年期修正系数Kn</v>
      </c>
      <c r="Q61" s="1418" t="e">
        <f ca="1">L59</f>
        <v>#DIV/0!</v>
      </c>
      <c r="R61" s="1418" t="s">
        <v>855</v>
      </c>
    </row>
    <row r="62" spans="1:18" s="1382" customFormat="1" ht="13.8" thickBot="1">
      <c r="A62" s="980" t="s">
        <v>782</v>
      </c>
      <c r="B62" s="947" t="s">
        <v>783</v>
      </c>
      <c r="C62" s="22">
        <f ca="1">IF(项目基本情况!B11="自然人","——",ROUND(F62*F63,0))</f>
        <v>0</v>
      </c>
      <c r="D62" s="963" t="s">
        <v>784</v>
      </c>
      <c r="E62" s="948" t="s">
        <v>785</v>
      </c>
      <c r="F62" s="325">
        <f t="shared" si="0"/>
        <v>1.5</v>
      </c>
      <c r="I62" s="1460" t="s">
        <v>856</v>
      </c>
      <c r="J62" s="1461" t="s">
        <v>857</v>
      </c>
      <c r="K62" s="1461" t="s">
        <v>858</v>
      </c>
      <c r="L62" s="1461" t="s">
        <v>859</v>
      </c>
      <c r="M62" s="1462" t="s">
        <v>860</v>
      </c>
      <c r="O62" s="1416" t="s">
        <v>409</v>
      </c>
      <c r="P62" s="1417" t="s">
        <v>861</v>
      </c>
      <c r="Q62" s="1418">
        <f ca="1">Q56+Q57</f>
        <v>6291788</v>
      </c>
      <c r="R62" s="1418" t="s">
        <v>410</v>
      </c>
    </row>
    <row r="63" spans="1:18" s="1382" customFormat="1" ht="13.8" thickBot="1">
      <c r="A63" s="326"/>
      <c r="B63" s="954"/>
      <c r="C63" s="26"/>
      <c r="D63" s="964"/>
      <c r="E63" s="948" t="s">
        <v>786</v>
      </c>
      <c r="F63" s="303">
        <f t="shared" ca="1" si="0"/>
        <v>0</v>
      </c>
      <c r="I63" s="1460" t="s">
        <v>862</v>
      </c>
      <c r="J63" s="1461">
        <v>70</v>
      </c>
      <c r="K63" s="1461">
        <v>50</v>
      </c>
      <c r="L63" s="1461">
        <v>80</v>
      </c>
      <c r="M63" s="1463">
        <v>0.02</v>
      </c>
      <c r="O63" s="1401" t="s">
        <v>863</v>
      </c>
      <c r="P63" s="1379"/>
      <c r="Q63" s="1379"/>
      <c r="R63" s="1379"/>
    </row>
    <row r="64" spans="1:18" s="1382" customFormat="1" ht="13.8" thickBot="1">
      <c r="A64" s="980" t="s">
        <v>787</v>
      </c>
      <c r="B64" s="948" t="s">
        <v>788</v>
      </c>
      <c r="C64" s="21">
        <f ca="1">ROUND(C57*F64,0)</f>
        <v>8061</v>
      </c>
      <c r="D64" s="962" t="s">
        <v>789</v>
      </c>
      <c r="E64" s="948" t="s">
        <v>781</v>
      </c>
      <c r="F64" s="328">
        <f t="shared" ca="1" si="0"/>
        <v>5.0000000000000001E-3</v>
      </c>
      <c r="I64" s="1460" t="s">
        <v>864</v>
      </c>
      <c r="J64" s="1461">
        <v>50</v>
      </c>
      <c r="K64" s="1461">
        <v>35</v>
      </c>
      <c r="L64" s="1461">
        <v>60</v>
      </c>
      <c r="M64" s="1462">
        <v>0</v>
      </c>
      <c r="O64" s="1409" t="s">
        <v>809</v>
      </c>
      <c r="P64" s="1410" t="s">
        <v>810</v>
      </c>
      <c r="Q64" s="1411" t="s">
        <v>811</v>
      </c>
      <c r="R64" s="1411" t="s">
        <v>812</v>
      </c>
    </row>
    <row r="65" spans="1:18" s="1382" customFormat="1" ht="13.8" thickBot="1">
      <c r="A65" s="980" t="s">
        <v>790</v>
      </c>
      <c r="B65" s="948" t="s">
        <v>740</v>
      </c>
      <c r="C65" s="21">
        <f ca="1">ROUND(C56*F65,0)</f>
        <v>1419</v>
      </c>
      <c r="D65" s="962" t="s">
        <v>741</v>
      </c>
      <c r="E65" s="948" t="s">
        <v>742</v>
      </c>
      <c r="F65" s="330">
        <f t="shared" ca="1" si="0"/>
        <v>1E-3</v>
      </c>
      <c r="I65" s="1460" t="s">
        <v>865</v>
      </c>
      <c r="J65" s="1461">
        <v>40</v>
      </c>
      <c r="K65" s="1461">
        <v>30</v>
      </c>
      <c r="L65" s="1461">
        <v>50</v>
      </c>
      <c r="M65" s="1463">
        <v>0.02</v>
      </c>
      <c r="O65" s="1416" t="s">
        <v>403</v>
      </c>
      <c r="P65" s="1417" t="s">
        <v>866</v>
      </c>
      <c r="Q65" s="1418">
        <f ca="1">C40+J29</f>
        <v>6291788</v>
      </c>
      <c r="R65" s="1418" t="s">
        <v>816</v>
      </c>
    </row>
    <row r="66" spans="1:18" s="1382" customFormat="1" ht="16.2" thickBot="1">
      <c r="A66" s="980" t="s">
        <v>791</v>
      </c>
      <c r="B66" s="948" t="s">
        <v>726</v>
      </c>
      <c r="C66" s="21">
        <f ca="1">ROUND(C48*F66,0)</f>
        <v>0</v>
      </c>
      <c r="D66" s="962" t="s">
        <v>792</v>
      </c>
      <c r="E66" s="948" t="s">
        <v>710</v>
      </c>
      <c r="F66" s="312">
        <f t="shared" ca="1" si="0"/>
        <v>0.01</v>
      </c>
      <c r="O66" s="1416" t="s">
        <v>404</v>
      </c>
      <c r="P66" s="1417" t="s">
        <v>844</v>
      </c>
      <c r="Q66" s="1418">
        <f ca="1">L60</f>
        <v>0</v>
      </c>
      <c r="R66" s="1418" t="s">
        <v>867</v>
      </c>
    </row>
    <row r="67" spans="1:18" s="1382" customFormat="1" ht="24.6" thickBot="1">
      <c r="A67" s="955" t="s">
        <v>394</v>
      </c>
      <c r="B67" s="965" t="s">
        <v>750</v>
      </c>
      <c r="C67" s="316">
        <f ca="1">C48-C58</f>
        <v>-9480</v>
      </c>
      <c r="D67" s="961" t="s">
        <v>751</v>
      </c>
      <c r="E67" s="966"/>
      <c r="F67" s="967"/>
      <c r="O67" s="1426" t="s">
        <v>405</v>
      </c>
      <c r="P67" s="1417" t="s">
        <v>848</v>
      </c>
      <c r="Q67" s="1464">
        <f ca="1">L51</f>
        <v>4560938</v>
      </c>
      <c r="R67" s="1418" t="s">
        <v>868</v>
      </c>
    </row>
    <row r="68" spans="1:18" s="1382" customFormat="1" ht="16.2" thickBot="1">
      <c r="A68" s="945" t="s">
        <v>395</v>
      </c>
      <c r="B68" s="946" t="s">
        <v>772</v>
      </c>
      <c r="C68" s="301">
        <f ca="1">ROUND(C67*(1-((1+F70)/(1+F68))^F69)/(F68-F70),0)</f>
        <v>-137780</v>
      </c>
      <c r="D68" s="963" t="s">
        <v>756</v>
      </c>
      <c r="E68" s="948" t="s">
        <v>757</v>
      </c>
      <c r="F68" s="312">
        <f ca="1">F40</f>
        <v>5.5E-2</v>
      </c>
      <c r="O68" s="1426" t="s">
        <v>406</v>
      </c>
      <c r="P68" s="1465" t="s">
        <v>869</v>
      </c>
      <c r="Q68" s="1418">
        <f ca="1">ROUND(Q69-Q70*Q71,0)</f>
        <v>246625</v>
      </c>
      <c r="R68" s="1418" t="s">
        <v>414</v>
      </c>
    </row>
    <row r="69" spans="1:18" s="1382" customFormat="1" ht="13.8" thickBot="1">
      <c r="A69" s="949"/>
      <c r="B69" s="950"/>
      <c r="C69" s="306"/>
      <c r="D69" s="968" t="s">
        <v>760</v>
      </c>
      <c r="E69" s="948" t="s">
        <v>761</v>
      </c>
      <c r="F69" s="333">
        <f ca="1">F41</f>
        <v>30</v>
      </c>
      <c r="O69" s="1426" t="s">
        <v>411</v>
      </c>
      <c r="P69" s="1465" t="s">
        <v>870</v>
      </c>
      <c r="Q69" s="1418">
        <f ca="1">C39</f>
        <v>345941</v>
      </c>
      <c r="R69" s="1418" t="s">
        <v>816</v>
      </c>
    </row>
    <row r="70" spans="1:18" s="1382" customFormat="1" ht="13.8" thickBot="1">
      <c r="A70" s="952"/>
      <c r="B70" s="953"/>
      <c r="C70" s="310"/>
      <c r="D70" s="964"/>
      <c r="E70" s="948" t="s">
        <v>764</v>
      </c>
      <c r="F70" s="1052"/>
      <c r="O70" s="1426" t="s">
        <v>412</v>
      </c>
      <c r="P70" s="1465" t="s">
        <v>871</v>
      </c>
      <c r="Q70" s="1418">
        <f ca="1">C13</f>
        <v>1418798</v>
      </c>
      <c r="R70" s="1418" t="s">
        <v>816</v>
      </c>
    </row>
    <row r="71" spans="1:18" s="1382" customFormat="1" ht="13.8" thickBot="1">
      <c r="A71" s="969" t="s">
        <v>396</v>
      </c>
      <c r="B71" s="970" t="s">
        <v>774</v>
      </c>
      <c r="C71" s="336">
        <f ca="1">ROUND(C68/F71,0)</f>
        <v>-513</v>
      </c>
      <c r="D71" s="971" t="s">
        <v>775</v>
      </c>
      <c r="E71" s="972" t="s">
        <v>776</v>
      </c>
      <c r="F71" s="339">
        <f ca="1">F43</f>
        <v>268.52</v>
      </c>
      <c r="O71" s="1426" t="s">
        <v>413</v>
      </c>
      <c r="P71" s="1465" t="s">
        <v>872</v>
      </c>
      <c r="Q71" s="1429">
        <f ca="1">C76</f>
        <v>7.0000000000000007E-2</v>
      </c>
      <c r="R71" s="1418"/>
    </row>
    <row r="72" spans="1:18" s="1382" customFormat="1" ht="13.8" thickBot="1">
      <c r="B72" s="724"/>
      <c r="C72" s="724"/>
      <c r="O72" s="1426" t="s">
        <v>407</v>
      </c>
      <c r="P72" s="1417" t="s">
        <v>850</v>
      </c>
      <c r="Q72" s="1429">
        <f>L52</f>
        <v>0</v>
      </c>
      <c r="R72" s="1418"/>
    </row>
    <row r="73" spans="1:18" ht="16.2" thickBot="1">
      <c r="A73" s="1382"/>
      <c r="B73" s="724"/>
      <c r="C73" s="724"/>
      <c r="D73" s="1382"/>
      <c r="E73" s="1382"/>
      <c r="F73" s="1382"/>
      <c r="O73" s="1426" t="s">
        <v>408</v>
      </c>
      <c r="P73" s="1417" t="s">
        <v>853</v>
      </c>
      <c r="Q73" s="1418" t="e">
        <f ca="1">L58</f>
        <v>#DIV/0!</v>
      </c>
      <c r="R73" s="1418" t="s">
        <v>854</v>
      </c>
    </row>
    <row r="74" spans="1:18" ht="13.8" thickBot="1">
      <c r="A74" s="1382"/>
      <c r="B74" s="273" t="s">
        <v>873</v>
      </c>
      <c r="C74" s="1467"/>
      <c r="D74" s="1382"/>
      <c r="E74" s="1382"/>
      <c r="F74" s="1382"/>
      <c r="O74" s="1426" t="s">
        <v>415</v>
      </c>
      <c r="P74" s="1417" t="str">
        <f>K59</f>
        <v>建筑物剩余耐用年限下的土地年期修正系数Kn</v>
      </c>
      <c r="Q74" s="1418" t="e">
        <f ca="1">L59</f>
        <v>#DIV/0!</v>
      </c>
      <c r="R74" s="1418" t="s">
        <v>855</v>
      </c>
    </row>
    <row r="75" spans="1:18" ht="13.8" thickBot="1">
      <c r="A75" s="1382"/>
      <c r="B75" s="340" t="s">
        <v>793</v>
      </c>
      <c r="C75" s="341">
        <f ca="1">ROUND(C13*C76,0)</f>
        <v>99316</v>
      </c>
      <c r="D75" s="1382"/>
      <c r="E75" s="1382"/>
      <c r="F75" s="1382"/>
      <c r="K75" s="1400"/>
      <c r="L75" s="1382"/>
      <c r="O75" s="1416" t="s">
        <v>409</v>
      </c>
      <c r="P75" s="1417" t="s">
        <v>836</v>
      </c>
      <c r="Q75" s="1418">
        <f ca="1">Q65+Q66</f>
        <v>6291788</v>
      </c>
      <c r="R75" s="1418" t="s">
        <v>410</v>
      </c>
    </row>
    <row r="76" spans="1:18">
      <c r="B76" s="342" t="s">
        <v>794</v>
      </c>
      <c r="C76" s="343">
        <f ca="1">INDIRECT("'数据-取费表'!j"&amp;$G$1)</f>
        <v>7.0000000000000007E-2</v>
      </c>
      <c r="I76" s="1382"/>
      <c r="J76" s="1382"/>
      <c r="K76" s="1400"/>
      <c r="L76" s="1382"/>
    </row>
    <row r="77" spans="1:18">
      <c r="B77" s="344" t="s">
        <v>795</v>
      </c>
      <c r="C77" s="345"/>
      <c r="I77" s="1382"/>
      <c r="J77" s="1382"/>
      <c r="K77" s="1400"/>
      <c r="L77" s="1382"/>
    </row>
    <row r="78" spans="1:18">
      <c r="B78" s="270" t="s">
        <v>796</v>
      </c>
      <c r="C78" s="346"/>
    </row>
    <row r="79" spans="1:18">
      <c r="B79" s="340" t="s">
        <v>797</v>
      </c>
      <c r="C79" s="274">
        <f ca="1">1-C80</f>
        <v>0.71300000000000008</v>
      </c>
    </row>
    <row r="80" spans="1:18">
      <c r="B80" s="340" t="s">
        <v>798</v>
      </c>
      <c r="C80" s="274">
        <f ca="1">ROUND(C75/C39,3)</f>
        <v>0.28699999999999998</v>
      </c>
    </row>
    <row r="81" spans="2:3">
      <c r="B81" s="270" t="s">
        <v>799</v>
      </c>
      <c r="C81" s="238"/>
    </row>
    <row r="82" spans="2:3">
      <c r="B82" s="273" t="s">
        <v>800</v>
      </c>
      <c r="C82" s="275">
        <f ca="1">1-C83</f>
        <v>0.77500000000000002</v>
      </c>
    </row>
    <row r="83" spans="2:3">
      <c r="B83" s="273" t="s">
        <v>801</v>
      </c>
      <c r="C83" s="274">
        <f ca="1">ROUND(C13/C40,3)</f>
        <v>0.22500000000000001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96" priority="4">
      <formula>$L$48&gt;$J$51</formula>
    </cfRule>
  </conditionalFormatting>
  <conditionalFormatting sqref="I55 I60">
    <cfRule type="expression" dxfId="195" priority="5">
      <formula>$J$51&gt;$L$48</formula>
    </cfRule>
  </conditionalFormatting>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9" customWidth="1"/>
    <col min="2" max="2" width="8.88671875" style="2839"/>
    <col min="3" max="5" width="12.88671875" style="2839" customWidth="1"/>
    <col min="6" max="6" width="47.44140625" style="2839" customWidth="1"/>
    <col min="7" max="7" width="13" style="2998" customWidth="1"/>
    <col min="8" max="8" width="8.88671875" style="2833"/>
    <col min="9" max="9" width="8.886718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88671875" style="2999"/>
    <col min="22" max="22" width="8.88671875" style="2834"/>
    <col min="23" max="256" width="8.88671875" style="2839"/>
    <col min="257" max="257" width="9.44140625" style="2839" customWidth="1"/>
    <col min="258" max="258" width="8.88671875" style="2839"/>
    <col min="259" max="261" width="12.88671875" style="2839" customWidth="1"/>
    <col min="262" max="262" width="47.44140625" style="2839" customWidth="1"/>
    <col min="263" max="263" width="13" style="2839" customWidth="1"/>
    <col min="264" max="265" width="8.886718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88671875" style="2839"/>
    <col min="513" max="513" width="9.44140625" style="2839" customWidth="1"/>
    <col min="514" max="514" width="8.88671875" style="2839"/>
    <col min="515" max="517" width="12.88671875" style="2839" customWidth="1"/>
    <col min="518" max="518" width="47.44140625" style="2839" customWidth="1"/>
    <col min="519" max="519" width="13" style="2839" customWidth="1"/>
    <col min="520" max="521" width="8.886718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88671875" style="2839"/>
    <col min="769" max="769" width="9.44140625" style="2839" customWidth="1"/>
    <col min="770" max="770" width="8.88671875" style="2839"/>
    <col min="771" max="773" width="12.88671875" style="2839" customWidth="1"/>
    <col min="774" max="774" width="47.44140625" style="2839" customWidth="1"/>
    <col min="775" max="775" width="13" style="2839" customWidth="1"/>
    <col min="776" max="777" width="8.886718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88671875" style="2839"/>
    <col min="1025" max="1025" width="9.44140625" style="2839" customWidth="1"/>
    <col min="1026" max="1026" width="8.88671875" style="2839"/>
    <col min="1027" max="1029" width="12.88671875" style="2839" customWidth="1"/>
    <col min="1030" max="1030" width="47.44140625" style="2839" customWidth="1"/>
    <col min="1031" max="1031" width="13" style="2839" customWidth="1"/>
    <col min="1032" max="1033" width="8.886718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88671875" style="2839"/>
    <col min="1281" max="1281" width="9.44140625" style="2839" customWidth="1"/>
    <col min="1282" max="1282" width="8.88671875" style="2839"/>
    <col min="1283" max="1285" width="12.88671875" style="2839" customWidth="1"/>
    <col min="1286" max="1286" width="47.44140625" style="2839" customWidth="1"/>
    <col min="1287" max="1287" width="13" style="2839" customWidth="1"/>
    <col min="1288" max="1289" width="8.886718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88671875" style="2839"/>
    <col min="1537" max="1537" width="9.44140625" style="2839" customWidth="1"/>
    <col min="1538" max="1538" width="8.88671875" style="2839"/>
    <col min="1539" max="1541" width="12.88671875" style="2839" customWidth="1"/>
    <col min="1542" max="1542" width="47.44140625" style="2839" customWidth="1"/>
    <col min="1543" max="1543" width="13" style="2839" customWidth="1"/>
    <col min="1544" max="1545" width="8.886718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88671875" style="2839"/>
    <col min="1793" max="1793" width="9.44140625" style="2839" customWidth="1"/>
    <col min="1794" max="1794" width="8.88671875" style="2839"/>
    <col min="1795" max="1797" width="12.88671875" style="2839" customWidth="1"/>
    <col min="1798" max="1798" width="47.44140625" style="2839" customWidth="1"/>
    <col min="1799" max="1799" width="13" style="2839" customWidth="1"/>
    <col min="1800" max="1801" width="8.886718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88671875" style="2839"/>
    <col min="2049" max="2049" width="9.44140625" style="2839" customWidth="1"/>
    <col min="2050" max="2050" width="8.88671875" style="2839"/>
    <col min="2051" max="2053" width="12.88671875" style="2839" customWidth="1"/>
    <col min="2054" max="2054" width="47.44140625" style="2839" customWidth="1"/>
    <col min="2055" max="2055" width="13" style="2839" customWidth="1"/>
    <col min="2056" max="2057" width="8.886718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88671875" style="2839"/>
    <col min="2305" max="2305" width="9.44140625" style="2839" customWidth="1"/>
    <col min="2306" max="2306" width="8.88671875" style="2839"/>
    <col min="2307" max="2309" width="12.88671875" style="2839" customWidth="1"/>
    <col min="2310" max="2310" width="47.44140625" style="2839" customWidth="1"/>
    <col min="2311" max="2311" width="13" style="2839" customWidth="1"/>
    <col min="2312" max="2313" width="8.886718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88671875" style="2839"/>
    <col min="2561" max="2561" width="9.44140625" style="2839" customWidth="1"/>
    <col min="2562" max="2562" width="8.88671875" style="2839"/>
    <col min="2563" max="2565" width="12.88671875" style="2839" customWidth="1"/>
    <col min="2566" max="2566" width="47.44140625" style="2839" customWidth="1"/>
    <col min="2567" max="2567" width="13" style="2839" customWidth="1"/>
    <col min="2568" max="2569" width="8.886718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88671875" style="2839"/>
    <col min="2817" max="2817" width="9.44140625" style="2839" customWidth="1"/>
    <col min="2818" max="2818" width="8.88671875" style="2839"/>
    <col min="2819" max="2821" width="12.88671875" style="2839" customWidth="1"/>
    <col min="2822" max="2822" width="47.44140625" style="2839" customWidth="1"/>
    <col min="2823" max="2823" width="13" style="2839" customWidth="1"/>
    <col min="2824" max="2825" width="8.886718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88671875" style="2839"/>
    <col min="3073" max="3073" width="9.44140625" style="2839" customWidth="1"/>
    <col min="3074" max="3074" width="8.88671875" style="2839"/>
    <col min="3075" max="3077" width="12.88671875" style="2839" customWidth="1"/>
    <col min="3078" max="3078" width="47.44140625" style="2839" customWidth="1"/>
    <col min="3079" max="3079" width="13" style="2839" customWidth="1"/>
    <col min="3080" max="3081" width="8.886718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88671875" style="2839"/>
    <col min="3329" max="3329" width="9.44140625" style="2839" customWidth="1"/>
    <col min="3330" max="3330" width="8.88671875" style="2839"/>
    <col min="3331" max="3333" width="12.88671875" style="2839" customWidth="1"/>
    <col min="3334" max="3334" width="47.44140625" style="2839" customWidth="1"/>
    <col min="3335" max="3335" width="13" style="2839" customWidth="1"/>
    <col min="3336" max="3337" width="8.886718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88671875" style="2839"/>
    <col min="3585" max="3585" width="9.44140625" style="2839" customWidth="1"/>
    <col min="3586" max="3586" width="8.88671875" style="2839"/>
    <col min="3587" max="3589" width="12.88671875" style="2839" customWidth="1"/>
    <col min="3590" max="3590" width="47.44140625" style="2839" customWidth="1"/>
    <col min="3591" max="3591" width="13" style="2839" customWidth="1"/>
    <col min="3592" max="3593" width="8.886718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88671875" style="2839"/>
    <col min="3841" max="3841" width="9.44140625" style="2839" customWidth="1"/>
    <col min="3842" max="3842" width="8.88671875" style="2839"/>
    <col min="3843" max="3845" width="12.88671875" style="2839" customWidth="1"/>
    <col min="3846" max="3846" width="47.44140625" style="2839" customWidth="1"/>
    <col min="3847" max="3847" width="13" style="2839" customWidth="1"/>
    <col min="3848" max="3849" width="8.886718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88671875" style="2839"/>
    <col min="4097" max="4097" width="9.44140625" style="2839" customWidth="1"/>
    <col min="4098" max="4098" width="8.88671875" style="2839"/>
    <col min="4099" max="4101" width="12.88671875" style="2839" customWidth="1"/>
    <col min="4102" max="4102" width="47.44140625" style="2839" customWidth="1"/>
    <col min="4103" max="4103" width="13" style="2839" customWidth="1"/>
    <col min="4104" max="4105" width="8.886718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88671875" style="2839"/>
    <col min="4353" max="4353" width="9.44140625" style="2839" customWidth="1"/>
    <col min="4354" max="4354" width="8.88671875" style="2839"/>
    <col min="4355" max="4357" width="12.88671875" style="2839" customWidth="1"/>
    <col min="4358" max="4358" width="47.44140625" style="2839" customWidth="1"/>
    <col min="4359" max="4359" width="13" style="2839" customWidth="1"/>
    <col min="4360" max="4361" width="8.886718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88671875" style="2839"/>
    <col min="4609" max="4609" width="9.44140625" style="2839" customWidth="1"/>
    <col min="4610" max="4610" width="8.88671875" style="2839"/>
    <col min="4611" max="4613" width="12.88671875" style="2839" customWidth="1"/>
    <col min="4614" max="4614" width="47.44140625" style="2839" customWidth="1"/>
    <col min="4615" max="4615" width="13" style="2839" customWidth="1"/>
    <col min="4616" max="4617" width="8.886718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88671875" style="2839"/>
    <col min="4865" max="4865" width="9.44140625" style="2839" customWidth="1"/>
    <col min="4866" max="4866" width="8.88671875" style="2839"/>
    <col min="4867" max="4869" width="12.88671875" style="2839" customWidth="1"/>
    <col min="4870" max="4870" width="47.44140625" style="2839" customWidth="1"/>
    <col min="4871" max="4871" width="13" style="2839" customWidth="1"/>
    <col min="4872" max="4873" width="8.886718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88671875" style="2839"/>
    <col min="5121" max="5121" width="9.44140625" style="2839" customWidth="1"/>
    <col min="5122" max="5122" width="8.88671875" style="2839"/>
    <col min="5123" max="5125" width="12.88671875" style="2839" customWidth="1"/>
    <col min="5126" max="5126" width="47.44140625" style="2839" customWidth="1"/>
    <col min="5127" max="5127" width="13" style="2839" customWidth="1"/>
    <col min="5128" max="5129" width="8.886718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88671875" style="2839"/>
    <col min="5377" max="5377" width="9.44140625" style="2839" customWidth="1"/>
    <col min="5378" max="5378" width="8.88671875" style="2839"/>
    <col min="5379" max="5381" width="12.88671875" style="2839" customWidth="1"/>
    <col min="5382" max="5382" width="47.44140625" style="2839" customWidth="1"/>
    <col min="5383" max="5383" width="13" style="2839" customWidth="1"/>
    <col min="5384" max="5385" width="8.886718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88671875" style="2839"/>
    <col min="5633" max="5633" width="9.44140625" style="2839" customWidth="1"/>
    <col min="5634" max="5634" width="8.88671875" style="2839"/>
    <col min="5635" max="5637" width="12.88671875" style="2839" customWidth="1"/>
    <col min="5638" max="5638" width="47.44140625" style="2839" customWidth="1"/>
    <col min="5639" max="5639" width="13" style="2839" customWidth="1"/>
    <col min="5640" max="5641" width="8.886718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88671875" style="2839"/>
    <col min="5889" max="5889" width="9.44140625" style="2839" customWidth="1"/>
    <col min="5890" max="5890" width="8.88671875" style="2839"/>
    <col min="5891" max="5893" width="12.88671875" style="2839" customWidth="1"/>
    <col min="5894" max="5894" width="47.44140625" style="2839" customWidth="1"/>
    <col min="5895" max="5895" width="13" style="2839" customWidth="1"/>
    <col min="5896" max="5897" width="8.886718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88671875" style="2839"/>
    <col min="6145" max="6145" width="9.44140625" style="2839" customWidth="1"/>
    <col min="6146" max="6146" width="8.88671875" style="2839"/>
    <col min="6147" max="6149" width="12.88671875" style="2839" customWidth="1"/>
    <col min="6150" max="6150" width="47.44140625" style="2839" customWidth="1"/>
    <col min="6151" max="6151" width="13" style="2839" customWidth="1"/>
    <col min="6152" max="6153" width="8.886718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88671875" style="2839"/>
    <col min="6401" max="6401" width="9.44140625" style="2839" customWidth="1"/>
    <col min="6402" max="6402" width="8.88671875" style="2839"/>
    <col min="6403" max="6405" width="12.88671875" style="2839" customWidth="1"/>
    <col min="6406" max="6406" width="47.44140625" style="2839" customWidth="1"/>
    <col min="6407" max="6407" width="13" style="2839" customWidth="1"/>
    <col min="6408" max="6409" width="8.886718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88671875" style="2839"/>
    <col min="6657" max="6657" width="9.44140625" style="2839" customWidth="1"/>
    <col min="6658" max="6658" width="8.88671875" style="2839"/>
    <col min="6659" max="6661" width="12.88671875" style="2839" customWidth="1"/>
    <col min="6662" max="6662" width="47.44140625" style="2839" customWidth="1"/>
    <col min="6663" max="6663" width="13" style="2839" customWidth="1"/>
    <col min="6664" max="6665" width="8.886718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88671875" style="2839"/>
    <col min="6913" max="6913" width="9.44140625" style="2839" customWidth="1"/>
    <col min="6914" max="6914" width="8.88671875" style="2839"/>
    <col min="6915" max="6917" width="12.88671875" style="2839" customWidth="1"/>
    <col min="6918" max="6918" width="47.44140625" style="2839" customWidth="1"/>
    <col min="6919" max="6919" width="13" style="2839" customWidth="1"/>
    <col min="6920" max="6921" width="8.886718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88671875" style="2839"/>
    <col min="7169" max="7169" width="9.44140625" style="2839" customWidth="1"/>
    <col min="7170" max="7170" width="8.88671875" style="2839"/>
    <col min="7171" max="7173" width="12.88671875" style="2839" customWidth="1"/>
    <col min="7174" max="7174" width="47.44140625" style="2839" customWidth="1"/>
    <col min="7175" max="7175" width="13" style="2839" customWidth="1"/>
    <col min="7176" max="7177" width="8.886718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88671875" style="2839"/>
    <col min="7425" max="7425" width="9.44140625" style="2839" customWidth="1"/>
    <col min="7426" max="7426" width="8.88671875" style="2839"/>
    <col min="7427" max="7429" width="12.88671875" style="2839" customWidth="1"/>
    <col min="7430" max="7430" width="47.44140625" style="2839" customWidth="1"/>
    <col min="7431" max="7431" width="13" style="2839" customWidth="1"/>
    <col min="7432" max="7433" width="8.886718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88671875" style="2839"/>
    <col min="7681" max="7681" width="9.44140625" style="2839" customWidth="1"/>
    <col min="7682" max="7682" width="8.88671875" style="2839"/>
    <col min="7683" max="7685" width="12.88671875" style="2839" customWidth="1"/>
    <col min="7686" max="7686" width="47.44140625" style="2839" customWidth="1"/>
    <col min="7687" max="7687" width="13" style="2839" customWidth="1"/>
    <col min="7688" max="7689" width="8.886718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88671875" style="2839"/>
    <col min="7937" max="7937" width="9.44140625" style="2839" customWidth="1"/>
    <col min="7938" max="7938" width="8.88671875" style="2839"/>
    <col min="7939" max="7941" width="12.88671875" style="2839" customWidth="1"/>
    <col min="7942" max="7942" width="47.44140625" style="2839" customWidth="1"/>
    <col min="7943" max="7943" width="13" style="2839" customWidth="1"/>
    <col min="7944" max="7945" width="8.886718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88671875" style="2839"/>
    <col min="8193" max="8193" width="9.44140625" style="2839" customWidth="1"/>
    <col min="8194" max="8194" width="8.88671875" style="2839"/>
    <col min="8195" max="8197" width="12.88671875" style="2839" customWidth="1"/>
    <col min="8198" max="8198" width="47.44140625" style="2839" customWidth="1"/>
    <col min="8199" max="8199" width="13" style="2839" customWidth="1"/>
    <col min="8200" max="8201" width="8.886718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88671875" style="2839"/>
    <col min="8449" max="8449" width="9.44140625" style="2839" customWidth="1"/>
    <col min="8450" max="8450" width="8.88671875" style="2839"/>
    <col min="8451" max="8453" width="12.88671875" style="2839" customWidth="1"/>
    <col min="8454" max="8454" width="47.44140625" style="2839" customWidth="1"/>
    <col min="8455" max="8455" width="13" style="2839" customWidth="1"/>
    <col min="8456" max="8457" width="8.886718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88671875" style="2839"/>
    <col min="8705" max="8705" width="9.44140625" style="2839" customWidth="1"/>
    <col min="8706" max="8706" width="8.88671875" style="2839"/>
    <col min="8707" max="8709" width="12.88671875" style="2839" customWidth="1"/>
    <col min="8710" max="8710" width="47.44140625" style="2839" customWidth="1"/>
    <col min="8711" max="8711" width="13" style="2839" customWidth="1"/>
    <col min="8712" max="8713" width="8.886718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88671875" style="2839"/>
    <col min="8961" max="8961" width="9.44140625" style="2839" customWidth="1"/>
    <col min="8962" max="8962" width="8.88671875" style="2839"/>
    <col min="8963" max="8965" width="12.88671875" style="2839" customWidth="1"/>
    <col min="8966" max="8966" width="47.44140625" style="2839" customWidth="1"/>
    <col min="8967" max="8967" width="13" style="2839" customWidth="1"/>
    <col min="8968" max="8969" width="8.886718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88671875" style="2839"/>
    <col min="9217" max="9217" width="9.44140625" style="2839" customWidth="1"/>
    <col min="9218" max="9218" width="8.88671875" style="2839"/>
    <col min="9219" max="9221" width="12.88671875" style="2839" customWidth="1"/>
    <col min="9222" max="9222" width="47.44140625" style="2839" customWidth="1"/>
    <col min="9223" max="9223" width="13" style="2839" customWidth="1"/>
    <col min="9224" max="9225" width="8.886718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88671875" style="2839"/>
    <col min="9473" max="9473" width="9.44140625" style="2839" customWidth="1"/>
    <col min="9474" max="9474" width="8.88671875" style="2839"/>
    <col min="9475" max="9477" width="12.88671875" style="2839" customWidth="1"/>
    <col min="9478" max="9478" width="47.44140625" style="2839" customWidth="1"/>
    <col min="9479" max="9479" width="13" style="2839" customWidth="1"/>
    <col min="9480" max="9481" width="8.886718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88671875" style="2839"/>
    <col min="9729" max="9729" width="9.44140625" style="2839" customWidth="1"/>
    <col min="9730" max="9730" width="8.88671875" style="2839"/>
    <col min="9731" max="9733" width="12.88671875" style="2839" customWidth="1"/>
    <col min="9734" max="9734" width="47.44140625" style="2839" customWidth="1"/>
    <col min="9735" max="9735" width="13" style="2839" customWidth="1"/>
    <col min="9736" max="9737" width="8.886718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88671875" style="2839"/>
    <col min="9985" max="9985" width="9.44140625" style="2839" customWidth="1"/>
    <col min="9986" max="9986" width="8.88671875" style="2839"/>
    <col min="9987" max="9989" width="12.88671875" style="2839" customWidth="1"/>
    <col min="9990" max="9990" width="47.44140625" style="2839" customWidth="1"/>
    <col min="9991" max="9991" width="13" style="2839" customWidth="1"/>
    <col min="9992" max="9993" width="8.886718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88671875" style="2839"/>
    <col min="10241" max="10241" width="9.44140625" style="2839" customWidth="1"/>
    <col min="10242" max="10242" width="8.88671875" style="2839"/>
    <col min="10243" max="10245" width="12.88671875" style="2839" customWidth="1"/>
    <col min="10246" max="10246" width="47.44140625" style="2839" customWidth="1"/>
    <col min="10247" max="10247" width="13" style="2839" customWidth="1"/>
    <col min="10248" max="10249" width="8.886718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88671875" style="2839"/>
    <col min="10497" max="10497" width="9.44140625" style="2839" customWidth="1"/>
    <col min="10498" max="10498" width="8.88671875" style="2839"/>
    <col min="10499" max="10501" width="12.88671875" style="2839" customWidth="1"/>
    <col min="10502" max="10502" width="47.44140625" style="2839" customWidth="1"/>
    <col min="10503" max="10503" width="13" style="2839" customWidth="1"/>
    <col min="10504" max="10505" width="8.886718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88671875" style="2839"/>
    <col min="10753" max="10753" width="9.44140625" style="2839" customWidth="1"/>
    <col min="10754" max="10754" width="8.88671875" style="2839"/>
    <col min="10755" max="10757" width="12.88671875" style="2839" customWidth="1"/>
    <col min="10758" max="10758" width="47.44140625" style="2839" customWidth="1"/>
    <col min="10759" max="10759" width="13" style="2839" customWidth="1"/>
    <col min="10760" max="10761" width="8.886718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88671875" style="2839"/>
    <col min="11009" max="11009" width="9.44140625" style="2839" customWidth="1"/>
    <col min="11010" max="11010" width="8.88671875" style="2839"/>
    <col min="11011" max="11013" width="12.88671875" style="2839" customWidth="1"/>
    <col min="11014" max="11014" width="47.44140625" style="2839" customWidth="1"/>
    <col min="11015" max="11015" width="13" style="2839" customWidth="1"/>
    <col min="11016" max="11017" width="8.886718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88671875" style="2839"/>
    <col min="11265" max="11265" width="9.44140625" style="2839" customWidth="1"/>
    <col min="11266" max="11266" width="8.88671875" style="2839"/>
    <col min="11267" max="11269" width="12.88671875" style="2839" customWidth="1"/>
    <col min="11270" max="11270" width="47.44140625" style="2839" customWidth="1"/>
    <col min="11271" max="11271" width="13" style="2839" customWidth="1"/>
    <col min="11272" max="11273" width="8.886718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88671875" style="2839"/>
    <col min="11521" max="11521" width="9.44140625" style="2839" customWidth="1"/>
    <col min="11522" max="11522" width="8.88671875" style="2839"/>
    <col min="11523" max="11525" width="12.88671875" style="2839" customWidth="1"/>
    <col min="11526" max="11526" width="47.44140625" style="2839" customWidth="1"/>
    <col min="11527" max="11527" width="13" style="2839" customWidth="1"/>
    <col min="11528" max="11529" width="8.886718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88671875" style="2839"/>
    <col min="11777" max="11777" width="9.44140625" style="2839" customWidth="1"/>
    <col min="11778" max="11778" width="8.88671875" style="2839"/>
    <col min="11779" max="11781" width="12.88671875" style="2839" customWidth="1"/>
    <col min="11782" max="11782" width="47.44140625" style="2839" customWidth="1"/>
    <col min="11783" max="11783" width="13" style="2839" customWidth="1"/>
    <col min="11784" max="11785" width="8.886718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88671875" style="2839"/>
    <col min="12033" max="12033" width="9.44140625" style="2839" customWidth="1"/>
    <col min="12034" max="12034" width="8.88671875" style="2839"/>
    <col min="12035" max="12037" width="12.88671875" style="2839" customWidth="1"/>
    <col min="12038" max="12038" width="47.44140625" style="2839" customWidth="1"/>
    <col min="12039" max="12039" width="13" style="2839" customWidth="1"/>
    <col min="12040" max="12041" width="8.886718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88671875" style="2839"/>
    <col min="12289" max="12289" width="9.44140625" style="2839" customWidth="1"/>
    <col min="12290" max="12290" width="8.88671875" style="2839"/>
    <col min="12291" max="12293" width="12.88671875" style="2839" customWidth="1"/>
    <col min="12294" max="12294" width="47.44140625" style="2839" customWidth="1"/>
    <col min="12295" max="12295" width="13" style="2839" customWidth="1"/>
    <col min="12296" max="12297" width="8.886718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88671875" style="2839"/>
    <col min="12545" max="12545" width="9.44140625" style="2839" customWidth="1"/>
    <col min="12546" max="12546" width="8.88671875" style="2839"/>
    <col min="12547" max="12549" width="12.88671875" style="2839" customWidth="1"/>
    <col min="12550" max="12550" width="47.44140625" style="2839" customWidth="1"/>
    <col min="12551" max="12551" width="13" style="2839" customWidth="1"/>
    <col min="12552" max="12553" width="8.886718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88671875" style="2839"/>
    <col min="12801" max="12801" width="9.44140625" style="2839" customWidth="1"/>
    <col min="12802" max="12802" width="8.88671875" style="2839"/>
    <col min="12803" max="12805" width="12.88671875" style="2839" customWidth="1"/>
    <col min="12806" max="12806" width="47.44140625" style="2839" customWidth="1"/>
    <col min="12807" max="12807" width="13" style="2839" customWidth="1"/>
    <col min="12808" max="12809" width="8.886718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88671875" style="2839"/>
    <col min="13057" max="13057" width="9.44140625" style="2839" customWidth="1"/>
    <col min="13058" max="13058" width="8.88671875" style="2839"/>
    <col min="13059" max="13061" width="12.88671875" style="2839" customWidth="1"/>
    <col min="13062" max="13062" width="47.44140625" style="2839" customWidth="1"/>
    <col min="13063" max="13063" width="13" style="2839" customWidth="1"/>
    <col min="13064" max="13065" width="8.886718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88671875" style="2839"/>
    <col min="13313" max="13313" width="9.44140625" style="2839" customWidth="1"/>
    <col min="13314" max="13314" width="8.88671875" style="2839"/>
    <col min="13315" max="13317" width="12.88671875" style="2839" customWidth="1"/>
    <col min="13318" max="13318" width="47.44140625" style="2839" customWidth="1"/>
    <col min="13319" max="13319" width="13" style="2839" customWidth="1"/>
    <col min="13320" max="13321" width="8.886718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88671875" style="2839"/>
    <col min="13569" max="13569" width="9.44140625" style="2839" customWidth="1"/>
    <col min="13570" max="13570" width="8.88671875" style="2839"/>
    <col min="13571" max="13573" width="12.88671875" style="2839" customWidth="1"/>
    <col min="13574" max="13574" width="47.44140625" style="2839" customWidth="1"/>
    <col min="13575" max="13575" width="13" style="2839" customWidth="1"/>
    <col min="13576" max="13577" width="8.886718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88671875" style="2839"/>
    <col min="13825" max="13825" width="9.44140625" style="2839" customWidth="1"/>
    <col min="13826" max="13826" width="8.88671875" style="2839"/>
    <col min="13827" max="13829" width="12.88671875" style="2839" customWidth="1"/>
    <col min="13830" max="13830" width="47.44140625" style="2839" customWidth="1"/>
    <col min="13831" max="13831" width="13" style="2839" customWidth="1"/>
    <col min="13832" max="13833" width="8.886718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88671875" style="2839"/>
    <col min="14081" max="14081" width="9.44140625" style="2839" customWidth="1"/>
    <col min="14082" max="14082" width="8.88671875" style="2839"/>
    <col min="14083" max="14085" width="12.88671875" style="2839" customWidth="1"/>
    <col min="14086" max="14086" width="47.44140625" style="2839" customWidth="1"/>
    <col min="14087" max="14087" width="13" style="2839" customWidth="1"/>
    <col min="14088" max="14089" width="8.886718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88671875" style="2839"/>
    <col min="14337" max="14337" width="9.44140625" style="2839" customWidth="1"/>
    <col min="14338" max="14338" width="8.88671875" style="2839"/>
    <col min="14339" max="14341" width="12.88671875" style="2839" customWidth="1"/>
    <col min="14342" max="14342" width="47.44140625" style="2839" customWidth="1"/>
    <col min="14343" max="14343" width="13" style="2839" customWidth="1"/>
    <col min="14344" max="14345" width="8.886718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88671875" style="2839"/>
    <col min="14593" max="14593" width="9.44140625" style="2839" customWidth="1"/>
    <col min="14594" max="14594" width="8.88671875" style="2839"/>
    <col min="14595" max="14597" width="12.88671875" style="2839" customWidth="1"/>
    <col min="14598" max="14598" width="47.44140625" style="2839" customWidth="1"/>
    <col min="14599" max="14599" width="13" style="2839" customWidth="1"/>
    <col min="14600" max="14601" width="8.886718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88671875" style="2839"/>
    <col min="14849" max="14849" width="9.44140625" style="2839" customWidth="1"/>
    <col min="14850" max="14850" width="8.88671875" style="2839"/>
    <col min="14851" max="14853" width="12.88671875" style="2839" customWidth="1"/>
    <col min="14854" max="14854" width="47.44140625" style="2839" customWidth="1"/>
    <col min="14855" max="14855" width="13" style="2839" customWidth="1"/>
    <col min="14856" max="14857" width="8.886718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88671875" style="2839"/>
    <col min="15105" max="15105" width="9.44140625" style="2839" customWidth="1"/>
    <col min="15106" max="15106" width="8.88671875" style="2839"/>
    <col min="15107" max="15109" width="12.88671875" style="2839" customWidth="1"/>
    <col min="15110" max="15110" width="47.44140625" style="2839" customWidth="1"/>
    <col min="15111" max="15111" width="13" style="2839" customWidth="1"/>
    <col min="15112" max="15113" width="8.886718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88671875" style="2839"/>
    <col min="15361" max="15361" width="9.44140625" style="2839" customWidth="1"/>
    <col min="15362" max="15362" width="8.88671875" style="2839"/>
    <col min="15363" max="15365" width="12.88671875" style="2839" customWidth="1"/>
    <col min="15366" max="15366" width="47.44140625" style="2839" customWidth="1"/>
    <col min="15367" max="15367" width="13" style="2839" customWidth="1"/>
    <col min="15368" max="15369" width="8.886718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88671875" style="2839"/>
    <col min="15617" max="15617" width="9.44140625" style="2839" customWidth="1"/>
    <col min="15618" max="15618" width="8.88671875" style="2839"/>
    <col min="15619" max="15621" width="12.88671875" style="2839" customWidth="1"/>
    <col min="15622" max="15622" width="47.44140625" style="2839" customWidth="1"/>
    <col min="15623" max="15623" width="13" style="2839" customWidth="1"/>
    <col min="15624" max="15625" width="8.886718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88671875" style="2839"/>
    <col min="15873" max="15873" width="9.44140625" style="2839" customWidth="1"/>
    <col min="15874" max="15874" width="8.88671875" style="2839"/>
    <col min="15875" max="15877" width="12.88671875" style="2839" customWidth="1"/>
    <col min="15878" max="15878" width="47.44140625" style="2839" customWidth="1"/>
    <col min="15879" max="15879" width="13" style="2839" customWidth="1"/>
    <col min="15880" max="15881" width="8.886718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88671875" style="2839"/>
    <col min="16129" max="16129" width="9.44140625" style="2839" customWidth="1"/>
    <col min="16130" max="16130" width="8.88671875" style="2839"/>
    <col min="16131" max="16133" width="12.88671875" style="2839" customWidth="1"/>
    <col min="16134" max="16134" width="47.44140625" style="2839" customWidth="1"/>
    <col min="16135" max="16135" width="13" style="2839" customWidth="1"/>
    <col min="16136" max="16137" width="8.886718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88671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2" customHeight="1">
      <c r="A2" s="1383" t="s">
        <v>2314</v>
      </c>
      <c r="B2" s="2840" t="e">
        <f>IF(D2="——",C40,C40+E2)</f>
        <v>#DIV/0!</v>
      </c>
      <c r="C2" s="2841" t="s">
        <v>2315</v>
      </c>
      <c r="D2" s="3440" t="s">
        <v>3357</v>
      </c>
      <c r="E2" s="3441"/>
      <c r="F2" s="2843"/>
      <c r="G2" s="2844"/>
      <c r="H2" s="2845"/>
      <c r="I2" s="2846"/>
      <c r="J2" s="3706" t="s">
        <v>2316</v>
      </c>
      <c r="K2" s="3707"/>
      <c r="L2" s="2847" t="s">
        <v>2317</v>
      </c>
      <c r="M2" s="2847" t="s">
        <v>2318</v>
      </c>
      <c r="N2" s="2847" t="s">
        <v>2319</v>
      </c>
      <c r="O2" s="2847" t="s">
        <v>2320</v>
      </c>
      <c r="P2" s="2847" t="s">
        <v>2321</v>
      </c>
      <c r="Q2" s="2848" t="s">
        <v>2322</v>
      </c>
      <c r="R2" s="2849" t="s">
        <v>2323</v>
      </c>
      <c r="S2" s="2838"/>
      <c r="T2" s="2838"/>
      <c r="U2" s="2838"/>
      <c r="V2" s="2846"/>
    </row>
    <row r="3" spans="1:22" s="2850" customFormat="1" ht="13.2" customHeight="1">
      <c r="A3" s="2851" t="s">
        <v>2324</v>
      </c>
      <c r="B3" s="2852" t="e">
        <f>ROUND(B2*10000/B4,0)</f>
        <v>#DIV/0!</v>
      </c>
      <c r="C3" s="2841" t="s">
        <v>2325</v>
      </c>
      <c r="D3" s="2841"/>
      <c r="E3" s="2842"/>
      <c r="F3" s="2843"/>
      <c r="G3" s="2844"/>
      <c r="H3" s="2845"/>
      <c r="I3" s="2846"/>
      <c r="J3" s="3708" t="s">
        <v>2326</v>
      </c>
      <c r="K3" s="3709"/>
      <c r="L3" s="2853"/>
      <c r="M3" s="2853"/>
      <c r="N3" s="2853"/>
      <c r="O3" s="2853"/>
      <c r="P3" s="2853"/>
      <c r="Q3" s="2854"/>
      <c r="R3" s="2855">
        <f>SUM(L3:Q3)</f>
        <v>0</v>
      </c>
      <c r="S3" s="2838"/>
      <c r="T3" s="2838"/>
      <c r="U3" s="2838"/>
      <c r="V3" s="2846"/>
    </row>
    <row r="4" spans="1:22" s="2850" customFormat="1" ht="13.2" customHeight="1">
      <c r="A4" s="2856" t="s">
        <v>2327</v>
      </c>
      <c r="B4" s="2857"/>
      <c r="C4" s="2841"/>
      <c r="D4" s="2841"/>
      <c r="E4" s="2842"/>
      <c r="F4" s="2843"/>
      <c r="G4" s="2844"/>
      <c r="H4" s="2845"/>
      <c r="I4" s="2846"/>
      <c r="J4" s="3708" t="s">
        <v>2328</v>
      </c>
      <c r="K4" s="3709"/>
      <c r="L4" s="2858"/>
      <c r="M4" s="2858"/>
      <c r="N4" s="2858"/>
      <c r="O4" s="2858"/>
      <c r="P4" s="2858"/>
      <c r="Q4" s="2859"/>
      <c r="R4" s="2860">
        <f>SUM(L4:Q4)</f>
        <v>0</v>
      </c>
      <c r="S4" s="2838"/>
      <c r="T4" s="2838"/>
      <c r="U4" s="2838"/>
      <c r="V4" s="2846"/>
    </row>
    <row r="5" spans="1:22" s="2850" customFormat="1" ht="13.2"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2" customHeight="1" thickBot="1">
      <c r="A6" s="3710" t="s">
        <v>2332</v>
      </c>
      <c r="B6" s="3711"/>
      <c r="C6" s="3712"/>
      <c r="D6" s="2867"/>
      <c r="E6" s="2868"/>
      <c r="F6" s="2869"/>
      <c r="G6" s="2870"/>
      <c r="H6" s="2845"/>
      <c r="I6" s="2846"/>
      <c r="J6" s="3713">
        <v>1</v>
      </c>
      <c r="K6" s="3714"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2" customHeight="1">
      <c r="A7" s="2873" t="s">
        <v>2342</v>
      </c>
      <c r="B7" s="2874"/>
      <c r="C7" s="2875"/>
      <c r="D7" s="2876">
        <f>SUM(D9,D10,D11,D17,0)</f>
        <v>0</v>
      </c>
      <c r="E7" s="2877" t="e">
        <f>E9+E10+E11+E17</f>
        <v>#DIV/0!</v>
      </c>
      <c r="F7" s="2878"/>
      <c r="G7" s="2879"/>
      <c r="H7" s="2845"/>
      <c r="I7" s="2846"/>
      <c r="J7" s="3713"/>
      <c r="K7" s="3715"/>
      <c r="L7" s="2880" t="s">
        <v>2343</v>
      </c>
      <c r="M7" s="2881"/>
      <c r="N7" s="2857"/>
      <c r="O7" s="2882"/>
      <c r="P7" s="2882"/>
      <c r="Q7" s="2883">
        <v>365</v>
      </c>
      <c r="R7" s="2884">
        <f>ROUND(M7*N7*O7*P7*Q7/10000,0)</f>
        <v>0</v>
      </c>
      <c r="S7" s="2838"/>
      <c r="T7" s="2838" t="s">
        <v>2344</v>
      </c>
      <c r="U7" s="2838"/>
      <c r="V7" s="2846"/>
    </row>
    <row r="8" spans="1:22" s="2850" customFormat="1" ht="13.2" customHeight="1">
      <c r="A8" s="2885" t="s">
        <v>2345</v>
      </c>
      <c r="B8" s="3717" t="s">
        <v>2346</v>
      </c>
      <c r="C8" s="3718"/>
      <c r="D8" s="2886" t="s">
        <v>2347</v>
      </c>
      <c r="E8" s="2887" t="s">
        <v>2348</v>
      </c>
      <c r="F8" s="2888" t="s">
        <v>2349</v>
      </c>
      <c r="G8" s="2889"/>
      <c r="H8" s="2845"/>
      <c r="I8" s="2846"/>
      <c r="J8" s="3713"/>
      <c r="K8" s="3715"/>
      <c r="L8" s="2880" t="s">
        <v>2350</v>
      </c>
      <c r="M8" s="2881"/>
      <c r="N8" s="2857"/>
      <c r="O8" s="2882"/>
      <c r="P8" s="2882"/>
      <c r="Q8" s="2883">
        <v>365</v>
      </c>
      <c r="R8" s="2884">
        <f t="shared" ref="R8:R13" si="0">ROUND(M8*N8*O8*P8*Q8/10000,0)</f>
        <v>0</v>
      </c>
      <c r="S8" s="2838"/>
      <c r="T8" s="2838" t="s">
        <v>2351</v>
      </c>
      <c r="U8" s="2838"/>
      <c r="V8" s="2846"/>
    </row>
    <row r="9" spans="1:22" s="2850" customFormat="1" ht="13.2" customHeight="1">
      <c r="A9" s="2885">
        <v>1</v>
      </c>
      <c r="B9" s="3717" t="s">
        <v>2352</v>
      </c>
      <c r="C9" s="3718"/>
      <c r="D9" s="2886">
        <f>ROUND(D6*E9,0)</f>
        <v>0</v>
      </c>
      <c r="E9" s="2890"/>
      <c r="F9" s="2891" t="s">
        <v>2353</v>
      </c>
      <c r="G9" s="2870"/>
      <c r="H9" s="2845"/>
      <c r="I9" s="2846"/>
      <c r="J9" s="3713"/>
      <c r="K9" s="3715"/>
      <c r="L9" s="2880" t="s">
        <v>2354</v>
      </c>
      <c r="M9" s="2881"/>
      <c r="N9" s="2857"/>
      <c r="O9" s="2882"/>
      <c r="P9" s="2882"/>
      <c r="Q9" s="2883">
        <v>365</v>
      </c>
      <c r="R9" s="2884">
        <f t="shared" si="0"/>
        <v>0</v>
      </c>
      <c r="S9" s="2838"/>
      <c r="T9" s="2838"/>
      <c r="U9" s="2838"/>
      <c r="V9" s="2846"/>
    </row>
    <row r="10" spans="1:22" s="2850" customFormat="1" ht="13.2" customHeight="1">
      <c r="A10" s="2885">
        <v>2</v>
      </c>
      <c r="B10" s="3717" t="s">
        <v>2355</v>
      </c>
      <c r="C10" s="3718"/>
      <c r="D10" s="2886">
        <f>ROUND(D6*E10,0)</f>
        <v>0</v>
      </c>
      <c r="E10" s="2890"/>
      <c r="F10" s="2891" t="s">
        <v>2356</v>
      </c>
      <c r="G10" s="2870"/>
      <c r="H10" s="2845"/>
      <c r="I10" s="2846"/>
      <c r="J10" s="3713"/>
      <c r="K10" s="3715"/>
      <c r="L10" s="2880" t="s">
        <v>2357</v>
      </c>
      <c r="M10" s="2881"/>
      <c r="N10" s="2857"/>
      <c r="O10" s="2882"/>
      <c r="P10" s="2882"/>
      <c r="Q10" s="2883">
        <v>365</v>
      </c>
      <c r="R10" s="2884">
        <f t="shared" si="0"/>
        <v>0</v>
      </c>
      <c r="S10" s="2838"/>
      <c r="T10" s="2838"/>
      <c r="U10" s="2838"/>
      <c r="V10" s="2846"/>
    </row>
    <row r="11" spans="1:22" s="2850" customFormat="1" ht="13.2" customHeight="1">
      <c r="A11" s="2885">
        <v>3</v>
      </c>
      <c r="B11" s="3717" t="s">
        <v>2358</v>
      </c>
      <c r="C11" s="3718"/>
      <c r="D11" s="2886">
        <f>D12+D14+D15+D16</f>
        <v>0</v>
      </c>
      <c r="E11" s="2892" t="e">
        <f>D11/D6</f>
        <v>#DIV/0!</v>
      </c>
      <c r="F11" s="2888"/>
      <c r="G11" s="2889"/>
      <c r="H11" s="2845"/>
      <c r="I11" s="2846"/>
      <c r="J11" s="3713"/>
      <c r="K11" s="3715"/>
      <c r="L11" s="2880" t="s">
        <v>2359</v>
      </c>
      <c r="M11" s="2881"/>
      <c r="N11" s="2857"/>
      <c r="O11" s="2882"/>
      <c r="P11" s="2882"/>
      <c r="Q11" s="2883">
        <v>365</v>
      </c>
      <c r="R11" s="2884">
        <f t="shared" si="0"/>
        <v>0</v>
      </c>
      <c r="S11" s="2838"/>
      <c r="T11" s="2838"/>
      <c r="U11" s="2838"/>
      <c r="V11" s="2846"/>
    </row>
    <row r="12" spans="1:22" s="2850" customFormat="1" ht="13.2" customHeight="1">
      <c r="A12" s="2893" t="s">
        <v>2360</v>
      </c>
      <c r="B12" s="3719" t="s">
        <v>2361</v>
      </c>
      <c r="C12" s="3720"/>
      <c r="D12" s="2894">
        <f>ROUND(D13*1.2%*(1-30%),0)</f>
        <v>0</v>
      </c>
      <c r="E12" s="2895">
        <v>1.2E-2</v>
      </c>
      <c r="F12" s="2888" t="s">
        <v>2362</v>
      </c>
      <c r="G12" s="2889"/>
      <c r="H12" s="2845"/>
      <c r="I12" s="2846"/>
      <c r="J12" s="3713"/>
      <c r="K12" s="3715"/>
      <c r="L12" s="2880" t="s">
        <v>2363</v>
      </c>
      <c r="M12" s="2881"/>
      <c r="N12" s="2857"/>
      <c r="O12" s="2882"/>
      <c r="P12" s="2882"/>
      <c r="Q12" s="2883">
        <v>365</v>
      </c>
      <c r="R12" s="2884">
        <f t="shared" si="0"/>
        <v>0</v>
      </c>
      <c r="S12" s="2838"/>
      <c r="T12" s="2838"/>
      <c r="U12" s="2838"/>
      <c r="V12" s="2846"/>
    </row>
    <row r="13" spans="1:22" s="2850" customFormat="1" ht="13.2" customHeight="1">
      <c r="A13" s="2893"/>
      <c r="B13" s="2896"/>
      <c r="C13" s="2897" t="s">
        <v>2364</v>
      </c>
      <c r="D13" s="2898"/>
      <c r="E13" s="2899"/>
      <c r="F13" s="2888"/>
      <c r="G13" s="2889"/>
      <c r="H13" s="2845"/>
      <c r="I13" s="2846"/>
      <c r="J13" s="3713"/>
      <c r="K13" s="3715"/>
      <c r="L13" s="2880" t="s">
        <v>2365</v>
      </c>
      <c r="M13" s="2881"/>
      <c r="N13" s="2857"/>
      <c r="O13" s="2882"/>
      <c r="P13" s="2882"/>
      <c r="Q13" s="2883">
        <v>365</v>
      </c>
      <c r="R13" s="2884">
        <f t="shared" si="0"/>
        <v>0</v>
      </c>
      <c r="S13" s="2838"/>
      <c r="T13" s="2838"/>
      <c r="U13" s="2838"/>
      <c r="V13" s="2846"/>
    </row>
    <row r="14" spans="1:22" s="2850" customFormat="1" ht="13.2" customHeight="1">
      <c r="A14" s="2893" t="s">
        <v>2366</v>
      </c>
      <c r="B14" s="3719" t="s">
        <v>2367</v>
      </c>
      <c r="C14" s="3720"/>
      <c r="D14" s="2894">
        <f>ROUND(E14*B5/10000,0)</f>
        <v>0</v>
      </c>
      <c r="E14" s="2883"/>
      <c r="F14" s="2888" t="s">
        <v>2368</v>
      </c>
      <c r="G14" s="2889"/>
      <c r="H14" s="2845"/>
      <c r="I14" s="2846"/>
      <c r="J14" s="3713"/>
      <c r="K14" s="3716"/>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2370</v>
      </c>
      <c r="B15" s="3719" t="s">
        <v>2371</v>
      </c>
      <c r="C15" s="3720"/>
      <c r="D15" s="2894">
        <f>ROUND(D6*E15,0)</f>
        <v>0</v>
      </c>
      <c r="E15" s="2895">
        <v>5.5E-2</v>
      </c>
      <c r="F15" s="2888" t="s">
        <v>2372</v>
      </c>
      <c r="G15" s="2870"/>
      <c r="H15" s="2845"/>
      <c r="I15" s="2846"/>
      <c r="J15" s="3713">
        <v>2</v>
      </c>
      <c r="K15" s="3714"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2" customHeight="1">
      <c r="A16" s="2893" t="s">
        <v>2379</v>
      </c>
      <c r="B16" s="3719" t="s">
        <v>2380</v>
      </c>
      <c r="C16" s="3720"/>
      <c r="D16" s="2905">
        <f>D6*E16</f>
        <v>0</v>
      </c>
      <c r="E16" s="2906"/>
      <c r="F16" s="2891" t="s">
        <v>2381</v>
      </c>
      <c r="G16" s="2870"/>
      <c r="H16" s="2845"/>
      <c r="I16" s="2846"/>
      <c r="J16" s="3713"/>
      <c r="K16" s="3715"/>
      <c r="L16" s="2880" t="s">
        <v>2382</v>
      </c>
      <c r="M16" s="2881"/>
      <c r="N16" s="2881"/>
      <c r="O16" s="2882"/>
      <c r="P16" s="2883">
        <v>365</v>
      </c>
      <c r="Q16" s="2857"/>
      <c r="R16" s="2904">
        <f>ROUND(M16*N16*O16*P16/10000,0)</f>
        <v>0</v>
      </c>
      <c r="S16" s="2838"/>
      <c r="T16" s="2838"/>
      <c r="U16" s="2838"/>
      <c r="V16" s="2846"/>
    </row>
    <row r="17" spans="1:22" s="2850" customFormat="1" ht="13.2" customHeight="1" thickBot="1">
      <c r="A17" s="2907">
        <v>4</v>
      </c>
      <c r="B17" s="3721" t="s">
        <v>2383</v>
      </c>
      <c r="C17" s="3722"/>
      <c r="D17" s="2908">
        <f>ROUND(D6*E17,0)</f>
        <v>0</v>
      </c>
      <c r="E17" s="2909"/>
      <c r="F17" s="2910" t="s">
        <v>2384</v>
      </c>
      <c r="G17" s="2870"/>
      <c r="H17" s="2845"/>
      <c r="I17" s="2846"/>
      <c r="J17" s="3713"/>
      <c r="K17" s="3715"/>
      <c r="L17" s="2880" t="s">
        <v>2385</v>
      </c>
      <c r="M17" s="2881"/>
      <c r="N17" s="2881"/>
      <c r="O17" s="2882"/>
      <c r="P17" s="2883">
        <v>365</v>
      </c>
      <c r="Q17" s="2857"/>
      <c r="R17" s="2904">
        <f>ROUND(M17*N17*O17*P17/10000,0)</f>
        <v>0</v>
      </c>
      <c r="S17" s="2838"/>
      <c r="T17" s="2838"/>
      <c r="U17" s="2838"/>
      <c r="V17" s="2846"/>
    </row>
    <row r="18" spans="1:22" s="2850" customFormat="1" ht="13.2" customHeight="1" thickBot="1">
      <c r="A18" s="2873" t="s">
        <v>2386</v>
      </c>
      <c r="B18" s="2874"/>
      <c r="C18" s="2874"/>
      <c r="D18" s="2911">
        <f>ROUND(D6*E18,0)</f>
        <v>0</v>
      </c>
      <c r="E18" s="2912"/>
      <c r="F18" s="2913" t="s">
        <v>2387</v>
      </c>
      <c r="G18" s="2870"/>
      <c r="H18" s="2845"/>
      <c r="I18" s="2846"/>
      <c r="J18" s="3713"/>
      <c r="K18" s="3715"/>
      <c r="L18" s="2880" t="s">
        <v>2388</v>
      </c>
      <c r="M18" s="2881"/>
      <c r="N18" s="2881"/>
      <c r="O18" s="2882"/>
      <c r="P18" s="2883">
        <v>365</v>
      </c>
      <c r="Q18" s="2857"/>
      <c r="R18" s="2904">
        <f>ROUND(M18*N18*O18*P18/10000,0)</f>
        <v>0</v>
      </c>
      <c r="S18" s="2838"/>
      <c r="T18" s="2838"/>
      <c r="U18" s="2838"/>
      <c r="V18" s="2846"/>
    </row>
    <row r="19" spans="1:22" s="2850" customFormat="1" ht="13.2" customHeight="1" thickBot="1">
      <c r="A19" s="2914" t="s">
        <v>2389</v>
      </c>
      <c r="B19" s="2868"/>
      <c r="C19" s="2868"/>
      <c r="D19" s="2868"/>
      <c r="E19" s="2868"/>
      <c r="F19" s="2869"/>
      <c r="G19" s="2889"/>
      <c r="H19" s="2845"/>
      <c r="I19" s="2846"/>
      <c r="J19" s="3713"/>
      <c r="K19" s="3716"/>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713">
        <v>3</v>
      </c>
      <c r="K20" s="3714"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2" customHeight="1">
      <c r="A21" s="2873"/>
      <c r="B21" s="2874"/>
      <c r="C21" s="2920" t="s">
        <v>2398</v>
      </c>
      <c r="D21" s="2921" t="s">
        <v>2399</v>
      </c>
      <c r="E21" s="2922" t="s">
        <v>2400</v>
      </c>
      <c r="F21" s="2917"/>
      <c r="G21" s="2889"/>
      <c r="H21" s="2845"/>
      <c r="I21" s="2846"/>
      <c r="J21" s="3713"/>
      <c r="K21" s="3715"/>
      <c r="L21" s="2880" t="s">
        <v>2401</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2402</v>
      </c>
      <c r="D22" s="2925" t="s">
        <v>2403</v>
      </c>
      <c r="E22" s="2926" t="s">
        <v>2404</v>
      </c>
      <c r="F22" s="2917"/>
      <c r="G22" s="2927"/>
      <c r="H22" s="2845"/>
      <c r="I22" s="2846"/>
      <c r="J22" s="3713"/>
      <c r="K22" s="3715"/>
      <c r="L22" s="2880" t="s">
        <v>2405</v>
      </c>
      <c r="M22" s="2881"/>
      <c r="N22" s="2881"/>
      <c r="O22" s="2882"/>
      <c r="P22" s="2883">
        <v>365</v>
      </c>
      <c r="Q22" s="2857"/>
      <c r="R22" s="2923">
        <f>ROUND(M22*N22*O22*P22/10000,0)</f>
        <v>0</v>
      </c>
      <c r="S22" s="2919"/>
      <c r="T22" s="2919"/>
      <c r="U22" s="2919"/>
      <c r="V22" s="2846"/>
    </row>
    <row r="23" spans="1:22" s="2850" customFormat="1" ht="13.2" customHeight="1">
      <c r="A23" s="2928">
        <v>1</v>
      </c>
      <c r="B23" s="2929" t="s">
        <v>2406</v>
      </c>
      <c r="C23" s="2930">
        <f>D6</f>
        <v>0</v>
      </c>
      <c r="D23" s="2931">
        <f>C23*(1+D24)</f>
        <v>0</v>
      </c>
      <c r="E23" s="2932">
        <f>D23*(1+E24)</f>
        <v>0</v>
      </c>
      <c r="F23" s="2933"/>
      <c r="G23" s="2934"/>
      <c r="H23" s="2845"/>
      <c r="I23" s="2846"/>
      <c r="J23" s="3713"/>
      <c r="K23" s="3715"/>
      <c r="L23" s="2880" t="s">
        <v>2407</v>
      </c>
      <c r="M23" s="2881"/>
      <c r="N23" s="2881"/>
      <c r="O23" s="2882"/>
      <c r="P23" s="2883">
        <v>365</v>
      </c>
      <c r="Q23" s="2857"/>
      <c r="R23" s="2923">
        <f>ROUND(M23*N23*O23*P23/10000,0)</f>
        <v>0</v>
      </c>
      <c r="S23" s="2838"/>
      <c r="T23" s="2838"/>
      <c r="U23" s="2838"/>
      <c r="V23" s="2846"/>
    </row>
    <row r="24" spans="1:22" s="2850" customFormat="1" ht="13.2" customHeight="1">
      <c r="A24" s="2935"/>
      <c r="B24" s="2936" t="s">
        <v>2408</v>
      </c>
      <c r="C24" s="2937"/>
      <c r="D24" s="2938"/>
      <c r="E24" s="2939"/>
      <c r="F24" s="2940"/>
      <c r="G24" s="2934"/>
      <c r="H24" s="2845"/>
      <c r="I24" s="2846"/>
      <c r="J24" s="3713"/>
      <c r="K24" s="3716"/>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2" customHeight="1">
      <c r="A26" s="2928">
        <v>2</v>
      </c>
      <c r="B26" s="2929" t="s">
        <v>2410</v>
      </c>
      <c r="C26" s="2930">
        <f>D7</f>
        <v>0</v>
      </c>
      <c r="D26" s="2931">
        <f>D23*D27</f>
        <v>0</v>
      </c>
      <c r="E26" s="2932">
        <f>E23*E27</f>
        <v>0</v>
      </c>
      <c r="F26" s="2933"/>
      <c r="G26" s="2934"/>
      <c r="H26" s="2845"/>
      <c r="I26" s="2846"/>
      <c r="J26" s="3723">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2" customHeight="1">
      <c r="A27" s="2935"/>
      <c r="B27" s="2936" t="s">
        <v>2416</v>
      </c>
      <c r="C27" s="2954" t="e">
        <f>E7</f>
        <v>#DIV/0!</v>
      </c>
      <c r="D27" s="2938"/>
      <c r="E27" s="2939"/>
      <c r="F27" s="2940"/>
      <c r="G27" s="2934"/>
      <c r="H27" s="2955"/>
      <c r="I27" s="2946"/>
      <c r="J27" s="3724"/>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2"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2" customHeight="1">
      <c r="A32" s="2928">
        <v>4</v>
      </c>
      <c r="B32" s="2929" t="s">
        <v>2424</v>
      </c>
      <c r="C32" s="2930">
        <f>C23-C26-C29</f>
        <v>0</v>
      </c>
      <c r="D32" s="2931">
        <f>D23-D26-D29</f>
        <v>0</v>
      </c>
      <c r="E32" s="2932">
        <f>E23-E26-E29</f>
        <v>0</v>
      </c>
      <c r="F32" s="2933"/>
      <c r="G32" s="2927"/>
      <c r="H32" s="2845"/>
      <c r="I32" s="2846"/>
      <c r="J32" s="3706" t="s">
        <v>2316</v>
      </c>
      <c r="K32" s="3707"/>
      <c r="L32" s="2847" t="s">
        <v>2317</v>
      </c>
      <c r="M32" s="2847" t="s">
        <v>2318</v>
      </c>
      <c r="N32" s="2847" t="s">
        <v>2319</v>
      </c>
      <c r="O32" s="2847" t="s">
        <v>2320</v>
      </c>
      <c r="P32" s="2847" t="s">
        <v>2321</v>
      </c>
      <c r="Q32" s="2848" t="s">
        <v>2322</v>
      </c>
      <c r="R32" s="2970" t="s">
        <v>2323</v>
      </c>
      <c r="S32" s="2919"/>
      <c r="T32" s="2838"/>
      <c r="U32" s="2838"/>
      <c r="V32" s="2946"/>
    </row>
    <row r="33" spans="1:23" s="2850" customFormat="1" ht="13.2" customHeight="1">
      <c r="A33" s="2928"/>
      <c r="B33" s="2929"/>
      <c r="C33" s="2930"/>
      <c r="D33" s="2971"/>
      <c r="E33" s="2972"/>
      <c r="F33" s="2933"/>
      <c r="G33" s="2927"/>
      <c r="H33" s="2955"/>
      <c r="I33" s="2946"/>
      <c r="J33" s="3708" t="s">
        <v>2326</v>
      </c>
      <c r="K33" s="3709"/>
      <c r="L33" s="2853"/>
      <c r="M33" s="2853"/>
      <c r="N33" s="2853"/>
      <c r="O33" s="2853"/>
      <c r="P33" s="2853"/>
      <c r="Q33" s="2854"/>
      <c r="R33" s="2973">
        <f>SUM(L33:Q33)</f>
        <v>0</v>
      </c>
      <c r="S33" s="2919"/>
      <c r="T33" s="2838"/>
      <c r="U33" s="2838"/>
      <c r="V33" s="2846"/>
    </row>
    <row r="34" spans="1:23" s="2850" customFormat="1" ht="13.2" customHeight="1">
      <c r="A34" s="2928">
        <v>5</v>
      </c>
      <c r="B34" s="2929" t="s">
        <v>2425</v>
      </c>
      <c r="C34" s="2974"/>
      <c r="D34" s="2975"/>
      <c r="E34" s="2976"/>
      <c r="F34" s="2933"/>
      <c r="G34" s="2927"/>
      <c r="H34" s="2955"/>
      <c r="I34" s="2946"/>
      <c r="J34" s="3708" t="s">
        <v>2328</v>
      </c>
      <c r="K34" s="3709"/>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2" customHeight="1" thickBot="1">
      <c r="A36" s="2928">
        <v>7</v>
      </c>
      <c r="B36" s="2983" t="s">
        <v>2427</v>
      </c>
      <c r="C36" s="2984"/>
      <c r="D36" s="2985"/>
      <c r="E36" s="2986"/>
      <c r="F36" s="2987">
        <f>C36+D36+E36</f>
        <v>0</v>
      </c>
      <c r="G36" s="2927"/>
      <c r="H36" s="2845"/>
      <c r="I36" s="2846"/>
      <c r="J36" s="3713">
        <v>1</v>
      </c>
      <c r="K36" s="3714" t="s">
        <v>2428</v>
      </c>
      <c r="L36" s="2871"/>
      <c r="M36" s="2872"/>
      <c r="N36" s="2872"/>
      <c r="O36" s="2872"/>
      <c r="P36" s="2872"/>
      <c r="Q36" s="2872"/>
      <c r="R36" s="2855" t="s">
        <v>2340</v>
      </c>
      <c r="S36" s="2919"/>
      <c r="T36" s="2838" t="s">
        <v>2341</v>
      </c>
      <c r="U36" s="2838"/>
      <c r="V36" s="2846"/>
    </row>
    <row r="37" spans="1:23" s="2850" customFormat="1" ht="13.2" customHeight="1">
      <c r="A37" s="2928"/>
      <c r="B37" s="2929"/>
      <c r="C37" s="2929"/>
      <c r="D37" s="2929"/>
      <c r="E37" s="2929"/>
      <c r="F37" s="2933"/>
      <c r="G37" s="2927"/>
      <c r="H37" s="2845"/>
      <c r="I37" s="2846"/>
      <c r="J37" s="3713"/>
      <c r="K37" s="3715"/>
      <c r="L37" s="2880"/>
      <c r="M37" s="2881"/>
      <c r="N37" s="2857"/>
      <c r="O37" s="2882"/>
      <c r="P37" s="2882"/>
      <c r="Q37" s="2883"/>
      <c r="R37" s="2884"/>
      <c r="S37" s="2919"/>
      <c r="T37" s="2838" t="s">
        <v>2344</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713"/>
      <c r="K38" s="3715"/>
      <c r="L38" s="2880"/>
      <c r="M38" s="2881"/>
      <c r="N38" s="2857"/>
      <c r="O38" s="2882"/>
      <c r="P38" s="2882"/>
      <c r="Q38" s="2883"/>
      <c r="R38" s="2884"/>
      <c r="S38" s="2919"/>
      <c r="T38" s="2838" t="s">
        <v>2351</v>
      </c>
      <c r="U38" s="2838"/>
      <c r="V38" s="2846"/>
    </row>
    <row r="39" spans="1:23" s="2850" customFormat="1" ht="13.2" customHeight="1">
      <c r="A39" s="2928">
        <v>9</v>
      </c>
      <c r="B39" s="2929" t="s">
        <v>2429</v>
      </c>
      <c r="C39" s="2894" t="e">
        <f>C38</f>
        <v>#DIV/0!</v>
      </c>
      <c r="D39" s="2929">
        <f>D38/(1+D34)^C36</f>
        <v>0</v>
      </c>
      <c r="E39" s="2929">
        <f>E38/(1+E34)^(C36+D36)</f>
        <v>0</v>
      </c>
      <c r="F39" s="2933"/>
      <c r="G39" s="2988"/>
      <c r="H39" s="2845"/>
      <c r="I39" s="2846"/>
      <c r="J39" s="3713"/>
      <c r="K39" s="3715"/>
      <c r="L39" s="2880"/>
      <c r="M39" s="2881"/>
      <c r="N39" s="2857"/>
      <c r="O39" s="2882"/>
      <c r="P39" s="2882"/>
      <c r="Q39" s="2883"/>
      <c r="R39" s="2884"/>
      <c r="S39" s="2919"/>
      <c r="T39" s="2838"/>
      <c r="U39" s="2838"/>
      <c r="V39" s="2846"/>
    </row>
    <row r="40" spans="1:23" s="2850" customFormat="1" ht="13.2" customHeight="1">
      <c r="A40" s="2989">
        <v>10</v>
      </c>
      <c r="B40" s="2929" t="s">
        <v>2430</v>
      </c>
      <c r="C40" s="2990" t="e">
        <f>C39+D39+E39</f>
        <v>#DIV/0!</v>
      </c>
      <c r="D40" s="2991"/>
      <c r="E40" s="2991"/>
      <c r="F40" s="2992"/>
      <c r="G40" s="2927"/>
      <c r="H40" s="2845"/>
      <c r="I40" s="2846"/>
      <c r="J40" s="3713"/>
      <c r="K40" s="3716"/>
      <c r="L40" s="2900" t="s">
        <v>2369</v>
      </c>
      <c r="M40" s="2901"/>
      <c r="N40" s="2901"/>
      <c r="O40" s="2902"/>
      <c r="P40" s="2902"/>
      <c r="Q40" s="2903"/>
      <c r="R40" s="2849">
        <f>SUM(R37:R39)</f>
        <v>0</v>
      </c>
      <c r="S40" s="2919"/>
      <c r="T40" s="2838"/>
      <c r="U40" s="2838"/>
      <c r="V40" s="2846"/>
    </row>
    <row r="41" spans="1:23" s="2850" customFormat="1" ht="13.2"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2" customHeight="1">
      <c r="G42" s="2997"/>
      <c r="H42" s="2845"/>
      <c r="I42" s="2846"/>
      <c r="J42" s="3723">
        <v>3</v>
      </c>
      <c r="K42" s="2948" t="s">
        <v>2411</v>
      </c>
      <c r="L42" s="2949"/>
      <c r="M42" s="2950"/>
      <c r="N42" s="2951" t="s">
        <v>2412</v>
      </c>
      <c r="O42" s="2951" t="s">
        <v>2413</v>
      </c>
      <c r="P42" s="2952" t="s">
        <v>2414</v>
      </c>
      <c r="Q42" s="2952" t="s">
        <v>2415</v>
      </c>
      <c r="R42" s="2855" t="s">
        <v>2340</v>
      </c>
      <c r="S42" s="2953"/>
      <c r="T42" s="2953"/>
      <c r="U42" s="2838"/>
      <c r="V42" s="2846"/>
    </row>
    <row r="43" spans="1:23" ht="13.2" customHeight="1">
      <c r="A43" s="2850"/>
      <c r="B43" s="2850"/>
      <c r="C43" s="2850"/>
      <c r="D43" s="2850"/>
      <c r="E43" s="2850"/>
      <c r="F43" s="2850"/>
      <c r="I43" s="2833"/>
      <c r="J43" s="3724"/>
      <c r="K43" s="2956"/>
      <c r="L43" s="2957"/>
      <c r="M43" s="2958"/>
      <c r="N43" s="2881"/>
      <c r="O43" s="2881"/>
      <c r="P43" s="2881"/>
      <c r="Q43" s="2945"/>
      <c r="R43" s="2916">
        <f>ROUND(O43*N43*P43*(1-Q43)/10000,0)</f>
        <v>0</v>
      </c>
      <c r="S43" s="2919"/>
      <c r="T43" s="2838"/>
      <c r="V43" s="2999"/>
      <c r="W43" s="3000"/>
    </row>
    <row r="44" spans="1:23" ht="13.2"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5" customWidth="1"/>
    <col min="2" max="2" width="12" style="1475" customWidth="1"/>
    <col min="3" max="3" width="9" style="1475"/>
    <col min="4" max="4" width="14.109375" style="1475" customWidth="1"/>
    <col min="5" max="5" width="9" style="1475"/>
    <col min="6" max="6" width="12.88671875" style="1475" customWidth="1"/>
    <col min="7" max="16384" width="9" style="1475"/>
  </cols>
  <sheetData>
    <row r="1" spans="1:22" ht="21.6">
      <c r="A1" s="1865" t="s">
        <v>1656</v>
      </c>
      <c r="B1" s="1866"/>
      <c r="C1" s="1866"/>
      <c r="D1" s="1866"/>
      <c r="E1" s="1867"/>
      <c r="F1" s="2704"/>
      <c r="G1" s="1487"/>
      <c r="H1" s="1487"/>
      <c r="I1" s="1487"/>
      <c r="J1" s="1487"/>
      <c r="K1" s="1487"/>
      <c r="L1" s="1487"/>
      <c r="M1" s="1487"/>
      <c r="N1" s="1487"/>
      <c r="O1" s="1487"/>
      <c r="P1" s="1487"/>
      <c r="Q1" s="1487"/>
      <c r="R1" s="1487"/>
      <c r="S1" s="1487"/>
    </row>
    <row r="2" spans="1:22" ht="15.6">
      <c r="A2" s="1868" t="s">
        <v>1460</v>
      </c>
      <c r="B2" s="1869">
        <f ca="1">SUMIF(B6:B13,"&lt;&gt;#ref!",B6:B13)</f>
        <v>1205.8431</v>
      </c>
      <c r="C2" s="1870" t="s">
        <v>1649</v>
      </c>
      <c r="D2" s="1871" t="s">
        <v>1650</v>
      </c>
      <c r="E2" s="2604">
        <f>SUM(E6:E13)</f>
        <v>521.56999999999994</v>
      </c>
      <c r="F2" s="2704"/>
      <c r="G2" s="1487"/>
      <c r="H2" s="1487"/>
      <c r="I2" s="1487"/>
      <c r="J2" s="1487"/>
      <c r="K2" s="1487"/>
      <c r="L2" s="1487"/>
      <c r="M2" s="1487"/>
      <c r="N2" s="1487"/>
      <c r="O2" s="1487"/>
      <c r="P2" s="1487"/>
      <c r="Q2" s="1487"/>
      <c r="R2" s="1487"/>
      <c r="S2" s="1487"/>
    </row>
    <row r="3" spans="1:22" ht="15.6">
      <c r="A3" s="1868" t="s">
        <v>684</v>
      </c>
      <c r="B3" s="2598">
        <f ca="1">ROUND(B2*10000/E2,0)</f>
        <v>23119</v>
      </c>
      <c r="C3" s="1870" t="s">
        <v>1657</v>
      </c>
      <c r="D3" s="2706"/>
      <c r="E3" s="2708"/>
      <c r="F3" s="2704"/>
      <c r="G3" s="1487"/>
      <c r="H3" s="1487"/>
      <c r="I3" s="1487"/>
      <c r="J3" s="1487"/>
      <c r="K3" s="1487"/>
      <c r="L3" s="1487"/>
      <c r="M3" s="1487"/>
      <c r="N3" s="1487"/>
      <c r="O3" s="1487"/>
      <c r="P3" s="1487"/>
      <c r="Q3" s="1487"/>
      <c r="R3" s="1487"/>
      <c r="S3" s="1487"/>
    </row>
    <row r="4" spans="1:22" ht="15.6">
      <c r="A4" s="2709"/>
      <c r="B4" s="2706"/>
      <c r="C4" s="2706"/>
      <c r="D4" s="2706"/>
      <c r="E4" s="2708"/>
      <c r="F4" s="2704"/>
      <c r="G4" s="1487"/>
      <c r="H4" s="1487"/>
      <c r="I4" s="1487"/>
      <c r="J4" s="1487"/>
      <c r="K4" s="1487"/>
      <c r="L4" s="1487"/>
      <c r="M4" s="1487"/>
      <c r="N4" s="1487"/>
      <c r="O4" s="1487"/>
      <c r="P4" s="1487"/>
      <c r="Q4" s="1487"/>
      <c r="R4" s="1487"/>
      <c r="S4" s="1487"/>
    </row>
    <row r="5" spans="1:22" ht="14.4">
      <c r="A5" s="2600" t="s">
        <v>1651</v>
      </c>
      <c r="B5" s="3725" t="s">
        <v>1652</v>
      </c>
      <c r="C5" s="3726"/>
      <c r="D5" s="2705"/>
      <c r="E5" s="1872" t="s">
        <v>1653</v>
      </c>
      <c r="F5" s="1873" t="s">
        <v>1654</v>
      </c>
      <c r="G5" s="1487"/>
      <c r="H5" s="1487"/>
      <c r="I5" s="1487"/>
      <c r="J5" s="1487"/>
      <c r="K5" s="1487"/>
      <c r="L5" s="1487"/>
      <c r="M5" s="1487"/>
      <c r="N5" s="1487"/>
      <c r="O5" s="1487"/>
      <c r="P5" s="1487"/>
      <c r="Q5" s="1487"/>
      <c r="R5" s="1487"/>
      <c r="S5" s="1487"/>
    </row>
    <row r="6" spans="1:22" ht="14.4">
      <c r="A6" s="2601" t="str">
        <f>'数据-取费表'!AN6</f>
        <v>收益法 (元)110</v>
      </c>
      <c r="B6" s="2599">
        <f ca="1">IF(F6="是",'数据-取费表'!AO6,0)</f>
        <v>636.54499999999996</v>
      </c>
      <c r="C6" s="1870" t="s">
        <v>1649</v>
      </c>
      <c r="D6" s="2706"/>
      <c r="E6" s="2603">
        <f>IF(OR(A6=0,F6="否"),0,'数据-取费表'!K6+'数据-取费表'!S6)</f>
        <v>268.52</v>
      </c>
      <c r="F6" s="1874" t="s">
        <v>1655</v>
      </c>
      <c r="G6" s="1487"/>
      <c r="H6" s="1487"/>
      <c r="I6" s="1487"/>
      <c r="J6" s="1487"/>
      <c r="K6" s="1487"/>
      <c r="L6" s="1487"/>
      <c r="M6" s="1487"/>
      <c r="N6" s="1487"/>
      <c r="O6" s="1487"/>
      <c r="P6" s="1487"/>
      <c r="Q6" s="1487"/>
      <c r="R6" s="1487"/>
      <c r="S6" s="1487"/>
    </row>
    <row r="7" spans="1:22" ht="14.4">
      <c r="A7" s="2601" t="str">
        <f>'数据-取费表'!AN7</f>
        <v>收益法 (元)104</v>
      </c>
      <c r="B7" s="2599">
        <f ca="1">IF(F7="是",'数据-取费表'!AO7,0)</f>
        <v>569.29809999999998</v>
      </c>
      <c r="C7" s="1870" t="s">
        <v>1649</v>
      </c>
      <c r="D7" s="2706"/>
      <c r="E7" s="2603">
        <f>IF(OR(A7=0,F7="否"),0,'数据-取费表'!K7+'数据-取费表'!S7)</f>
        <v>253.05</v>
      </c>
      <c r="F7" s="1874" t="s">
        <v>1655</v>
      </c>
      <c r="G7" s="1487"/>
      <c r="H7" s="1487"/>
      <c r="I7" s="1487"/>
      <c r="J7" s="1487"/>
      <c r="K7" s="1487"/>
      <c r="L7" s="1487"/>
      <c r="M7" s="1487"/>
      <c r="N7" s="1487"/>
      <c r="O7" s="1487"/>
      <c r="P7" s="1487"/>
      <c r="Q7" s="1487"/>
      <c r="R7" s="1487"/>
      <c r="S7" s="1487"/>
    </row>
    <row r="8" spans="1:22" ht="14.4">
      <c r="A8" s="2601">
        <f>'数据-取费表'!AN8</f>
        <v>0</v>
      </c>
      <c r="B8" s="2599" t="e">
        <f ca="1">IF(F8="是",'数据-取费表'!AO8,0)</f>
        <v>#REF!</v>
      </c>
      <c r="C8" s="1870" t="s">
        <v>1649</v>
      </c>
      <c r="D8" s="2706"/>
      <c r="E8" s="2603">
        <f>IF(OR(A8=0,F8="否"),0,'数据-取费表'!K8+'数据-取费表'!S8)</f>
        <v>0</v>
      </c>
      <c r="F8" s="1874" t="s">
        <v>1655</v>
      </c>
      <c r="G8" s="1487"/>
      <c r="H8" s="1487"/>
      <c r="I8" s="1487"/>
      <c r="J8" s="1487"/>
      <c r="K8" s="1487"/>
      <c r="L8" s="1487"/>
      <c r="M8" s="1487"/>
      <c r="N8" s="1487"/>
      <c r="O8" s="1487"/>
      <c r="P8" s="1487"/>
      <c r="Q8" s="1487"/>
      <c r="R8" s="1487"/>
      <c r="S8" s="1487"/>
    </row>
    <row r="9" spans="1:22" ht="14.4">
      <c r="A9" s="2601">
        <f>'数据-取费表'!AN9</f>
        <v>0</v>
      </c>
      <c r="B9" s="2599" t="e">
        <f ca="1">IF(F9="是",'数据-取费表'!AO9,0)</f>
        <v>#REF!</v>
      </c>
      <c r="C9" s="1870" t="s">
        <v>1649</v>
      </c>
      <c r="D9" s="2706"/>
      <c r="E9" s="2603">
        <f>IF(OR(A9=0,F9="否"),0,'数据-取费表'!K9+'数据-取费表'!S9)</f>
        <v>0</v>
      </c>
      <c r="F9" s="1874" t="s">
        <v>1655</v>
      </c>
      <c r="G9" s="1487"/>
      <c r="H9" s="1487"/>
      <c r="I9" s="1487"/>
      <c r="J9" s="1487"/>
      <c r="K9" s="1487"/>
      <c r="L9" s="1487"/>
      <c r="M9" s="1487"/>
      <c r="N9" s="1487"/>
      <c r="O9" s="1487"/>
      <c r="P9" s="1487"/>
      <c r="Q9" s="1487"/>
      <c r="R9" s="1487"/>
      <c r="S9" s="1487"/>
    </row>
    <row r="10" spans="1:22" ht="14.4">
      <c r="A10" s="2601">
        <f>'数据-取费表'!AN10</f>
        <v>0</v>
      </c>
      <c r="B10" s="2599" t="e">
        <f ca="1">IF(F10="是",'数据-取费表'!AO10,0)</f>
        <v>#REF!</v>
      </c>
      <c r="C10" s="1870" t="s">
        <v>1649</v>
      </c>
      <c r="D10" s="2706"/>
      <c r="E10" s="2603">
        <f>IF(OR(A10=0,F10="否"),0,'数据-取费表'!K10+'数据-取费表'!S10)</f>
        <v>0</v>
      </c>
      <c r="F10" s="1874" t="s">
        <v>1655</v>
      </c>
      <c r="G10" s="1487"/>
      <c r="H10" s="1487"/>
      <c r="I10" s="1487"/>
      <c r="J10" s="1487"/>
      <c r="K10" s="1487"/>
      <c r="L10" s="1487"/>
      <c r="M10" s="1487"/>
      <c r="N10" s="1487"/>
      <c r="O10" s="1487"/>
      <c r="P10" s="1487"/>
      <c r="Q10" s="1487"/>
      <c r="R10" s="1487"/>
      <c r="S10" s="1487"/>
    </row>
    <row r="11" spans="1:22" ht="14.4">
      <c r="A11" s="2601">
        <f>'数据-取费表'!AN11</f>
        <v>0</v>
      </c>
      <c r="B11" s="2599" t="e">
        <f ca="1">IF(F11="是",'数据-取费表'!AO11,0)</f>
        <v>#REF!</v>
      </c>
      <c r="C11" s="1870" t="s">
        <v>1649</v>
      </c>
      <c r="D11" s="2706"/>
      <c r="E11" s="2603">
        <f>IF(OR(A11=0,F11="否"),0,'数据-取费表'!K11+'数据-取费表'!S11)</f>
        <v>0</v>
      </c>
      <c r="F11" s="1874" t="s">
        <v>1655</v>
      </c>
      <c r="G11" s="1487"/>
      <c r="H11" s="1487"/>
      <c r="I11" s="1487"/>
      <c r="J11" s="1487"/>
      <c r="K11" s="1487"/>
      <c r="L11" s="1487"/>
      <c r="M11" s="1487"/>
      <c r="N11" s="1487"/>
      <c r="O11" s="1487"/>
      <c r="P11" s="1487"/>
      <c r="Q11" s="1487"/>
      <c r="R11" s="1487"/>
      <c r="S11" s="1487"/>
    </row>
    <row r="12" spans="1:22" ht="14.4">
      <c r="A12" s="2601">
        <f>'数据-取费表'!AN12</f>
        <v>0</v>
      </c>
      <c r="B12" s="2599" t="e">
        <f ca="1">IF(F12="是",'数据-取费表'!AO12,0)</f>
        <v>#REF!</v>
      </c>
      <c r="C12" s="1870" t="s">
        <v>1649</v>
      </c>
      <c r="D12" s="2706"/>
      <c r="E12" s="2603">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1649</v>
      </c>
      <c r="D13" s="2707"/>
      <c r="E13" s="2603">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1658</v>
      </c>
      <c r="B1" s="1876" t="s">
        <v>1659</v>
      </c>
      <c r="C1" s="1236" t="s">
        <v>1660</v>
      </c>
      <c r="D1" s="1223"/>
      <c r="E1" s="3423"/>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683</v>
      </c>
      <c r="B2" s="3424"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1662</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684</v>
      </c>
      <c r="B3" s="353">
        <f>IF(C2="——",C49,ROUND(B2*10000/D3,0))</f>
        <v>0</v>
      </c>
      <c r="C3" s="354" t="s">
        <v>1663</v>
      </c>
      <c r="D3" s="353">
        <f>IF(D1="",'数据-汇总表'!E3,SUMIF('数据-汇总表'!$C19:$C33,D1,'数据-汇总表'!$E19:$E33))</f>
        <v>521.56999999999994</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4.4">
      <c r="A4" s="355" t="s">
        <v>1664</v>
      </c>
      <c r="B4" s="356"/>
      <c r="C4" s="3745" t="s">
        <v>1665</v>
      </c>
      <c r="D4" s="3746"/>
      <c r="E4" s="3747" t="s">
        <v>1666</v>
      </c>
      <c r="F4" s="3748"/>
      <c r="G4" s="3745" t="s">
        <v>1667</v>
      </c>
      <c r="H4" s="3746"/>
      <c r="I4" s="3745" t="s">
        <v>1668</v>
      </c>
      <c r="J4" s="3746"/>
      <c r="K4" s="1887" t="s">
        <v>1669</v>
      </c>
      <c r="L4" s="2712"/>
      <c r="M4" s="2713"/>
      <c r="N4" s="2713"/>
      <c r="O4" s="2713"/>
      <c r="P4" s="3749" t="s">
        <v>1670</v>
      </c>
      <c r="Q4" s="3750"/>
      <c r="R4" s="3732" t="s">
        <v>1666</v>
      </c>
      <c r="S4" s="3733"/>
      <c r="T4" s="3732" t="s">
        <v>1667</v>
      </c>
      <c r="U4" s="3733"/>
      <c r="V4" s="3757" t="s">
        <v>1668</v>
      </c>
      <c r="W4" s="3757"/>
      <c r="X4" s="1353"/>
      <c r="Y4" s="3732" t="s">
        <v>1670</v>
      </c>
      <c r="Z4" s="3733"/>
      <c r="AA4" s="3727" t="s">
        <v>1666</v>
      </c>
      <c r="AB4" s="3727" t="s">
        <v>1667</v>
      </c>
      <c r="AC4" s="3727" t="s">
        <v>1668</v>
      </c>
    </row>
    <row r="5" spans="1:29">
      <c r="A5" s="358"/>
      <c r="B5" s="359"/>
      <c r="C5" s="3738" t="s">
        <v>1671</v>
      </c>
      <c r="D5" s="3739"/>
      <c r="E5" s="3736" t="s">
        <v>1672</v>
      </c>
      <c r="F5" s="3737"/>
      <c r="G5" s="3738" t="s">
        <v>1673</v>
      </c>
      <c r="H5" s="3739"/>
      <c r="I5" s="3738" t="s">
        <v>1674</v>
      </c>
      <c r="J5" s="3739"/>
      <c r="K5" s="1888"/>
      <c r="L5" s="2712"/>
      <c r="M5" s="2713"/>
      <c r="N5" s="2713"/>
      <c r="O5" s="2713"/>
      <c r="P5" s="3751"/>
      <c r="Q5" s="3752"/>
      <c r="R5" s="3734"/>
      <c r="S5" s="3735"/>
      <c r="T5" s="3734"/>
      <c r="U5" s="3735"/>
      <c r="V5" s="3757"/>
      <c r="W5" s="3757"/>
      <c r="X5" s="1353"/>
      <c r="Y5" s="3734"/>
      <c r="Z5" s="3735"/>
      <c r="AA5" s="3728"/>
      <c r="AB5" s="3728"/>
      <c r="AC5" s="3728"/>
    </row>
    <row r="6" spans="1:29" ht="15" thickBot="1">
      <c r="A6" s="360"/>
      <c r="B6" s="361"/>
      <c r="C6" s="3740" t="s">
        <v>1675</v>
      </c>
      <c r="D6" s="3741"/>
      <c r="E6" s="3742" t="s">
        <v>1675</v>
      </c>
      <c r="F6" s="3743"/>
      <c r="G6" s="3740" t="s">
        <v>1675</v>
      </c>
      <c r="H6" s="3741"/>
      <c r="I6" s="3740" t="s">
        <v>1675</v>
      </c>
      <c r="J6" s="3741"/>
      <c r="K6" s="1888" t="s">
        <v>1676</v>
      </c>
      <c r="L6" s="2712"/>
      <c r="M6" s="2713"/>
      <c r="N6" s="2713"/>
      <c r="O6" s="2713"/>
      <c r="P6" s="3753"/>
      <c r="Q6" s="3754"/>
      <c r="R6" s="3734"/>
      <c r="S6" s="3735"/>
      <c r="T6" s="3755"/>
      <c r="U6" s="3756"/>
      <c r="V6" s="3757"/>
      <c r="W6" s="3757"/>
      <c r="X6" s="1353"/>
      <c r="Y6" s="3755"/>
      <c r="Z6" s="3756"/>
      <c r="AA6" s="3729"/>
      <c r="AB6" s="3729"/>
      <c r="AC6" s="3729"/>
    </row>
    <row r="7" spans="1:29" s="108" customFormat="1" ht="15" thickBot="1">
      <c r="A7" s="362" t="s">
        <v>1677</v>
      </c>
      <c r="B7" s="363"/>
      <c r="C7" s="364">
        <f>'数据-取费表'!B2</f>
        <v>45504</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730" t="s">
        <v>1678</v>
      </c>
      <c r="Q7" s="3758"/>
      <c r="R7" s="699" t="s">
        <v>20</v>
      </c>
      <c r="S7" s="700">
        <f t="shared" ref="S7:S15" si="0">F7</f>
        <v>0</v>
      </c>
      <c r="T7" s="699" t="s">
        <v>20</v>
      </c>
      <c r="U7" s="700">
        <f t="shared" ref="U7:U15" si="1">H7</f>
        <v>0</v>
      </c>
      <c r="V7" s="699" t="s">
        <v>20</v>
      </c>
      <c r="W7" s="700">
        <f t="shared" ref="W7:W15" si="2">J7</f>
        <v>0</v>
      </c>
      <c r="X7" s="701"/>
      <c r="Y7" s="3730" t="s">
        <v>1678</v>
      </c>
      <c r="Z7" s="3731"/>
      <c r="AA7" s="702" t="e">
        <f>D7/F7</f>
        <v>#DIV/0!</v>
      </c>
      <c r="AB7" s="702" t="e">
        <f>D7/H7</f>
        <v>#DIV/0!</v>
      </c>
      <c r="AC7" s="702" t="e">
        <f>D7/J7</f>
        <v>#DIV/0!</v>
      </c>
    </row>
    <row r="8" spans="1:29" s="108" customFormat="1" ht="15" thickBot="1">
      <c r="A8" s="362" t="s">
        <v>1679</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730" t="s">
        <v>1681</v>
      </c>
      <c r="Q8" s="3731"/>
      <c r="R8" s="699" t="s">
        <v>20</v>
      </c>
      <c r="S8" s="700">
        <f t="shared" si="0"/>
        <v>100</v>
      </c>
      <c r="T8" s="699" t="s">
        <v>20</v>
      </c>
      <c r="U8" s="700">
        <f t="shared" si="1"/>
        <v>100</v>
      </c>
      <c r="V8" s="699" t="s">
        <v>20</v>
      </c>
      <c r="W8" s="700">
        <f t="shared" si="2"/>
        <v>100</v>
      </c>
      <c r="X8" s="701"/>
      <c r="Y8" s="3730" t="s">
        <v>1681</v>
      </c>
      <c r="Z8" s="3731"/>
      <c r="AA8" s="702">
        <f t="shared" ref="AA8:AA19" si="3">D8/F8</f>
        <v>1</v>
      </c>
      <c r="AB8" s="702">
        <f t="shared" ref="AB8:AB19" si="4">D8/H8</f>
        <v>1</v>
      </c>
      <c r="AC8" s="702">
        <f t="shared" ref="AC8:AC19" si="5">D8/J8</f>
        <v>1</v>
      </c>
    </row>
    <row r="9" spans="1:29" s="108" customFormat="1" ht="14.4">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744" t="s">
        <v>1684</v>
      </c>
      <c r="Q9" s="1341" t="str">
        <f t="shared" ref="Q9:Q15" si="6">B9</f>
        <v>用途</v>
      </c>
      <c r="R9" s="699" t="s">
        <v>14</v>
      </c>
      <c r="S9" s="700">
        <f t="shared" si="0"/>
        <v>100</v>
      </c>
      <c r="T9" s="699" t="s">
        <v>14</v>
      </c>
      <c r="U9" s="700">
        <f t="shared" si="1"/>
        <v>100</v>
      </c>
      <c r="V9" s="699" t="s">
        <v>14</v>
      </c>
      <c r="W9" s="700">
        <f t="shared" si="2"/>
        <v>100</v>
      </c>
      <c r="X9" s="701"/>
      <c r="Y9" s="3674" t="s">
        <v>1685</v>
      </c>
      <c r="Z9" s="52" t="str">
        <f t="shared" ref="Z9:Z15" si="7">Q9</f>
        <v>用途</v>
      </c>
      <c r="AA9" s="702">
        <f t="shared" si="3"/>
        <v>1</v>
      </c>
      <c r="AB9" s="702">
        <f t="shared" si="4"/>
        <v>1</v>
      </c>
      <c r="AC9" s="702">
        <f t="shared" si="5"/>
        <v>1</v>
      </c>
    </row>
    <row r="10" spans="1:29" s="378" customFormat="1" ht="28.8">
      <c r="A10" s="374"/>
      <c r="B10" s="375" t="s">
        <v>1686</v>
      </c>
      <c r="C10" s="3431"/>
      <c r="D10" s="127">
        <v>100</v>
      </c>
      <c r="E10" s="3432"/>
      <c r="F10" s="376">
        <f>SUMIF(65:65,E10,66:66)-SUMIF(65:65,C10,66:66)+100</f>
        <v>100</v>
      </c>
      <c r="G10" s="3431"/>
      <c r="H10" s="127">
        <f>SUMIF(65:65,G10,66:66)-SUMIF(65:65,C10,66:66)+100</f>
        <v>100</v>
      </c>
      <c r="I10" s="3431"/>
      <c r="J10" s="127">
        <f>SUMIF(65:65,I10,66:66)-SUMIF(65:65,C10,66:66)+100</f>
        <v>100</v>
      </c>
      <c r="K10" s="1889"/>
      <c r="L10" s="2716"/>
      <c r="M10" s="2717"/>
      <c r="N10" s="2717"/>
      <c r="O10" s="2717"/>
      <c r="P10" s="3744"/>
      <c r="Q10" s="1341" t="str">
        <f t="shared" si="6"/>
        <v>土地使用年限（年）</v>
      </c>
      <c r="R10" s="699" t="s">
        <v>14</v>
      </c>
      <c r="S10" s="700">
        <f t="shared" si="0"/>
        <v>100</v>
      </c>
      <c r="T10" s="699" t="s">
        <v>14</v>
      </c>
      <c r="U10" s="700">
        <f t="shared" si="1"/>
        <v>100</v>
      </c>
      <c r="V10" s="699" t="s">
        <v>14</v>
      </c>
      <c r="W10" s="700">
        <f t="shared" si="2"/>
        <v>100</v>
      </c>
      <c r="X10" s="701"/>
      <c r="Y10" s="3674"/>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44"/>
      <c r="Q11" s="1341" t="str">
        <f t="shared" si="6"/>
        <v>容积率</v>
      </c>
      <c r="R11" s="699" t="s">
        <v>18</v>
      </c>
      <c r="S11" s="700" t="e">
        <f t="shared" si="0"/>
        <v>#N/A</v>
      </c>
      <c r="T11" s="699" t="s">
        <v>18</v>
      </c>
      <c r="U11" s="700" t="e">
        <f t="shared" si="1"/>
        <v>#N/A</v>
      </c>
      <c r="V11" s="699" t="s">
        <v>18</v>
      </c>
      <c r="W11" s="700" t="e">
        <f t="shared" si="2"/>
        <v>#N/A</v>
      </c>
      <c r="X11" s="701"/>
      <c r="Y11" s="3674"/>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744"/>
      <c r="Q12" s="1341">
        <f t="shared" si="6"/>
        <v>111</v>
      </c>
      <c r="R12" s="699" t="s">
        <v>18</v>
      </c>
      <c r="S12" s="700">
        <f t="shared" si="0"/>
        <v>100</v>
      </c>
      <c r="T12" s="699" t="s">
        <v>18</v>
      </c>
      <c r="U12" s="700">
        <f t="shared" si="1"/>
        <v>100</v>
      </c>
      <c r="V12" s="699" t="s">
        <v>18</v>
      </c>
      <c r="W12" s="700">
        <f t="shared" si="2"/>
        <v>100</v>
      </c>
      <c r="X12" s="701"/>
      <c r="Y12" s="3674"/>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744"/>
      <c r="Q13" s="1341">
        <f t="shared" si="6"/>
        <v>111</v>
      </c>
      <c r="R13" s="699" t="s">
        <v>18</v>
      </c>
      <c r="S13" s="700">
        <f t="shared" si="0"/>
        <v>100</v>
      </c>
      <c r="T13" s="699" t="s">
        <v>18</v>
      </c>
      <c r="U13" s="700">
        <f t="shared" si="1"/>
        <v>100</v>
      </c>
      <c r="V13" s="699" t="s">
        <v>18</v>
      </c>
      <c r="W13" s="700">
        <f t="shared" si="2"/>
        <v>100</v>
      </c>
      <c r="X13" s="701"/>
      <c r="Y13" s="3674"/>
      <c r="Z13" s="52">
        <f t="shared" si="7"/>
        <v>111</v>
      </c>
      <c r="AA13" s="702">
        <f t="shared" si="3"/>
        <v>1</v>
      </c>
      <c r="AB13" s="702">
        <f t="shared" si="4"/>
        <v>1</v>
      </c>
      <c r="AC13" s="702">
        <f t="shared" si="5"/>
        <v>1</v>
      </c>
    </row>
    <row r="14" spans="1:29" ht="15.6"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744"/>
      <c r="Q14" s="1341">
        <f t="shared" si="6"/>
        <v>111</v>
      </c>
      <c r="R14" s="699" t="s">
        <v>18</v>
      </c>
      <c r="S14" s="700">
        <f t="shared" si="0"/>
        <v>100</v>
      </c>
      <c r="T14" s="699" t="s">
        <v>18</v>
      </c>
      <c r="U14" s="700">
        <f t="shared" si="1"/>
        <v>100</v>
      </c>
      <c r="V14" s="699" t="s">
        <v>18</v>
      </c>
      <c r="W14" s="700">
        <f t="shared" si="2"/>
        <v>100</v>
      </c>
      <c r="X14" s="701"/>
      <c r="Y14" s="3674"/>
      <c r="Z14" s="52">
        <f t="shared" si="7"/>
        <v>111</v>
      </c>
      <c r="AA14" s="702">
        <f t="shared" si="3"/>
        <v>1</v>
      </c>
      <c r="AB14" s="702">
        <f t="shared" si="4"/>
        <v>1</v>
      </c>
      <c r="AC14" s="702">
        <f t="shared" si="5"/>
        <v>1</v>
      </c>
    </row>
    <row r="15" spans="1:29" ht="96.6">
      <c r="A15" s="391" t="s">
        <v>1688</v>
      </c>
      <c r="B15" s="61" t="s">
        <v>1255</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71" t="s">
        <v>1689</v>
      </c>
      <c r="Q15" s="1350" t="str">
        <f t="shared" si="6"/>
        <v>居住社区成熟度</v>
      </c>
      <c r="R15" s="703" t="s">
        <v>18</v>
      </c>
      <c r="S15" s="704">
        <f t="shared" si="0"/>
        <v>100</v>
      </c>
      <c r="T15" s="703" t="s">
        <v>18</v>
      </c>
      <c r="U15" s="704">
        <f t="shared" si="1"/>
        <v>100</v>
      </c>
      <c r="V15" s="703" t="s">
        <v>18</v>
      </c>
      <c r="W15" s="704">
        <f t="shared" si="2"/>
        <v>100</v>
      </c>
      <c r="X15" s="1353"/>
      <c r="Y15" s="3764" t="s">
        <v>1689</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72"/>
      <c r="Q16" s="1350"/>
      <c r="R16" s="703"/>
      <c r="S16" s="704"/>
      <c r="T16" s="703"/>
      <c r="U16" s="704"/>
      <c r="V16" s="703"/>
      <c r="W16" s="704"/>
      <c r="X16" s="1353"/>
      <c r="Y16" s="3765"/>
      <c r="Z16" s="1354"/>
      <c r="AA16" s="1351">
        <v>1</v>
      </c>
      <c r="AB16" s="1351">
        <v>1</v>
      </c>
      <c r="AC16" s="1351">
        <v>1</v>
      </c>
    </row>
    <row r="17" spans="1:29" ht="82.8">
      <c r="A17" s="379"/>
      <c r="B17" s="402" t="s">
        <v>1257</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72"/>
      <c r="Q17" s="1350" t="str">
        <f>B17</f>
        <v>交通便捷度</v>
      </c>
      <c r="R17" s="703" t="s">
        <v>18</v>
      </c>
      <c r="S17" s="704">
        <f>F17</f>
        <v>100</v>
      </c>
      <c r="T17" s="703" t="s">
        <v>18</v>
      </c>
      <c r="U17" s="704">
        <f>H17</f>
        <v>100</v>
      </c>
      <c r="V17" s="703" t="s">
        <v>18</v>
      </c>
      <c r="W17" s="704">
        <f>J17</f>
        <v>100</v>
      </c>
      <c r="X17" s="1353"/>
      <c r="Y17" s="3765"/>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72"/>
      <c r="Q18" s="1350"/>
      <c r="R18" s="703"/>
      <c r="S18" s="704"/>
      <c r="T18" s="703"/>
      <c r="U18" s="704"/>
      <c r="V18" s="703"/>
      <c r="W18" s="704"/>
      <c r="X18" s="1353"/>
      <c r="Y18" s="3765"/>
      <c r="Z18" s="1354"/>
      <c r="AA18" s="1351">
        <v>1</v>
      </c>
      <c r="AB18" s="1351">
        <v>1</v>
      </c>
      <c r="AC18" s="1351">
        <v>1</v>
      </c>
    </row>
    <row r="19" spans="1:29" ht="41.4">
      <c r="A19" s="379"/>
      <c r="B19" s="402" t="s">
        <v>1256</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72"/>
      <c r="Q19" s="1350" t="str">
        <f>B19</f>
        <v>公共配套设施</v>
      </c>
      <c r="R19" s="703" t="s">
        <v>18</v>
      </c>
      <c r="S19" s="704">
        <f>F19</f>
        <v>100</v>
      </c>
      <c r="T19" s="703" t="s">
        <v>18</v>
      </c>
      <c r="U19" s="704">
        <f>H19</f>
        <v>100</v>
      </c>
      <c r="V19" s="703" t="s">
        <v>18</v>
      </c>
      <c r="W19" s="704">
        <f>J19</f>
        <v>100</v>
      </c>
      <c r="X19" s="1353"/>
      <c r="Y19" s="3765"/>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72"/>
      <c r="Q20" s="1350"/>
      <c r="R20" s="703"/>
      <c r="S20" s="704"/>
      <c r="T20" s="703"/>
      <c r="U20" s="704"/>
      <c r="V20" s="703"/>
      <c r="W20" s="704"/>
      <c r="X20" s="1353"/>
      <c r="Y20" s="3765"/>
      <c r="Z20" s="1354"/>
      <c r="AA20" s="1351">
        <v>1</v>
      </c>
      <c r="AB20" s="1351">
        <v>1</v>
      </c>
      <c r="AC20" s="1351">
        <v>1</v>
      </c>
    </row>
    <row r="21" spans="1:29" ht="27.6">
      <c r="A21" s="379"/>
      <c r="B21" s="1129" t="s">
        <v>1258</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72"/>
      <c r="Q21" s="1350" t="str">
        <f>B21</f>
        <v>基础设施水平</v>
      </c>
      <c r="R21" s="703" t="s">
        <v>14</v>
      </c>
      <c r="S21" s="704">
        <f>F21</f>
        <v>100</v>
      </c>
      <c r="T21" s="703" t="s">
        <v>14</v>
      </c>
      <c r="U21" s="704">
        <f>H21</f>
        <v>100</v>
      </c>
      <c r="V21" s="703" t="s">
        <v>14</v>
      </c>
      <c r="W21" s="704">
        <f>J21</f>
        <v>100</v>
      </c>
      <c r="X21" s="1353"/>
      <c r="Y21" s="376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9"/>
      <c r="M22" s="2713"/>
      <c r="N22" s="2713"/>
      <c r="O22" s="2713"/>
      <c r="P22" s="3772"/>
      <c r="Q22" s="1350"/>
      <c r="R22" s="703"/>
      <c r="S22" s="704"/>
      <c r="T22" s="703"/>
      <c r="U22" s="704"/>
      <c r="V22" s="703"/>
      <c r="W22" s="704"/>
      <c r="X22" s="1353"/>
      <c r="Y22" s="3765"/>
      <c r="Z22" s="1354"/>
      <c r="AA22" s="1351">
        <v>1</v>
      </c>
      <c r="AB22" s="1351">
        <v>1</v>
      </c>
      <c r="AC22" s="1351">
        <v>1</v>
      </c>
    </row>
    <row r="23" spans="1:29" ht="55.2">
      <c r="A23" s="379"/>
      <c r="B23" s="402" t="s">
        <v>1259</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72"/>
      <c r="Q23" s="1350" t="str">
        <f>B23</f>
        <v>自然及人文环境</v>
      </c>
      <c r="R23" s="703" t="s">
        <v>18</v>
      </c>
      <c r="S23" s="704">
        <f>F23</f>
        <v>100</v>
      </c>
      <c r="T23" s="703" t="s">
        <v>18</v>
      </c>
      <c r="U23" s="704">
        <f>H23</f>
        <v>100</v>
      </c>
      <c r="V23" s="703" t="s">
        <v>18</v>
      </c>
      <c r="W23" s="704">
        <f>J23</f>
        <v>100</v>
      </c>
      <c r="X23" s="1353"/>
      <c r="Y23" s="3765"/>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72"/>
      <c r="Q24" s="1350"/>
      <c r="R24" s="703"/>
      <c r="S24" s="704"/>
      <c r="T24" s="703"/>
      <c r="U24" s="704"/>
      <c r="V24" s="703"/>
      <c r="W24" s="704"/>
      <c r="X24" s="1353"/>
      <c r="Y24" s="3765"/>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72"/>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65"/>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72"/>
      <c r="Q26" s="1350" t="str">
        <f t="shared" si="11"/>
        <v>朝向</v>
      </c>
      <c r="R26" s="703" t="s">
        <v>18</v>
      </c>
      <c r="S26" s="704">
        <f t="shared" si="12"/>
        <v>100</v>
      </c>
      <c r="T26" s="703" t="s">
        <v>18</v>
      </c>
      <c r="U26" s="704">
        <f t="shared" si="13"/>
        <v>100</v>
      </c>
      <c r="V26" s="703" t="s">
        <v>18</v>
      </c>
      <c r="W26" s="704">
        <f t="shared" si="14"/>
        <v>100</v>
      </c>
      <c r="X26" s="1353"/>
      <c r="Y26" s="3765"/>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72"/>
      <c r="Q27" s="1341">
        <f t="shared" si="11"/>
        <v>111</v>
      </c>
      <c r="R27" s="699" t="s">
        <v>18</v>
      </c>
      <c r="S27" s="700">
        <f t="shared" si="12"/>
        <v>100</v>
      </c>
      <c r="T27" s="699" t="s">
        <v>18</v>
      </c>
      <c r="U27" s="700">
        <f t="shared" si="13"/>
        <v>100</v>
      </c>
      <c r="V27" s="699" t="s">
        <v>18</v>
      </c>
      <c r="W27" s="700">
        <f t="shared" si="14"/>
        <v>100</v>
      </c>
      <c r="X27" s="701"/>
      <c r="Y27" s="3765"/>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72"/>
      <c r="Q28" s="1350">
        <f t="shared" si="11"/>
        <v>111</v>
      </c>
      <c r="R28" s="703" t="s">
        <v>18</v>
      </c>
      <c r="S28" s="704">
        <f t="shared" si="12"/>
        <v>100</v>
      </c>
      <c r="T28" s="703" t="s">
        <v>18</v>
      </c>
      <c r="U28" s="704">
        <f t="shared" si="13"/>
        <v>100</v>
      </c>
      <c r="V28" s="703" t="s">
        <v>18</v>
      </c>
      <c r="W28" s="704">
        <f t="shared" si="14"/>
        <v>100</v>
      </c>
      <c r="X28" s="1353"/>
      <c r="Y28" s="3765"/>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72"/>
      <c r="Q29" s="1350">
        <f t="shared" si="11"/>
        <v>111</v>
      </c>
      <c r="R29" s="703" t="s">
        <v>18</v>
      </c>
      <c r="S29" s="704">
        <f t="shared" si="12"/>
        <v>100</v>
      </c>
      <c r="T29" s="703" t="s">
        <v>18</v>
      </c>
      <c r="U29" s="704">
        <f t="shared" si="13"/>
        <v>100</v>
      </c>
      <c r="V29" s="703" t="s">
        <v>18</v>
      </c>
      <c r="W29" s="704">
        <f t="shared" si="14"/>
        <v>100</v>
      </c>
      <c r="X29" s="1353"/>
      <c r="Y29" s="3765"/>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72"/>
      <c r="Q30" s="1350">
        <f t="shared" si="11"/>
        <v>111</v>
      </c>
      <c r="R30" s="703" t="s">
        <v>18</v>
      </c>
      <c r="S30" s="704">
        <f t="shared" si="12"/>
        <v>100</v>
      </c>
      <c r="T30" s="703" t="s">
        <v>18</v>
      </c>
      <c r="U30" s="704">
        <f t="shared" si="13"/>
        <v>100</v>
      </c>
      <c r="V30" s="703" t="s">
        <v>18</v>
      </c>
      <c r="W30" s="704">
        <f t="shared" si="14"/>
        <v>100</v>
      </c>
      <c r="X30" s="1353"/>
      <c r="Y30" s="3765"/>
      <c r="Z30" s="1354">
        <f t="shared" si="18"/>
        <v>111</v>
      </c>
      <c r="AA30" s="1351">
        <f t="shared" si="15"/>
        <v>1</v>
      </c>
      <c r="AB30" s="1351">
        <f t="shared" si="16"/>
        <v>1</v>
      </c>
      <c r="AC30" s="1351">
        <f t="shared" si="17"/>
        <v>1</v>
      </c>
    </row>
    <row r="31" spans="1:29" ht="15.6"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72"/>
      <c r="Q31" s="1350">
        <f t="shared" si="11"/>
        <v>111</v>
      </c>
      <c r="R31" s="703" t="s">
        <v>18</v>
      </c>
      <c r="S31" s="704">
        <f t="shared" si="12"/>
        <v>100</v>
      </c>
      <c r="T31" s="703" t="s">
        <v>18</v>
      </c>
      <c r="U31" s="704">
        <f t="shared" si="13"/>
        <v>100</v>
      </c>
      <c r="V31" s="703" t="s">
        <v>18</v>
      </c>
      <c r="W31" s="704">
        <f t="shared" si="14"/>
        <v>100</v>
      </c>
      <c r="X31" s="1353"/>
      <c r="Y31" s="3765"/>
      <c r="Z31" s="1354">
        <f t="shared" si="18"/>
        <v>111</v>
      </c>
      <c r="AA31" s="1351">
        <f t="shared" si="15"/>
        <v>1</v>
      </c>
      <c r="AB31" s="1351">
        <f t="shared" si="16"/>
        <v>1</v>
      </c>
      <c r="AC31" s="1351">
        <f t="shared" si="17"/>
        <v>1</v>
      </c>
    </row>
    <row r="32" spans="1:29" ht="15">
      <c r="A32" s="391" t="s">
        <v>1692</v>
      </c>
      <c r="B32" s="63" t="s">
        <v>1693</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66" t="s">
        <v>1694</v>
      </c>
      <c r="Q32" s="1350" t="str">
        <f t="shared" si="11"/>
        <v>建筑类型</v>
      </c>
      <c r="R32" s="703" t="s">
        <v>18</v>
      </c>
      <c r="S32" s="704">
        <f t="shared" si="12"/>
        <v>100</v>
      </c>
      <c r="T32" s="703" t="s">
        <v>18</v>
      </c>
      <c r="U32" s="704">
        <f t="shared" si="13"/>
        <v>100</v>
      </c>
      <c r="V32" s="703" t="s">
        <v>18</v>
      </c>
      <c r="W32" s="704">
        <f t="shared" si="14"/>
        <v>100</v>
      </c>
      <c r="X32" s="1353"/>
      <c r="Y32" s="3769"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67"/>
      <c r="Q33" s="705" t="str">
        <f t="shared" si="11"/>
        <v>项目建筑规模</v>
      </c>
      <c r="R33" s="706" t="s">
        <v>18</v>
      </c>
      <c r="S33" s="707" t="e">
        <f t="shared" si="12"/>
        <v>#N/A</v>
      </c>
      <c r="T33" s="706" t="s">
        <v>18</v>
      </c>
      <c r="U33" s="707" t="e">
        <f t="shared" si="13"/>
        <v>#N/A</v>
      </c>
      <c r="V33" s="706" t="s">
        <v>18</v>
      </c>
      <c r="W33" s="707" t="e">
        <f t="shared" si="14"/>
        <v>#N/A</v>
      </c>
      <c r="X33" s="708"/>
      <c r="Y33" s="3769"/>
      <c r="Z33" s="709" t="str">
        <f t="shared" si="18"/>
        <v>项目建筑规模</v>
      </c>
      <c r="AA33" s="1351" t="e">
        <f t="shared" si="15"/>
        <v>#N/A</v>
      </c>
      <c r="AB33" s="1351" t="e">
        <f t="shared" si="16"/>
        <v>#N/A</v>
      </c>
      <c r="AC33" s="1351" t="e">
        <f t="shared" si="17"/>
        <v>#N/A</v>
      </c>
    </row>
    <row r="34" spans="1:29" ht="15">
      <c r="A34" s="423"/>
      <c r="B34" s="375" t="s">
        <v>1696</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67"/>
      <c r="Q34" s="1350" t="str">
        <f t="shared" si="11"/>
        <v>建筑结构</v>
      </c>
      <c r="R34" s="703" t="s">
        <v>18</v>
      </c>
      <c r="S34" s="704">
        <f t="shared" si="12"/>
        <v>100</v>
      </c>
      <c r="T34" s="703" t="s">
        <v>18</v>
      </c>
      <c r="U34" s="704">
        <f t="shared" si="13"/>
        <v>100</v>
      </c>
      <c r="V34" s="703" t="s">
        <v>18</v>
      </c>
      <c r="W34" s="704">
        <f t="shared" si="14"/>
        <v>100</v>
      </c>
      <c r="X34" s="1353"/>
      <c r="Y34" s="3769"/>
      <c r="Z34" s="1354" t="str">
        <f t="shared" si="18"/>
        <v>建筑结构</v>
      </c>
      <c r="AA34" s="1351">
        <f t="shared" si="15"/>
        <v>1</v>
      </c>
      <c r="AB34" s="1351">
        <f t="shared" si="16"/>
        <v>1</v>
      </c>
      <c r="AC34" s="1351">
        <f t="shared" si="17"/>
        <v>1</v>
      </c>
    </row>
    <row r="35" spans="1:29" ht="15">
      <c r="A35" s="423"/>
      <c r="B35" s="375" t="s">
        <v>1697</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67"/>
      <c r="Q35" s="1350" t="str">
        <f t="shared" si="11"/>
        <v>建筑品质</v>
      </c>
      <c r="R35" s="703" t="s">
        <v>18</v>
      </c>
      <c r="S35" s="704">
        <f t="shared" si="12"/>
        <v>100</v>
      </c>
      <c r="T35" s="703" t="s">
        <v>18</v>
      </c>
      <c r="U35" s="704">
        <f t="shared" si="13"/>
        <v>100</v>
      </c>
      <c r="V35" s="703" t="s">
        <v>18</v>
      </c>
      <c r="W35" s="704">
        <f t="shared" si="14"/>
        <v>100</v>
      </c>
      <c r="X35" s="1353"/>
      <c r="Y35" s="3769"/>
      <c r="Z35" s="1354" t="str">
        <f t="shared" si="18"/>
        <v>建筑品质</v>
      </c>
      <c r="AA35" s="1351">
        <f t="shared" si="15"/>
        <v>1</v>
      </c>
      <c r="AB35" s="1351">
        <f t="shared" si="16"/>
        <v>1</v>
      </c>
      <c r="AC35" s="1351">
        <f t="shared" si="17"/>
        <v>1</v>
      </c>
    </row>
    <row r="36" spans="1:29" ht="15">
      <c r="A36" s="423"/>
      <c r="B36" s="375" t="s">
        <v>1698</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67"/>
      <c r="Q36" s="1350" t="str">
        <f t="shared" si="11"/>
        <v>公共部分装修</v>
      </c>
      <c r="R36" s="703" t="s">
        <v>18</v>
      </c>
      <c r="S36" s="704">
        <f t="shared" si="12"/>
        <v>100</v>
      </c>
      <c r="T36" s="703" t="s">
        <v>18</v>
      </c>
      <c r="U36" s="704">
        <f t="shared" si="13"/>
        <v>100</v>
      </c>
      <c r="V36" s="703" t="s">
        <v>18</v>
      </c>
      <c r="W36" s="704">
        <f t="shared" si="14"/>
        <v>100</v>
      </c>
      <c r="X36" s="1353"/>
      <c r="Y36" s="3769"/>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67"/>
      <c r="Q37" s="1341" t="str">
        <f t="shared" si="11"/>
        <v>成新度</v>
      </c>
      <c r="R37" s="699" t="s">
        <v>18</v>
      </c>
      <c r="S37" s="700" t="e">
        <f t="shared" si="12"/>
        <v>#N/A</v>
      </c>
      <c r="T37" s="699" t="s">
        <v>18</v>
      </c>
      <c r="U37" s="700" t="e">
        <f t="shared" si="13"/>
        <v>#N/A</v>
      </c>
      <c r="V37" s="699" t="s">
        <v>18</v>
      </c>
      <c r="W37" s="700" t="e">
        <f t="shared" si="14"/>
        <v>#N/A</v>
      </c>
      <c r="X37" s="701"/>
      <c r="Y37" s="3769"/>
      <c r="Z37" s="52" t="str">
        <f t="shared" si="18"/>
        <v>成新度</v>
      </c>
      <c r="AA37" s="702" t="e">
        <f t="shared" si="15"/>
        <v>#N/A</v>
      </c>
      <c r="AB37" s="702" t="e">
        <f t="shared" si="16"/>
        <v>#N/A</v>
      </c>
      <c r="AC37" s="702" t="e">
        <f t="shared" si="17"/>
        <v>#N/A</v>
      </c>
    </row>
    <row r="38" spans="1:29" ht="15">
      <c r="A38" s="423"/>
      <c r="B38" s="375" t="s">
        <v>1700</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67" t="s">
        <v>1694</v>
      </c>
      <c r="Q38" s="1350" t="str">
        <f t="shared" si="11"/>
        <v>物业管理</v>
      </c>
      <c r="R38" s="703" t="s">
        <v>18</v>
      </c>
      <c r="S38" s="704">
        <f t="shared" si="12"/>
        <v>100</v>
      </c>
      <c r="T38" s="703" t="s">
        <v>18</v>
      </c>
      <c r="U38" s="704">
        <f t="shared" si="13"/>
        <v>100</v>
      </c>
      <c r="V38" s="703" t="s">
        <v>18</v>
      </c>
      <c r="W38" s="704">
        <f t="shared" si="14"/>
        <v>100</v>
      </c>
      <c r="X38" s="1353"/>
      <c r="Y38" s="3769" t="s">
        <v>1694</v>
      </c>
      <c r="Z38" s="1354" t="str">
        <f t="shared" si="18"/>
        <v>物业管理</v>
      </c>
      <c r="AA38" s="1351">
        <f t="shared" si="15"/>
        <v>1</v>
      </c>
      <c r="AB38" s="1351">
        <f t="shared" si="16"/>
        <v>1</v>
      </c>
      <c r="AC38" s="1351">
        <f t="shared" si="17"/>
        <v>1</v>
      </c>
    </row>
    <row r="39" spans="1:29" ht="15">
      <c r="A39" s="423"/>
      <c r="B39" s="375" t="s">
        <v>1701</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67"/>
      <c r="Q39" s="1350" t="str">
        <f t="shared" si="11"/>
        <v>市政基础设施</v>
      </c>
      <c r="R39" s="703" t="s">
        <v>18</v>
      </c>
      <c r="S39" s="704">
        <f t="shared" si="12"/>
        <v>100</v>
      </c>
      <c r="T39" s="703" t="s">
        <v>18</v>
      </c>
      <c r="U39" s="704">
        <f t="shared" si="13"/>
        <v>100</v>
      </c>
      <c r="V39" s="703" t="s">
        <v>18</v>
      </c>
      <c r="W39" s="704">
        <f t="shared" si="14"/>
        <v>100</v>
      </c>
      <c r="X39" s="1353"/>
      <c r="Y39" s="3769"/>
      <c r="Z39" s="1354" t="str">
        <f t="shared" si="18"/>
        <v>市政基础设施</v>
      </c>
      <c r="AA39" s="1351">
        <f t="shared" si="15"/>
        <v>1</v>
      </c>
      <c r="AB39" s="1351">
        <f t="shared" si="16"/>
        <v>1</v>
      </c>
      <c r="AC39" s="1351">
        <f t="shared" si="17"/>
        <v>1</v>
      </c>
    </row>
    <row r="40" spans="1:29" ht="15">
      <c r="A40" s="423"/>
      <c r="B40" s="375" t="s">
        <v>1702</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67"/>
      <c r="Q40" s="1350" t="str">
        <f t="shared" si="11"/>
        <v>房型</v>
      </c>
      <c r="R40" s="703" t="s">
        <v>18</v>
      </c>
      <c r="S40" s="704">
        <f t="shared" si="12"/>
        <v>100</v>
      </c>
      <c r="T40" s="703" t="s">
        <v>18</v>
      </c>
      <c r="U40" s="704">
        <f t="shared" si="13"/>
        <v>100</v>
      </c>
      <c r="V40" s="703" t="s">
        <v>18</v>
      </c>
      <c r="W40" s="704">
        <f t="shared" si="14"/>
        <v>100</v>
      </c>
      <c r="X40" s="1353"/>
      <c r="Y40" s="3769"/>
      <c r="Z40" s="1354" t="str">
        <f t="shared" si="18"/>
        <v>房型</v>
      </c>
      <c r="AA40" s="1351">
        <f t="shared" si="15"/>
        <v>1</v>
      </c>
      <c r="AB40" s="1351">
        <f t="shared" si="16"/>
        <v>1</v>
      </c>
      <c r="AC40" s="1351">
        <f t="shared" si="17"/>
        <v>1</v>
      </c>
    </row>
    <row r="41" spans="1:29" s="422" customFormat="1" ht="28.8">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67"/>
      <c r="Q41" s="705" t="str">
        <f t="shared" si="11"/>
        <v>单套/主力户型建筑面积</v>
      </c>
      <c r="R41" s="706" t="s">
        <v>18</v>
      </c>
      <c r="S41" s="707">
        <f t="shared" si="12"/>
        <v>100</v>
      </c>
      <c r="T41" s="706" t="s">
        <v>18</v>
      </c>
      <c r="U41" s="707">
        <f t="shared" si="13"/>
        <v>100</v>
      </c>
      <c r="V41" s="706" t="s">
        <v>18</v>
      </c>
      <c r="W41" s="707">
        <f t="shared" si="14"/>
        <v>100</v>
      </c>
      <c r="X41" s="708"/>
      <c r="Y41" s="3769"/>
      <c r="Z41" s="709" t="str">
        <f t="shared" si="18"/>
        <v>单套/主力户型建筑面积</v>
      </c>
      <c r="AA41" s="1351">
        <f t="shared" si="15"/>
        <v>1</v>
      </c>
      <c r="AB41" s="1351">
        <f t="shared" si="16"/>
        <v>1</v>
      </c>
      <c r="AC41" s="1351">
        <f t="shared" si="17"/>
        <v>1</v>
      </c>
    </row>
    <row r="42" spans="1:29" ht="15">
      <c r="A42" s="423"/>
      <c r="B42" s="375" t="s">
        <v>1704</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67"/>
      <c r="Q42" s="1350" t="str">
        <f t="shared" si="11"/>
        <v>内部装修</v>
      </c>
      <c r="R42" s="703" t="s">
        <v>18</v>
      </c>
      <c r="S42" s="704">
        <f t="shared" si="12"/>
        <v>100</v>
      </c>
      <c r="T42" s="703" t="s">
        <v>18</v>
      </c>
      <c r="U42" s="704">
        <f t="shared" si="13"/>
        <v>100</v>
      </c>
      <c r="V42" s="703" t="s">
        <v>18</v>
      </c>
      <c r="W42" s="704">
        <f t="shared" si="14"/>
        <v>100</v>
      </c>
      <c r="X42" s="1353"/>
      <c r="Y42" s="3769"/>
      <c r="Z42" s="1354" t="str">
        <f t="shared" si="18"/>
        <v>内部装修</v>
      </c>
      <c r="AA42" s="1351">
        <f t="shared" si="15"/>
        <v>1</v>
      </c>
      <c r="AB42" s="1351">
        <f t="shared" si="16"/>
        <v>1</v>
      </c>
      <c r="AC42" s="1351">
        <f t="shared" si="17"/>
        <v>1</v>
      </c>
    </row>
    <row r="43" spans="1:29" ht="28.8">
      <c r="A43" s="423"/>
      <c r="B43" s="375" t="s">
        <v>1705</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67"/>
      <c r="Q43" s="1350" t="str">
        <f t="shared" si="11"/>
        <v>内部装修维护情况</v>
      </c>
      <c r="R43" s="703" t="s">
        <v>18</v>
      </c>
      <c r="S43" s="704">
        <f t="shared" si="12"/>
        <v>100</v>
      </c>
      <c r="T43" s="703" t="s">
        <v>18</v>
      </c>
      <c r="U43" s="704">
        <f t="shared" si="13"/>
        <v>100</v>
      </c>
      <c r="V43" s="703" t="s">
        <v>18</v>
      </c>
      <c r="W43" s="704">
        <f t="shared" si="14"/>
        <v>100</v>
      </c>
      <c r="X43" s="1353"/>
      <c r="Y43" s="3769"/>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67"/>
      <c r="Q44" s="1341">
        <f t="shared" si="11"/>
        <v>111</v>
      </c>
      <c r="R44" s="699" t="s">
        <v>18</v>
      </c>
      <c r="S44" s="700">
        <f t="shared" si="12"/>
        <v>100</v>
      </c>
      <c r="T44" s="699" t="s">
        <v>18</v>
      </c>
      <c r="U44" s="700">
        <f t="shared" si="13"/>
        <v>100</v>
      </c>
      <c r="V44" s="699" t="s">
        <v>18</v>
      </c>
      <c r="W44" s="700">
        <f t="shared" si="14"/>
        <v>100</v>
      </c>
      <c r="X44" s="701"/>
      <c r="Y44" s="3769"/>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67"/>
      <c r="Q45" s="1350">
        <f t="shared" si="11"/>
        <v>111</v>
      </c>
      <c r="R45" s="703" t="s">
        <v>18</v>
      </c>
      <c r="S45" s="704">
        <f t="shared" si="12"/>
        <v>100</v>
      </c>
      <c r="T45" s="703" t="s">
        <v>18</v>
      </c>
      <c r="U45" s="704">
        <f t="shared" si="13"/>
        <v>100</v>
      </c>
      <c r="V45" s="703" t="s">
        <v>18</v>
      </c>
      <c r="W45" s="704">
        <f t="shared" si="14"/>
        <v>100</v>
      </c>
      <c r="X45" s="1353"/>
      <c r="Y45" s="3769"/>
      <c r="Z45" s="1354">
        <f t="shared" si="18"/>
        <v>111</v>
      </c>
      <c r="AA45" s="1351">
        <f t="shared" si="15"/>
        <v>1</v>
      </c>
      <c r="AB45" s="1351">
        <f t="shared" si="16"/>
        <v>1</v>
      </c>
      <c r="AC45" s="1351">
        <f t="shared" si="17"/>
        <v>1</v>
      </c>
    </row>
    <row r="46" spans="1:29" ht="15.6"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68"/>
      <c r="Q46" s="1350">
        <f t="shared" si="11"/>
        <v>111</v>
      </c>
      <c r="R46" s="703" t="s">
        <v>17</v>
      </c>
      <c r="S46" s="704">
        <f t="shared" si="12"/>
        <v>100</v>
      </c>
      <c r="T46" s="703" t="s">
        <v>17</v>
      </c>
      <c r="U46" s="704">
        <f t="shared" si="13"/>
        <v>100</v>
      </c>
      <c r="V46" s="703" t="s">
        <v>17</v>
      </c>
      <c r="W46" s="704">
        <f t="shared" si="14"/>
        <v>100</v>
      </c>
      <c r="X46" s="1353"/>
      <c r="Y46" s="3770"/>
      <c r="Z46" s="1354">
        <f t="shared" si="18"/>
        <v>111</v>
      </c>
      <c r="AA46" s="1351">
        <f t="shared" si="15"/>
        <v>1</v>
      </c>
      <c r="AB46" s="1351">
        <f t="shared" si="16"/>
        <v>1</v>
      </c>
      <c r="AC46" s="1351">
        <f t="shared" si="17"/>
        <v>1</v>
      </c>
    </row>
    <row r="47" spans="1:29" ht="14.4">
      <c r="A47" s="430" t="s">
        <v>1706</v>
      </c>
      <c r="B47" s="431"/>
      <c r="C47" s="1152" t="s">
        <v>16</v>
      </c>
      <c r="D47" s="1153"/>
      <c r="E47" s="1154"/>
      <c r="F47" s="1155"/>
      <c r="G47" s="1156"/>
      <c r="H47" s="1157"/>
      <c r="I47" s="1154"/>
      <c r="J47" s="1157"/>
      <c r="K47" s="1912"/>
      <c r="L47" s="2721"/>
      <c r="M47" s="2722"/>
      <c r="N47" s="2713"/>
      <c r="O47" s="2722"/>
      <c r="P47" s="3762" t="str">
        <f>A47</f>
        <v>成交单价（元/平方米）</v>
      </c>
      <c r="Q47" s="3762"/>
      <c r="R47" s="3763">
        <f>E47</f>
        <v>0</v>
      </c>
      <c r="S47" s="3763"/>
      <c r="T47" s="3763">
        <f>G47</f>
        <v>0</v>
      </c>
      <c r="U47" s="3763"/>
      <c r="V47" s="3763">
        <f>I47</f>
        <v>0</v>
      </c>
      <c r="W47" s="3763"/>
      <c r="X47" s="688"/>
      <c r="Y47" s="710"/>
      <c r="Z47" s="688"/>
      <c r="AA47" s="688"/>
      <c r="AB47" s="688"/>
      <c r="AC47" s="688"/>
    </row>
    <row r="48" spans="1:29" ht="15" thickBot="1">
      <c r="A48" s="437" t="s">
        <v>1707</v>
      </c>
      <c r="B48" s="438"/>
      <c r="C48" s="1158" t="e">
        <f>R49</f>
        <v>#DIV/0!</v>
      </c>
      <c r="D48" s="2315" t="s">
        <v>2133</v>
      </c>
      <c r="E48" s="1159" t="e">
        <f>R48</f>
        <v>#DIV/0!</v>
      </c>
      <c r="F48" s="2316"/>
      <c r="G48" s="1158" t="e">
        <f>T48</f>
        <v>#DIV/0!</v>
      </c>
      <c r="H48" s="2316"/>
      <c r="I48" s="1159" t="e">
        <f>V48</f>
        <v>#DIV/0!</v>
      </c>
      <c r="J48" s="2316"/>
      <c r="K48" s="2317">
        <f>F48+H48+J48</f>
        <v>0</v>
      </c>
      <c r="L48" s="2721"/>
      <c r="M48" s="2722"/>
      <c r="N48" s="2722"/>
      <c r="O48" s="2722"/>
      <c r="P48" s="3762" t="str">
        <f>A48</f>
        <v>比较价值（元/平方米）</v>
      </c>
      <c r="Q48" s="3762"/>
      <c r="R48" s="3763" t="e">
        <f>IF(F1="售价",ROUND(PRODUCT(R47,AA7:AA46),0),ROUND(PRODUCT(R47,AA7:AA46),1))</f>
        <v>#DIV/0!</v>
      </c>
      <c r="S48" s="3763"/>
      <c r="T48" s="3763" t="e">
        <f>IF(F1="售价",ROUND(PRODUCT(T47,AB7:AB46),0),ROUND(PRODUCT(T47,AB7:AB46),1))</f>
        <v>#DIV/0!</v>
      </c>
      <c r="U48" s="3763"/>
      <c r="V48" s="3763" t="e">
        <f>IF(F1="售价",ROUND(PRODUCT(V47,AC7:AC46),0),ROUND(PRODUCT(V47,AC7:AC46),1))</f>
        <v>#DIV/0!</v>
      </c>
      <c r="W48" s="3763"/>
      <c r="X48" s="688"/>
      <c r="Y48" s="688"/>
      <c r="Z48" s="688"/>
      <c r="AA48" s="688"/>
      <c r="AB48" s="688"/>
      <c r="AC48" s="688"/>
    </row>
    <row r="49" spans="1:29" ht="15" thickBot="1">
      <c r="A49" s="441" t="s">
        <v>1708</v>
      </c>
      <c r="B49" s="442"/>
      <c r="C49" s="1160" t="e">
        <f>R49</f>
        <v>#DIV/0!</v>
      </c>
      <c r="D49" s="1161"/>
      <c r="E49" s="1161"/>
      <c r="F49" s="1161"/>
      <c r="G49" s="1161"/>
      <c r="H49" s="1161"/>
      <c r="I49" s="1161"/>
      <c r="J49" s="1161"/>
      <c r="K49" s="1913"/>
      <c r="L49" s="2721"/>
      <c r="M49" s="2722"/>
      <c r="N49" s="2722"/>
      <c r="O49" s="2722"/>
      <c r="P49" s="3759" t="str">
        <f>A49</f>
        <v>估价对象XX用房的比较价值（楼面单价，元/平方米）</v>
      </c>
      <c r="Q49" s="3760"/>
      <c r="R49" s="3761" t="e">
        <f>IF(F1="售价",ROUND(IF(D48="简单平均",AVERAGE(R48:V48),R48*F48+T48*H48+V48*J48),0),ROUND(IF(D48="简单平均",AVERAGE(R48:V48),R48*F48+T48*H48+V48*J48),1))</f>
        <v>#DIV/0!</v>
      </c>
      <c r="S49" s="3761"/>
      <c r="T49" s="3761"/>
      <c r="U49" s="3761"/>
      <c r="V49" s="3761"/>
      <c r="W49" s="3761"/>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2.2" thickBot="1">
      <c r="A57" s="692" t="s">
        <v>1712</v>
      </c>
      <c r="B57" s="688"/>
      <c r="C57" s="693"/>
      <c r="D57" s="693"/>
      <c r="E57" s="693"/>
      <c r="F57" s="694"/>
      <c r="G57" s="694"/>
      <c r="H57" s="693"/>
      <c r="I57" s="693"/>
      <c r="J57" s="693"/>
      <c r="K57" s="939"/>
      <c r="L57" s="940"/>
      <c r="M57" s="938"/>
      <c r="N57" s="938"/>
      <c r="O57" s="938"/>
      <c r="P57" s="1916"/>
      <c r="Q57" s="453"/>
    </row>
    <row r="58" spans="1:29" s="457" customFormat="1" ht="14.4">
      <c r="A58" s="454" t="s">
        <v>1713</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c r="A59" s="458"/>
      <c r="B59" s="1917"/>
      <c r="C59" s="1181">
        <v>100</v>
      </c>
      <c r="D59" s="460"/>
      <c r="E59" s="461"/>
      <c r="F59" s="461"/>
      <c r="G59" s="461"/>
      <c r="H59" s="461"/>
      <c r="I59" s="461"/>
      <c r="J59" s="461"/>
      <c r="K59" s="461"/>
      <c r="L59" s="461"/>
      <c r="M59" s="462"/>
      <c r="N59" s="461"/>
      <c r="O59" s="462"/>
      <c r="P59" s="1918"/>
    </row>
    <row r="60" spans="1:29" s="108" customFormat="1" ht="15" thickBot="1">
      <c r="A60" s="464" t="s">
        <v>1714</v>
      </c>
      <c r="B60" s="465"/>
      <c r="C60" s="466"/>
      <c r="D60" s="467"/>
      <c r="E60" s="467"/>
      <c r="F60" s="467"/>
      <c r="G60" s="467"/>
      <c r="H60" s="467"/>
      <c r="I60" s="467"/>
      <c r="J60" s="467"/>
      <c r="K60" s="467"/>
      <c r="L60" s="467"/>
      <c r="M60" s="468"/>
      <c r="N60" s="467"/>
      <c r="O60" s="468"/>
      <c r="P60" s="1918"/>
      <c r="Q60" s="453"/>
    </row>
    <row r="61" spans="1:29" s="108" customFormat="1" ht="14.4">
      <c r="A61" s="470" t="s">
        <v>1715</v>
      </c>
      <c r="B61" s="459"/>
      <c r="C61" s="471" t="s">
        <v>1716</v>
      </c>
      <c r="D61" s="472"/>
      <c r="E61" s="472"/>
      <c r="F61" s="472"/>
      <c r="G61" s="472"/>
      <c r="H61" s="472"/>
      <c r="I61" s="472"/>
      <c r="J61" s="472"/>
      <c r="K61" s="472"/>
      <c r="L61" s="473"/>
      <c r="M61" s="474"/>
      <c r="N61" s="930"/>
      <c r="O61" s="930"/>
      <c r="P61" s="1919"/>
      <c r="Q61" s="453"/>
    </row>
    <row r="62" spans="1:29" s="108" customFormat="1" ht="14.4" thickBot="1">
      <c r="A62" s="470"/>
      <c r="B62" s="459"/>
      <c r="C62" s="460">
        <v>100</v>
      </c>
      <c r="D62" s="461"/>
      <c r="E62" s="461"/>
      <c r="F62" s="461"/>
      <c r="G62" s="461"/>
      <c r="H62" s="461"/>
      <c r="I62" s="461"/>
      <c r="J62" s="461"/>
      <c r="K62" s="461"/>
      <c r="L62" s="461"/>
      <c r="M62" s="463"/>
      <c r="N62" s="930"/>
      <c r="O62" s="930"/>
      <c r="P62" s="1918"/>
      <c r="Q62" s="453"/>
    </row>
    <row r="63" spans="1:29" ht="14.4">
      <c r="A63" s="476" t="s">
        <v>1717</v>
      </c>
      <c r="B63" s="477" t="s">
        <v>1683</v>
      </c>
      <c r="C63" s="478">
        <f>C9</f>
        <v>0</v>
      </c>
      <c r="D63" s="479"/>
      <c r="E63" s="479"/>
      <c r="F63" s="479"/>
      <c r="G63" s="479"/>
      <c r="H63" s="479"/>
      <c r="I63" s="479"/>
      <c r="J63" s="479"/>
      <c r="K63" s="480"/>
      <c r="L63" s="481"/>
      <c r="M63" s="482"/>
      <c r="N63" s="931"/>
      <c r="O63" s="931"/>
      <c r="P63" s="1920"/>
      <c r="Q63" s="453"/>
    </row>
    <row r="64" spans="1:29" ht="14.4" thickBot="1">
      <c r="A64" s="483"/>
      <c r="B64" s="484"/>
      <c r="C64" s="485">
        <v>100</v>
      </c>
      <c r="D64" s="485"/>
      <c r="E64" s="485"/>
      <c r="F64" s="485"/>
      <c r="G64" s="485"/>
      <c r="H64" s="485"/>
      <c r="I64" s="485"/>
      <c r="J64" s="485"/>
      <c r="K64" s="485"/>
      <c r="L64" s="485"/>
      <c r="M64" s="486"/>
      <c r="N64" s="932"/>
      <c r="O64" s="932"/>
      <c r="P64" s="1920"/>
      <c r="Q64" s="453"/>
    </row>
    <row r="65" spans="1:17" ht="29.4" thickTop="1">
      <c r="A65" s="483"/>
      <c r="B65" s="487" t="s">
        <v>1686</v>
      </c>
      <c r="C65" s="532"/>
      <c r="D65" s="532"/>
      <c r="E65" s="532"/>
      <c r="F65" s="532"/>
      <c r="G65" s="532"/>
      <c r="H65" s="532"/>
      <c r="I65" s="532"/>
      <c r="J65" s="532"/>
      <c r="K65" s="532"/>
      <c r="L65" s="532"/>
      <c r="M65" s="532"/>
      <c r="N65" s="932"/>
      <c r="O65" s="932"/>
      <c r="P65" s="1920"/>
      <c r="Q65" s="453"/>
    </row>
    <row r="66" spans="1:17" ht="14.4" thickBot="1">
      <c r="A66" s="483"/>
      <c r="B66" s="492"/>
      <c r="C66" s="485"/>
      <c r="D66" s="485"/>
      <c r="E66" s="485"/>
      <c r="F66" s="485"/>
      <c r="G66" s="485"/>
      <c r="H66" s="485"/>
      <c r="I66" s="485"/>
      <c r="J66" s="485"/>
      <c r="K66" s="485"/>
      <c r="L66" s="485"/>
      <c r="M66" s="486"/>
      <c r="N66" s="932"/>
      <c r="O66" s="932"/>
      <c r="P66" s="1920"/>
      <c r="Q66" s="453"/>
    </row>
    <row r="67" spans="1:17" ht="1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c r="A68" s="483"/>
      <c r="B68" s="497"/>
      <c r="C68" s="498"/>
      <c r="D68" s="498"/>
      <c r="E68" s="498"/>
      <c r="F68" s="498"/>
      <c r="G68" s="498"/>
      <c r="H68" s="498"/>
      <c r="I68" s="498"/>
      <c r="J68" s="498"/>
      <c r="K68" s="499"/>
      <c r="L68" s="500"/>
      <c r="M68" s="501"/>
      <c r="N68" s="931"/>
      <c r="O68" s="931"/>
      <c r="P68" s="1920"/>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4.4" thickTop="1">
      <c r="A70" s="502"/>
      <c r="B70" s="487">
        <f>B12</f>
        <v>111</v>
      </c>
      <c r="C70" s="503"/>
      <c r="D70" s="503"/>
      <c r="E70" s="503"/>
      <c r="F70" s="503"/>
      <c r="G70" s="503"/>
      <c r="H70" s="504"/>
      <c r="I70" s="504"/>
      <c r="J70" s="504"/>
      <c r="K70" s="504"/>
      <c r="L70" s="505"/>
      <c r="M70" s="506"/>
      <c r="N70" s="933"/>
      <c r="O70" s="933"/>
      <c r="P70" s="1921"/>
      <c r="Q70" s="508"/>
    </row>
    <row r="71" spans="1:17" s="422" customFormat="1" ht="14.4" thickBot="1">
      <c r="A71" s="502"/>
      <c r="B71" s="492"/>
      <c r="C71" s="509"/>
      <c r="D71" s="485"/>
      <c r="E71" s="485"/>
      <c r="F71" s="485"/>
      <c r="G71" s="485"/>
      <c r="H71" s="485"/>
      <c r="I71" s="485"/>
      <c r="J71" s="485"/>
      <c r="K71" s="485"/>
      <c r="L71" s="485"/>
      <c r="M71" s="486"/>
      <c r="N71" s="932"/>
      <c r="O71" s="932"/>
      <c r="P71" s="1921"/>
      <c r="Q71" s="508"/>
    </row>
    <row r="72" spans="1:17" s="422" customFormat="1" ht="14.4" thickTop="1">
      <c r="A72" s="502"/>
      <c r="B72" s="487">
        <f>B13</f>
        <v>111</v>
      </c>
      <c r="C72" s="503"/>
      <c r="D72" s="503"/>
      <c r="E72" s="503"/>
      <c r="F72" s="503"/>
      <c r="G72" s="503"/>
      <c r="H72" s="504"/>
      <c r="I72" s="504"/>
      <c r="J72" s="504"/>
      <c r="K72" s="504"/>
      <c r="L72" s="505"/>
      <c r="M72" s="506"/>
      <c r="N72" s="933"/>
      <c r="O72" s="933"/>
      <c r="P72" s="1922"/>
      <c r="Q72" s="510"/>
    </row>
    <row r="73" spans="1:17" s="422" customFormat="1" ht="14.4" thickBot="1">
      <c r="A73" s="502"/>
      <c r="B73" s="492"/>
      <c r="C73" s="509"/>
      <c r="D73" s="509"/>
      <c r="E73" s="509"/>
      <c r="F73" s="509"/>
      <c r="G73" s="509"/>
      <c r="H73" s="511"/>
      <c r="I73" s="511"/>
      <c r="J73" s="511"/>
      <c r="K73" s="511"/>
      <c r="L73" s="511"/>
      <c r="M73" s="512"/>
      <c r="N73" s="933"/>
      <c r="O73" s="933"/>
      <c r="P73" s="1921"/>
      <c r="Q73" s="508"/>
    </row>
    <row r="74" spans="1:17" s="422" customFormat="1" ht="14.4" thickTop="1">
      <c r="A74" s="502"/>
      <c r="B74" s="495">
        <f>B14</f>
        <v>111</v>
      </c>
      <c r="C74" s="503"/>
      <c r="D74" s="503"/>
      <c r="E74" s="503"/>
      <c r="F74" s="503"/>
      <c r="G74" s="472"/>
      <c r="H74" s="513"/>
      <c r="I74" s="513"/>
      <c r="J74" s="513"/>
      <c r="K74" s="513"/>
      <c r="L74" s="514"/>
      <c r="M74" s="515"/>
      <c r="N74" s="933"/>
      <c r="O74" s="933"/>
      <c r="P74" s="1923"/>
      <c r="Q74" s="508"/>
    </row>
    <row r="75" spans="1:17" s="422" customFormat="1" ht="14.4" thickBot="1">
      <c r="A75" s="517"/>
      <c r="B75" s="518"/>
      <c r="C75" s="519"/>
      <c r="D75" s="519"/>
      <c r="E75" s="519"/>
      <c r="F75" s="519"/>
      <c r="G75" s="519"/>
      <c r="H75" s="520"/>
      <c r="I75" s="520"/>
      <c r="J75" s="520"/>
      <c r="K75" s="520"/>
      <c r="L75" s="520"/>
      <c r="M75" s="521"/>
      <c r="N75" s="933"/>
      <c r="O75" s="933"/>
      <c r="P75" s="1921"/>
      <c r="Q75" s="508"/>
    </row>
    <row r="76" spans="1:17" ht="14.4">
      <c r="A76" s="476" t="s">
        <v>1688</v>
      </c>
      <c r="B76" s="477" t="s">
        <v>1718</v>
      </c>
      <c r="C76" s="522" t="s">
        <v>1719</v>
      </c>
      <c r="D76" s="522" t="s">
        <v>1720</v>
      </c>
      <c r="E76" s="522" t="s">
        <v>1721</v>
      </c>
      <c r="F76" s="522" t="s">
        <v>1722</v>
      </c>
      <c r="G76" s="522" t="s">
        <v>1723</v>
      </c>
      <c r="H76" s="478"/>
      <c r="I76" s="478"/>
      <c r="J76" s="478"/>
      <c r="K76" s="523"/>
      <c r="L76" s="524"/>
      <c r="M76" s="525"/>
      <c r="N76" s="931"/>
      <c r="O76" s="931"/>
      <c r="P76" s="1924"/>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 thickTop="1">
      <c r="A78" s="483"/>
      <c r="B78" s="487" t="s">
        <v>1724</v>
      </c>
      <c r="C78" s="527" t="s">
        <v>1719</v>
      </c>
      <c r="D78" s="527" t="s">
        <v>1720</v>
      </c>
      <c r="E78" s="527" t="s">
        <v>1721</v>
      </c>
      <c r="F78" s="527" t="s">
        <v>1722</v>
      </c>
      <c r="G78" s="527" t="s">
        <v>1723</v>
      </c>
      <c r="H78" s="488"/>
      <c r="I78" s="488"/>
      <c r="J78" s="488"/>
      <c r="K78" s="489"/>
      <c r="L78" s="490"/>
      <c r="M78" s="491"/>
      <c r="N78" s="931"/>
      <c r="O78" s="931"/>
      <c r="P78" s="1920"/>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 thickTop="1">
      <c r="A80" s="483"/>
      <c r="B80" s="487" t="s">
        <v>1725</v>
      </c>
      <c r="C80" s="527" t="s">
        <v>1719</v>
      </c>
      <c r="D80" s="527" t="s">
        <v>1720</v>
      </c>
      <c r="E80" s="527" t="s">
        <v>1721</v>
      </c>
      <c r="F80" s="527" t="s">
        <v>1722</v>
      </c>
      <c r="G80" s="527" t="s">
        <v>1723</v>
      </c>
      <c r="H80" s="488"/>
      <c r="I80" s="488"/>
      <c r="J80" s="488"/>
      <c r="K80" s="489"/>
      <c r="L80" s="490"/>
      <c r="M80" s="491"/>
      <c r="N80" s="931"/>
      <c r="O80" s="931"/>
      <c r="P80" s="1920"/>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 thickTop="1">
      <c r="A82" s="483"/>
      <c r="B82" s="495" t="s">
        <v>1258</v>
      </c>
      <c r="C82" s="488" t="s">
        <v>1726</v>
      </c>
      <c r="D82" s="488" t="s">
        <v>1727</v>
      </c>
      <c r="E82" s="488" t="s">
        <v>1728</v>
      </c>
      <c r="F82" s="488" t="s">
        <v>1729</v>
      </c>
      <c r="G82" s="488" t="s">
        <v>1730</v>
      </c>
      <c r="H82" s="488"/>
      <c r="I82" s="488"/>
      <c r="J82" s="488"/>
      <c r="K82" s="488"/>
      <c r="L82" s="488"/>
      <c r="M82" s="1127"/>
      <c r="N82" s="932"/>
      <c r="O82" s="932"/>
      <c r="P82" s="1920"/>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 thickTop="1">
      <c r="A84" s="483"/>
      <c r="B84" s="487" t="s">
        <v>1731</v>
      </c>
      <c r="C84" s="527" t="s">
        <v>1719</v>
      </c>
      <c r="D84" s="527" t="s">
        <v>1720</v>
      </c>
      <c r="E84" s="527" t="s">
        <v>1721</v>
      </c>
      <c r="F84" s="527" t="s">
        <v>1722</v>
      </c>
      <c r="G84" s="527" t="s">
        <v>1723</v>
      </c>
      <c r="H84" s="488"/>
      <c r="I84" s="488"/>
      <c r="J84" s="488"/>
      <c r="K84" s="489"/>
      <c r="L84" s="490"/>
      <c r="M84" s="491"/>
      <c r="N84" s="931"/>
      <c r="O84" s="931"/>
      <c r="P84" s="1920"/>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 thickTop="1">
      <c r="A86" s="528"/>
      <c r="B86" s="487" t="s">
        <v>1732</v>
      </c>
      <c r="C86" s="503"/>
      <c r="D86" s="503"/>
      <c r="E86" s="503"/>
      <c r="F86" s="503"/>
      <c r="G86" s="503"/>
      <c r="H86" s="503"/>
      <c r="I86" s="503"/>
      <c r="J86" s="503"/>
      <c r="K86" s="503"/>
      <c r="L86" s="529"/>
      <c r="M86" s="530"/>
      <c r="N86" s="930"/>
      <c r="O86" s="930"/>
      <c r="P86" s="1920"/>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 thickTop="1">
      <c r="A88" s="528"/>
      <c r="B88" s="487" t="s">
        <v>1733</v>
      </c>
      <c r="C88" s="503"/>
      <c r="D88" s="503"/>
      <c r="E88" s="503"/>
      <c r="F88" s="1925"/>
      <c r="G88" s="503"/>
      <c r="H88" s="503"/>
      <c r="I88" s="503"/>
      <c r="J88" s="503"/>
      <c r="K88" s="503"/>
      <c r="L88" s="503"/>
      <c r="M88" s="530"/>
      <c r="N88" s="930"/>
      <c r="O88" s="930"/>
      <c r="P88" s="1920"/>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4.4" thickTop="1">
      <c r="A90" s="502"/>
      <c r="B90" s="487">
        <f>B27</f>
        <v>111</v>
      </c>
      <c r="C90" s="503"/>
      <c r="D90" s="503"/>
      <c r="E90" s="503"/>
      <c r="F90" s="503"/>
      <c r="G90" s="503"/>
      <c r="H90" s="504"/>
      <c r="I90" s="504"/>
      <c r="J90" s="504"/>
      <c r="K90" s="504"/>
      <c r="L90" s="505"/>
      <c r="M90" s="506"/>
      <c r="N90" s="933"/>
      <c r="O90" s="933"/>
      <c r="P90" s="1921"/>
      <c r="Q90" s="508"/>
    </row>
    <row r="91" spans="1:17" s="422" customFormat="1" ht="14.4" thickBot="1">
      <c r="A91" s="502"/>
      <c r="B91" s="492"/>
      <c r="C91" s="509"/>
      <c r="D91" s="509"/>
      <c r="E91" s="509"/>
      <c r="F91" s="509"/>
      <c r="G91" s="509"/>
      <c r="H91" s="511"/>
      <c r="I91" s="511"/>
      <c r="J91" s="511"/>
      <c r="K91" s="511"/>
      <c r="L91" s="511"/>
      <c r="M91" s="512"/>
      <c r="N91" s="933"/>
      <c r="O91" s="933"/>
      <c r="P91" s="1921"/>
      <c r="Q91" s="508"/>
    </row>
    <row r="92" spans="1:17" ht="14.4" thickTop="1">
      <c r="A92" s="483"/>
      <c r="B92" s="487">
        <f>B28</f>
        <v>111</v>
      </c>
      <c r="C92" s="503"/>
      <c r="D92" s="503"/>
      <c r="E92" s="503"/>
      <c r="F92" s="503"/>
      <c r="G92" s="532"/>
      <c r="H92" s="532"/>
      <c r="I92" s="532"/>
      <c r="J92" s="532"/>
      <c r="K92" s="533"/>
      <c r="L92" s="534"/>
      <c r="M92" s="535"/>
      <c r="N92" s="931"/>
      <c r="O92" s="931"/>
      <c r="P92" s="1920"/>
      <c r="Q92" s="453"/>
    </row>
    <row r="93" spans="1:17" ht="14.4" thickBot="1">
      <c r="A93" s="483"/>
      <c r="B93" s="492"/>
      <c r="C93" s="509"/>
      <c r="D93" s="485"/>
      <c r="E93" s="485"/>
      <c r="F93" s="485"/>
      <c r="G93" s="485"/>
      <c r="H93" s="485"/>
      <c r="I93" s="485"/>
      <c r="J93" s="485"/>
      <c r="K93" s="485"/>
      <c r="L93" s="485"/>
      <c r="M93" s="486"/>
      <c r="N93" s="932"/>
      <c r="O93" s="932"/>
      <c r="P93" s="1920"/>
      <c r="Q93" s="453"/>
    </row>
    <row r="94" spans="1:17" ht="14.4" thickTop="1">
      <c r="A94" s="483"/>
      <c r="B94" s="487">
        <f>B29</f>
        <v>111</v>
      </c>
      <c r="C94" s="503"/>
      <c r="D94" s="503"/>
      <c r="E94" s="503"/>
      <c r="F94" s="503"/>
      <c r="G94" s="532"/>
      <c r="H94" s="532"/>
      <c r="I94" s="532"/>
      <c r="J94" s="532"/>
      <c r="K94" s="533"/>
      <c r="L94" s="534"/>
      <c r="M94" s="535"/>
      <c r="N94" s="931"/>
      <c r="O94" s="931"/>
      <c r="P94" s="1920"/>
      <c r="Q94" s="453"/>
    </row>
    <row r="95" spans="1:17" ht="14.4" thickBot="1">
      <c r="A95" s="483"/>
      <c r="B95" s="492"/>
      <c r="C95" s="509"/>
      <c r="D95" s="509"/>
      <c r="E95" s="509"/>
      <c r="F95" s="509"/>
      <c r="G95" s="485"/>
      <c r="H95" s="485"/>
      <c r="I95" s="485"/>
      <c r="J95" s="485"/>
      <c r="K95" s="485"/>
      <c r="L95" s="485"/>
      <c r="M95" s="486"/>
      <c r="N95" s="932"/>
      <c r="O95" s="932"/>
      <c r="P95" s="1920"/>
      <c r="Q95" s="453"/>
    </row>
    <row r="96" spans="1:17" ht="14.4" thickTop="1">
      <c r="A96" s="483"/>
      <c r="B96" s="487">
        <f>B30</f>
        <v>111</v>
      </c>
      <c r="C96" s="503"/>
      <c r="D96" s="503"/>
      <c r="E96" s="503"/>
      <c r="F96" s="503"/>
      <c r="G96" s="532"/>
      <c r="H96" s="532"/>
      <c r="I96" s="532"/>
      <c r="J96" s="532"/>
      <c r="K96" s="533"/>
      <c r="L96" s="534"/>
      <c r="M96" s="535"/>
      <c r="N96" s="931"/>
      <c r="O96" s="931"/>
      <c r="P96" s="1920"/>
      <c r="Q96" s="453"/>
    </row>
    <row r="97" spans="1:17" ht="14.4" thickBot="1">
      <c r="A97" s="483"/>
      <c r="B97" s="492"/>
      <c r="C97" s="519"/>
      <c r="D97" s="519"/>
      <c r="E97" s="519"/>
      <c r="F97" s="519"/>
      <c r="G97" s="485"/>
      <c r="H97" s="485"/>
      <c r="I97" s="485"/>
      <c r="J97" s="485"/>
      <c r="K97" s="485"/>
      <c r="L97" s="485"/>
      <c r="M97" s="486"/>
      <c r="N97" s="932"/>
      <c r="O97" s="932"/>
      <c r="P97" s="1920"/>
      <c r="Q97" s="453"/>
    </row>
    <row r="98" spans="1:17" ht="14.4" thickTop="1">
      <c r="A98" s="483"/>
      <c r="B98" s="495">
        <f>B31</f>
        <v>111</v>
      </c>
      <c r="C98" s="536"/>
      <c r="D98" s="536"/>
      <c r="E98" s="536"/>
      <c r="F98" s="536"/>
      <c r="G98" s="536"/>
      <c r="H98" s="536"/>
      <c r="I98" s="536"/>
      <c r="J98" s="536"/>
      <c r="K98" s="537"/>
      <c r="L98" s="538"/>
      <c r="M98" s="539"/>
      <c r="N98" s="931"/>
      <c r="O98" s="931"/>
      <c r="P98" s="1920"/>
      <c r="Q98" s="453"/>
    </row>
    <row r="99" spans="1:17" ht="14.4" thickBot="1">
      <c r="A99" s="1926"/>
      <c r="B99" s="518"/>
      <c r="C99" s="540"/>
      <c r="D99" s="540"/>
      <c r="E99" s="540"/>
      <c r="F99" s="540"/>
      <c r="G99" s="540"/>
      <c r="H99" s="540"/>
      <c r="I99" s="540"/>
      <c r="J99" s="540"/>
      <c r="K99" s="540"/>
      <c r="L99" s="540"/>
      <c r="M99" s="541"/>
      <c r="N99" s="932"/>
      <c r="O99" s="932"/>
      <c r="P99" s="1920"/>
      <c r="Q99" s="453"/>
    </row>
    <row r="100" spans="1:17" ht="14.4">
      <c r="A100" s="476" t="s">
        <v>1692</v>
      </c>
      <c r="B100" s="477" t="s">
        <v>1734</v>
      </c>
      <c r="C100" s="479"/>
      <c r="D100" s="479"/>
      <c r="E100" s="479"/>
      <c r="F100" s="479"/>
      <c r="G100" s="479"/>
      <c r="H100" s="479"/>
      <c r="I100" s="479"/>
      <c r="J100" s="479"/>
      <c r="K100" s="480"/>
      <c r="L100" s="481"/>
      <c r="M100" s="482"/>
      <c r="N100" s="931"/>
      <c r="O100" s="931"/>
      <c r="P100" s="1920"/>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4.4"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1736</v>
      </c>
      <c r="C105" s="503"/>
      <c r="D105" s="503"/>
      <c r="E105" s="532"/>
      <c r="F105" s="532"/>
      <c r="G105" s="532"/>
      <c r="H105" s="532"/>
      <c r="I105" s="532"/>
      <c r="J105" s="532"/>
      <c r="K105" s="533"/>
      <c r="L105" s="534"/>
      <c r="M105" s="535"/>
      <c r="N105" s="931"/>
      <c r="O105" s="931"/>
      <c r="P105" s="1920"/>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1737</v>
      </c>
      <c r="C107" s="532"/>
      <c r="D107" s="532"/>
      <c r="E107" s="532"/>
      <c r="F107" s="532"/>
      <c r="G107" s="532"/>
      <c r="H107" s="532"/>
      <c r="I107" s="532"/>
      <c r="J107" s="532"/>
      <c r="K107" s="533"/>
      <c r="L107" s="534"/>
      <c r="M107" s="535"/>
      <c r="N107" s="931"/>
      <c r="O107" s="931"/>
      <c r="P107" s="1920"/>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1738</v>
      </c>
      <c r="C109" s="503"/>
      <c r="D109" s="503"/>
      <c r="E109" s="503"/>
      <c r="F109" s="532"/>
      <c r="G109" s="532"/>
      <c r="H109" s="532"/>
      <c r="I109" s="532"/>
      <c r="J109" s="532"/>
      <c r="K109" s="533"/>
      <c r="L109" s="534"/>
      <c r="M109" s="535"/>
      <c r="N109" s="931"/>
      <c r="O109" s="931"/>
      <c r="P109" s="1920"/>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1739</v>
      </c>
      <c r="C114" s="503"/>
      <c r="D114" s="503"/>
      <c r="E114" s="532"/>
      <c r="F114" s="532"/>
      <c r="G114" s="532"/>
      <c r="H114" s="532"/>
      <c r="I114" s="532"/>
      <c r="J114" s="532"/>
      <c r="K114" s="533"/>
      <c r="L114" s="534"/>
      <c r="M114" s="535"/>
      <c r="N114" s="931"/>
      <c r="O114" s="931"/>
      <c r="P114" s="1920"/>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1740</v>
      </c>
      <c r="C116" s="503"/>
      <c r="D116" s="503"/>
      <c r="E116" s="503"/>
      <c r="F116" s="503"/>
      <c r="G116" s="503"/>
      <c r="H116" s="532"/>
      <c r="I116" s="532"/>
      <c r="J116" s="532"/>
      <c r="K116" s="533"/>
      <c r="L116" s="534"/>
      <c r="M116" s="535"/>
      <c r="N116" s="931"/>
      <c r="O116" s="931"/>
      <c r="P116" s="1920"/>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1741</v>
      </c>
      <c r="C118" s="532"/>
      <c r="D118" s="532"/>
      <c r="E118" s="532"/>
      <c r="F118" s="532"/>
      <c r="G118" s="532"/>
      <c r="H118" s="532"/>
      <c r="I118" s="532"/>
      <c r="J118" s="532"/>
      <c r="K118" s="533"/>
      <c r="L118" s="534"/>
      <c r="M118" s="535"/>
      <c r="N118" s="931"/>
      <c r="O118" s="931"/>
      <c r="P118" s="1920"/>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9.4" thickTop="1">
      <c r="A120" s="542"/>
      <c r="B120" s="487" t="s">
        <v>1703</v>
      </c>
      <c r="C120" s="503"/>
      <c r="D120" s="503"/>
      <c r="E120" s="503"/>
      <c r="F120" s="503"/>
      <c r="G120" s="503"/>
      <c r="H120" s="503"/>
      <c r="I120" s="503"/>
      <c r="J120" s="503"/>
      <c r="K120" s="503"/>
      <c r="L120" s="529"/>
      <c r="M120" s="530"/>
      <c r="N120" s="933"/>
      <c r="O120" s="933"/>
      <c r="P120" s="1921"/>
      <c r="Q120" s="508"/>
    </row>
    <row r="121" spans="1:17" s="422" customFormat="1" ht="14.4"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1742</v>
      </c>
      <c r="C122" s="503"/>
      <c r="D122" s="503"/>
      <c r="E122" s="503"/>
      <c r="F122" s="532"/>
      <c r="G122" s="532"/>
      <c r="H122" s="532"/>
      <c r="I122" s="532"/>
      <c r="J122" s="532"/>
      <c r="K122" s="533"/>
      <c r="L122" s="534"/>
      <c r="M122" s="535"/>
      <c r="N122" s="931"/>
      <c r="O122" s="931"/>
      <c r="P122" s="1920"/>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29.4" thickTop="1">
      <c r="A124" s="548"/>
      <c r="B124" s="487" t="s">
        <v>1743</v>
      </c>
      <c r="C124" s="527" t="s">
        <v>1719</v>
      </c>
      <c r="D124" s="527" t="s">
        <v>1720</v>
      </c>
      <c r="E124" s="527" t="s">
        <v>1721</v>
      </c>
      <c r="F124" s="527" t="s">
        <v>1722</v>
      </c>
      <c r="G124" s="527" t="s">
        <v>1723</v>
      </c>
      <c r="H124" s="488"/>
      <c r="I124" s="488"/>
      <c r="J124" s="488"/>
      <c r="K124" s="489"/>
      <c r="L124" s="490"/>
      <c r="M124" s="491"/>
      <c r="N124" s="931"/>
      <c r="O124" s="931"/>
      <c r="P124" s="1921"/>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4.4"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4.4" thickBot="1">
      <c r="A127" s="502"/>
      <c r="B127" s="492"/>
      <c r="C127" s="509"/>
      <c r="D127" s="485"/>
      <c r="E127" s="485"/>
      <c r="F127" s="485"/>
      <c r="G127" s="509"/>
      <c r="H127" s="511"/>
      <c r="I127" s="511"/>
      <c r="J127" s="511"/>
      <c r="K127" s="511"/>
      <c r="L127" s="511"/>
      <c r="M127" s="512"/>
      <c r="N127" s="933"/>
      <c r="O127" s="933"/>
      <c r="P127" s="1921"/>
      <c r="Q127" s="508"/>
    </row>
    <row r="128" spans="1:17" ht="14.4" thickTop="1">
      <c r="A128" s="548"/>
      <c r="B128" s="487">
        <f>B45</f>
        <v>111</v>
      </c>
      <c r="C128" s="503"/>
      <c r="D128" s="503"/>
      <c r="E128" s="503"/>
      <c r="F128" s="503"/>
      <c r="G128" s="532"/>
      <c r="H128" s="532"/>
      <c r="I128" s="532"/>
      <c r="J128" s="532"/>
      <c r="K128" s="533"/>
      <c r="L128" s="534"/>
      <c r="M128" s="535"/>
      <c r="N128" s="931"/>
      <c r="O128" s="931"/>
      <c r="P128" s="1920"/>
      <c r="Q128" s="453"/>
    </row>
    <row r="129" spans="1:17" ht="14.4" thickBot="1">
      <c r="A129" s="483"/>
      <c r="B129" s="492"/>
      <c r="C129" s="509"/>
      <c r="D129" s="509"/>
      <c r="E129" s="509"/>
      <c r="F129" s="509"/>
      <c r="G129" s="485"/>
      <c r="H129" s="485"/>
      <c r="I129" s="485"/>
      <c r="J129" s="485"/>
      <c r="K129" s="485"/>
      <c r="L129" s="485"/>
      <c r="M129" s="486"/>
      <c r="N129" s="932"/>
      <c r="O129" s="932"/>
      <c r="P129" s="1920"/>
      <c r="Q129" s="453"/>
    </row>
    <row r="130" spans="1:17" ht="14.4" thickTop="1">
      <c r="A130" s="548"/>
      <c r="B130" s="495">
        <f>B46</f>
        <v>111</v>
      </c>
      <c r="C130" s="503"/>
      <c r="D130" s="503"/>
      <c r="E130" s="503"/>
      <c r="F130" s="503"/>
      <c r="G130" s="536"/>
      <c r="H130" s="536"/>
      <c r="I130" s="536"/>
      <c r="J130" s="536"/>
      <c r="K130" s="472"/>
      <c r="L130" s="473"/>
      <c r="M130" s="539"/>
      <c r="N130" s="931"/>
      <c r="O130" s="931"/>
      <c r="P130" s="1920"/>
      <c r="Q130" s="453"/>
    </row>
    <row r="131" spans="1:17" ht="14.4"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5">
        <v>6</v>
      </c>
      <c r="C139" s="866">
        <v>96</v>
      </c>
      <c r="D139" s="1938" t="s">
        <v>1753</v>
      </c>
      <c r="E139" s="867">
        <v>100</v>
      </c>
      <c r="F139" s="868">
        <v>102.5</v>
      </c>
      <c r="G139" s="1938" t="s">
        <v>1753</v>
      </c>
      <c r="H139" s="869">
        <v>105</v>
      </c>
      <c r="I139" s="1939" t="s">
        <v>1754</v>
      </c>
      <c r="J139" s="866">
        <v>20</v>
      </c>
      <c r="K139" s="870">
        <f>C145/(J139-2)</f>
        <v>4.0555555555555553E-3</v>
      </c>
    </row>
    <row r="140" spans="1:17" ht="15">
      <c r="B140" s="871">
        <v>5</v>
      </c>
      <c r="C140" s="872">
        <v>100</v>
      </c>
      <c r="D140" s="872"/>
      <c r="E140" s="873"/>
      <c r="F140" s="874">
        <v>102</v>
      </c>
      <c r="G140" s="872"/>
      <c r="H140" s="875"/>
      <c r="I140" s="1940" t="s">
        <v>1755</v>
      </c>
      <c r="J140" s="271">
        <f>ROUNDUP((J139-1)/2,0)</f>
        <v>10</v>
      </c>
      <c r="K140" s="876">
        <v>100</v>
      </c>
    </row>
    <row r="141" spans="1:17" ht="15">
      <c r="B141" s="871">
        <v>4</v>
      </c>
      <c r="C141" s="872">
        <v>102</v>
      </c>
      <c r="D141" s="872"/>
      <c r="E141" s="873"/>
      <c r="F141" s="874">
        <v>101.5</v>
      </c>
      <c r="G141" s="872"/>
      <c r="H141" s="875"/>
      <c r="I141" s="1940" t="s">
        <v>1756</v>
      </c>
      <c r="J141" s="271">
        <v>1</v>
      </c>
      <c r="K141" s="877">
        <f>ROUND(100+(J141-J140)*K139*100,1)</f>
        <v>96.4</v>
      </c>
    </row>
    <row r="142" spans="1:17" ht="15">
      <c r="B142" s="871">
        <v>3</v>
      </c>
      <c r="C142" s="872">
        <v>103</v>
      </c>
      <c r="D142" s="872"/>
      <c r="E142" s="873"/>
      <c r="F142" s="874">
        <v>101</v>
      </c>
      <c r="G142" s="872"/>
      <c r="H142" s="875"/>
      <c r="I142" s="1940" t="s">
        <v>1757</v>
      </c>
      <c r="J142" s="271">
        <f>J139</f>
        <v>20</v>
      </c>
      <c r="K142" s="878">
        <v>95</v>
      </c>
    </row>
    <row r="143" spans="1:17" ht="15">
      <c r="B143" s="871">
        <v>2</v>
      </c>
      <c r="C143" s="872">
        <v>100</v>
      </c>
      <c r="D143" s="872"/>
      <c r="E143" s="873"/>
      <c r="F143" s="874">
        <v>100.5</v>
      </c>
      <c r="G143" s="872"/>
      <c r="H143" s="875"/>
      <c r="I143" s="1940" t="s">
        <v>1758</v>
      </c>
      <c r="J143" s="872">
        <v>15</v>
      </c>
      <c r="K143" s="877">
        <f>ROUND(100+(J143-J140)*K139*100,1)</f>
        <v>102</v>
      </c>
    </row>
    <row r="144" spans="1:17" ht="15">
      <c r="B144" s="871">
        <v>1</v>
      </c>
      <c r="C144" s="872">
        <v>98</v>
      </c>
      <c r="D144" s="1941" t="s">
        <v>1759</v>
      </c>
      <c r="E144" s="873">
        <v>102</v>
      </c>
      <c r="F144" s="879">
        <v>100</v>
      </c>
      <c r="G144" s="1941" t="s">
        <v>1759</v>
      </c>
      <c r="H144" s="875">
        <v>105</v>
      </c>
      <c r="I144" s="1940" t="s">
        <v>1758</v>
      </c>
      <c r="J144" s="872">
        <v>18</v>
      </c>
      <c r="K144" s="877">
        <f>ROUND(100+(J144-J140)*K139*100,1)</f>
        <v>103.2</v>
      </c>
    </row>
    <row r="145" spans="2:11" ht="16.2" thickBot="1">
      <c r="B145" s="1942" t="s">
        <v>1760</v>
      </c>
      <c r="C145" s="880">
        <f>ROUND(MAX(C139:C144)/MIN(C139:C144)-1,3)</f>
        <v>7.2999999999999995E-2</v>
      </c>
      <c r="D145" s="881"/>
      <c r="E145" s="881"/>
      <c r="F145" s="1943" t="s">
        <v>1761</v>
      </c>
      <c r="G145" s="1944"/>
      <c r="H145" s="1945"/>
      <c r="I145" s="1946" t="s">
        <v>1758</v>
      </c>
      <c r="J145" s="882">
        <v>8</v>
      </c>
      <c r="K145" s="883">
        <f>ROUND(100+(J145-J140)*K139*100,1)</f>
        <v>99.2</v>
      </c>
    </row>
    <row r="147" spans="2:11" ht="14.4">
      <c r="B147" s="1927" t="s">
        <v>1762</v>
      </c>
    </row>
    <row r="148" spans="2:11" ht="14.4">
      <c r="B148" s="1927"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91" priority="19" stopIfTrue="1" operator="containsText" text="超过">
      <formula>NOT(ISERROR(SEARCH("超过",F52)))</formula>
    </cfRule>
  </conditionalFormatting>
  <conditionalFormatting sqref="J54">
    <cfRule type="containsText" dxfId="190" priority="18" stopIfTrue="1" operator="containsText" text="超过">
      <formula>NOT(ISERROR(SEARCH("超过",J54)))</formula>
    </cfRule>
  </conditionalFormatting>
  <conditionalFormatting sqref="H54">
    <cfRule type="containsText" dxfId="189" priority="17" stopIfTrue="1" operator="containsText" text="超过">
      <formula>NOT(ISERROR(SEARCH("超过",H54)))</formula>
    </cfRule>
  </conditionalFormatting>
  <conditionalFormatting sqref="F54">
    <cfRule type="containsText" dxfId="188" priority="16" stopIfTrue="1" operator="containsText" text="超过">
      <formula>NOT(ISERROR(SEARCH("超过",F54)))</formula>
    </cfRule>
  </conditionalFormatting>
  <conditionalFormatting sqref="F53 H53 J53">
    <cfRule type="containsText" dxfId="187" priority="15" stopIfTrue="1" operator="containsText" text="超过">
      <formula>NOT(ISERROR(SEARCH("超过",F53)))</formula>
    </cfRule>
  </conditionalFormatting>
  <conditionalFormatting sqref="E52">
    <cfRule type="expression" dxfId="186" priority="14" stopIfTrue="1">
      <formula>$F$52="超过30%"</formula>
    </cfRule>
  </conditionalFormatting>
  <conditionalFormatting sqref="G54">
    <cfRule type="expression" dxfId="185" priority="12" stopIfTrue="1">
      <formula>$H$54="超过30%"</formula>
    </cfRule>
  </conditionalFormatting>
  <conditionalFormatting sqref="E53">
    <cfRule type="expression" dxfId="184" priority="11" stopIfTrue="1">
      <formula>$F$53="超过20%"</formula>
    </cfRule>
  </conditionalFormatting>
  <conditionalFormatting sqref="E54">
    <cfRule type="expression" dxfId="183" priority="10" stopIfTrue="1">
      <formula>$F$54="超过30%"</formula>
    </cfRule>
  </conditionalFormatting>
  <conditionalFormatting sqref="G52">
    <cfRule type="expression" dxfId="182" priority="9" stopIfTrue="1">
      <formula>$H$52="超过30%"</formula>
    </cfRule>
  </conditionalFormatting>
  <conditionalFormatting sqref="G53">
    <cfRule type="expression" dxfId="181" priority="8" stopIfTrue="1">
      <formula>$H$53="超过20%"</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85" zoomScaleNormal="70" zoomScaleSheetLayoutView="85" workbookViewId="0">
      <selection activeCell="K39" sqref="K39"/>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1658</v>
      </c>
      <c r="B1" s="1876" t="s">
        <v>1764</v>
      </c>
      <c r="C1" s="1236" t="s">
        <v>1660</v>
      </c>
      <c r="D1" s="1223">
        <v>110</v>
      </c>
      <c r="E1" s="3423" t="s">
        <v>3464</v>
      </c>
      <c r="F1" s="1877" t="s">
        <v>3465</v>
      </c>
      <c r="G1" s="1233" t="s">
        <v>1765</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2">
        <f>IF(E1="项目模式",IF(C2="——",ROUND(C49*D3/10000,0),ROUND(C49*D3/10000,0)-D2),IF(E1="单套模式",IF(C2="——",ROUND(C49*D3/10000,4),ROUND(C49*D3/10000,4)-D2)))</f>
        <v>1099.5625</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2" customFormat="1" ht="28.5" customHeight="1" thickBot="1">
      <c r="A3" s="203" t="s">
        <v>1462</v>
      </c>
      <c r="B3" s="558">
        <f>IF(C2="——",C49,ROUND(B2*10000/D3,0))</f>
        <v>40949</v>
      </c>
      <c r="C3" s="354" t="s">
        <v>1766</v>
      </c>
      <c r="D3" s="353">
        <f>IF(D1="",'数据-汇总表'!E3,SUMIF('数据-汇总表'!$C19:$C33,D1,'数据-汇总表'!$E19:$E33))</f>
        <v>268.52</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4.4">
      <c r="A4" s="355" t="s">
        <v>1767</v>
      </c>
      <c r="B4" s="356"/>
      <c r="C4" s="3745" t="s">
        <v>1768</v>
      </c>
      <c r="D4" s="3746"/>
      <c r="E4" s="3747" t="s">
        <v>1769</v>
      </c>
      <c r="F4" s="3748"/>
      <c r="G4" s="3745" t="s">
        <v>1770</v>
      </c>
      <c r="H4" s="3746"/>
      <c r="I4" s="3745" t="s">
        <v>1771</v>
      </c>
      <c r="J4" s="3746"/>
      <c r="K4" s="559" t="s">
        <v>1772</v>
      </c>
      <c r="L4" s="2712"/>
      <c r="M4" s="2713"/>
      <c r="N4" s="2713"/>
      <c r="O4" s="2713"/>
      <c r="P4" s="3749" t="s">
        <v>1773</v>
      </c>
      <c r="Q4" s="3750"/>
      <c r="R4" s="3732" t="s">
        <v>1769</v>
      </c>
      <c r="S4" s="3733"/>
      <c r="T4" s="3732" t="s">
        <v>1770</v>
      </c>
      <c r="U4" s="3733"/>
      <c r="V4" s="3757" t="s">
        <v>1771</v>
      </c>
      <c r="W4" s="3757"/>
      <c r="X4" s="1353"/>
      <c r="Y4" s="3732" t="s">
        <v>1773</v>
      </c>
      <c r="Z4" s="3733"/>
      <c r="AA4" s="3727" t="s">
        <v>1769</v>
      </c>
      <c r="AB4" s="3757" t="s">
        <v>1770</v>
      </c>
      <c r="AC4" s="3727" t="s">
        <v>1771</v>
      </c>
    </row>
    <row r="5" spans="1:29">
      <c r="A5" s="358"/>
      <c r="B5" s="359"/>
      <c r="C5" s="3773" t="s">
        <v>3420</v>
      </c>
      <c r="D5" s="3739"/>
      <c r="E5" s="3736" t="str">
        <f>C5</f>
        <v>海淀绿地中央广场</v>
      </c>
      <c r="F5" s="3737"/>
      <c r="G5" s="3773" t="s">
        <v>3541</v>
      </c>
      <c r="H5" s="3739"/>
      <c r="I5" s="3773" t="s">
        <v>3568</v>
      </c>
      <c r="J5" s="3739"/>
      <c r="K5" s="559"/>
      <c r="L5" s="2712"/>
      <c r="M5" s="2713"/>
      <c r="N5" s="2713"/>
      <c r="O5" s="2713"/>
      <c r="P5" s="3751"/>
      <c r="Q5" s="3752"/>
      <c r="R5" s="3734"/>
      <c r="S5" s="3735"/>
      <c r="T5" s="3734"/>
      <c r="U5" s="3735"/>
      <c r="V5" s="3757"/>
      <c r="W5" s="3757"/>
      <c r="X5" s="1353"/>
      <c r="Y5" s="3734"/>
      <c r="Z5" s="3735"/>
      <c r="AA5" s="3728"/>
      <c r="AB5" s="3757"/>
      <c r="AC5" s="3728"/>
    </row>
    <row r="6" spans="1:29" ht="15" thickBot="1">
      <c r="A6" s="360"/>
      <c r="B6" s="361"/>
      <c r="C6" s="3740" t="s">
        <v>1675</v>
      </c>
      <c r="D6" s="3741"/>
      <c r="E6" s="3742" t="s">
        <v>1675</v>
      </c>
      <c r="F6" s="3743"/>
      <c r="G6" s="3740" t="s">
        <v>1675</v>
      </c>
      <c r="H6" s="3741"/>
      <c r="I6" s="3740" t="s">
        <v>1675</v>
      </c>
      <c r="J6" s="3741"/>
      <c r="K6" s="559" t="s">
        <v>1676</v>
      </c>
      <c r="L6" s="2712"/>
      <c r="M6" s="2713"/>
      <c r="N6" s="2713"/>
      <c r="O6" s="2713"/>
      <c r="P6" s="3753"/>
      <c r="Q6" s="3754"/>
      <c r="R6" s="3734"/>
      <c r="S6" s="3735"/>
      <c r="T6" s="3755"/>
      <c r="U6" s="3756"/>
      <c r="V6" s="3757"/>
      <c r="W6" s="3757"/>
      <c r="X6" s="1353"/>
      <c r="Y6" s="3755"/>
      <c r="Z6" s="3756"/>
      <c r="AA6" s="3729"/>
      <c r="AB6" s="3757"/>
      <c r="AC6" s="3729"/>
    </row>
    <row r="7" spans="1:29" s="108" customFormat="1" ht="15" thickBot="1">
      <c r="A7" s="362" t="s">
        <v>1677</v>
      </c>
      <c r="B7" s="363"/>
      <c r="C7" s="364">
        <f>'数据-取费表'!B2</f>
        <v>45504</v>
      </c>
      <c r="D7" s="365">
        <v>100</v>
      </c>
      <c r="E7" s="366">
        <f>C7</f>
        <v>45504</v>
      </c>
      <c r="F7" s="367">
        <f>SUMIF(58:58,YEAR(E7)&amp;"-"&amp;MONTH(E7),59:59)</f>
        <v>100</v>
      </c>
      <c r="G7" s="366">
        <f>C7</f>
        <v>45504</v>
      </c>
      <c r="H7" s="365">
        <f>SUMIF(58:58,YEAR(G7)&amp;"-"&amp;MONTH(G7),59:59)</f>
        <v>100</v>
      </c>
      <c r="I7" s="366">
        <f>G7</f>
        <v>45504</v>
      </c>
      <c r="J7" s="365">
        <f>SUMIF(58:58,YEAR(I7)&amp;"-"&amp;MONTH(I7),59:59)</f>
        <v>100</v>
      </c>
      <c r="K7" s="560"/>
      <c r="L7" s="2714"/>
      <c r="M7" s="2715"/>
      <c r="N7" s="2715"/>
      <c r="O7" s="2715"/>
      <c r="P7" s="3730" t="s">
        <v>1678</v>
      </c>
      <c r="Q7" s="3758"/>
      <c r="R7" s="699" t="s">
        <v>14</v>
      </c>
      <c r="S7" s="700">
        <f t="shared" ref="S7:S15" si="0">F7</f>
        <v>100</v>
      </c>
      <c r="T7" s="699" t="s">
        <v>14</v>
      </c>
      <c r="U7" s="700">
        <f t="shared" ref="U7:U15" si="1">H7</f>
        <v>100</v>
      </c>
      <c r="V7" s="699" t="s">
        <v>14</v>
      </c>
      <c r="W7" s="700">
        <f t="shared" ref="W7:W15" si="2">J7</f>
        <v>100</v>
      </c>
      <c r="X7" s="701"/>
      <c r="Y7" s="3730" t="s">
        <v>1678</v>
      </c>
      <c r="Z7" s="3731"/>
      <c r="AA7" s="702">
        <f>D7/F7</f>
        <v>1</v>
      </c>
      <c r="AB7" s="702">
        <f>D7/H7</f>
        <v>1</v>
      </c>
      <c r="AC7" s="702">
        <f>D7/J7</f>
        <v>1</v>
      </c>
    </row>
    <row r="8" spans="1:29" s="108" customFormat="1" ht="15" thickBot="1">
      <c r="A8" s="362" t="s">
        <v>1679</v>
      </c>
      <c r="B8" s="363"/>
      <c r="C8" s="368" t="s">
        <v>3421</v>
      </c>
      <c r="D8" s="365">
        <v>100</v>
      </c>
      <c r="E8" s="368" t="s">
        <v>3423</v>
      </c>
      <c r="F8" s="367">
        <f>SUMIF(61:61,E8,62:62)-SUMIF(61:61,C8,62:62)+100</f>
        <v>110</v>
      </c>
      <c r="G8" s="368" t="s">
        <v>3423</v>
      </c>
      <c r="H8" s="365">
        <f>SUMIF(61:61,G8,62:62)-SUMIF(61:61,C8,62:62)+100</f>
        <v>110</v>
      </c>
      <c r="I8" s="368" t="s">
        <v>3423</v>
      </c>
      <c r="J8" s="365">
        <f>SUMIF(61:61,I8,62:62)-SUMIF(61:61,C8,62:62)+100</f>
        <v>110</v>
      </c>
      <c r="K8" s="560"/>
      <c r="L8" s="2714"/>
      <c r="M8" s="2715"/>
      <c r="N8" s="2715"/>
      <c r="O8" s="2715"/>
      <c r="P8" s="3730" t="s">
        <v>1681</v>
      </c>
      <c r="Q8" s="3731"/>
      <c r="R8" s="699" t="s">
        <v>14</v>
      </c>
      <c r="S8" s="700">
        <f t="shared" si="0"/>
        <v>110</v>
      </c>
      <c r="T8" s="699" t="s">
        <v>14</v>
      </c>
      <c r="U8" s="700">
        <f t="shared" si="1"/>
        <v>110</v>
      </c>
      <c r="V8" s="699" t="s">
        <v>14</v>
      </c>
      <c r="W8" s="700">
        <f t="shared" si="2"/>
        <v>110</v>
      </c>
      <c r="X8" s="701"/>
      <c r="Y8" s="3730" t="s">
        <v>1681</v>
      </c>
      <c r="Z8" s="3731"/>
      <c r="AA8" s="702">
        <f t="shared" ref="AA8:AA46" si="3">D8/F8</f>
        <v>0.90909090909090906</v>
      </c>
      <c r="AB8" s="702">
        <f t="shared" ref="AB8:AB46" si="4">D8/H8</f>
        <v>0.90909090909090906</v>
      </c>
      <c r="AC8" s="702">
        <f t="shared" ref="AC8:AC46" si="5">D8/J8</f>
        <v>0.90909090909090906</v>
      </c>
    </row>
    <row r="9" spans="1:29" s="108" customFormat="1" ht="14.4">
      <c r="A9" s="369" t="s">
        <v>1682</v>
      </c>
      <c r="B9" s="63" t="s">
        <v>1683</v>
      </c>
      <c r="C9" s="3449" t="s">
        <v>3422</v>
      </c>
      <c r="D9" s="126">
        <v>100</v>
      </c>
      <c r="E9" s="371" t="s">
        <v>671</v>
      </c>
      <c r="F9" s="372">
        <f>SUMIF(63:63,E9,64:64)-SUMIF(63:63,C9,64:64)+100</f>
        <v>100</v>
      </c>
      <c r="G9" s="371" t="s">
        <v>671</v>
      </c>
      <c r="H9" s="126">
        <f>SUMIF(63:63,G9,64:64)-SUMIF(63:63,C9,64:64)+100</f>
        <v>100</v>
      </c>
      <c r="I9" s="371" t="s">
        <v>671</v>
      </c>
      <c r="J9" s="126">
        <f>SUMIF(63:63,I9,64:64)-SUMIF(63:63,C9,64:64)+100</f>
        <v>100</v>
      </c>
      <c r="K9" s="560"/>
      <c r="L9" s="2714"/>
      <c r="M9" s="2715"/>
      <c r="N9" s="2715"/>
      <c r="O9" s="2715"/>
      <c r="P9" s="3744" t="s">
        <v>1684</v>
      </c>
      <c r="Q9" s="1341" t="str">
        <f t="shared" ref="Q9:Q15" si="6">B9</f>
        <v>用途</v>
      </c>
      <c r="R9" s="699" t="s">
        <v>14</v>
      </c>
      <c r="S9" s="700">
        <f t="shared" si="0"/>
        <v>100</v>
      </c>
      <c r="T9" s="699" t="s">
        <v>14</v>
      </c>
      <c r="U9" s="700">
        <f t="shared" si="1"/>
        <v>100</v>
      </c>
      <c r="V9" s="699" t="s">
        <v>14</v>
      </c>
      <c r="W9" s="700">
        <f t="shared" si="2"/>
        <v>100</v>
      </c>
      <c r="X9" s="701"/>
      <c r="Y9" s="3674" t="s">
        <v>1685</v>
      </c>
      <c r="Z9" s="52" t="str">
        <f t="shared" ref="Z9:Z15" si="7">Q9</f>
        <v>用途</v>
      </c>
      <c r="AA9" s="702">
        <f t="shared" si="3"/>
        <v>1</v>
      </c>
      <c r="AB9" s="702">
        <f t="shared" si="4"/>
        <v>1</v>
      </c>
      <c r="AC9" s="702">
        <f t="shared" si="5"/>
        <v>1</v>
      </c>
    </row>
    <row r="10" spans="1:29" s="378" customFormat="1" ht="28.8">
      <c r="A10" s="374"/>
      <c r="B10" s="375" t="s">
        <v>1686</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44"/>
      <c r="Q10" s="1341" t="str">
        <f t="shared" si="6"/>
        <v>土地使用年限（年）</v>
      </c>
      <c r="R10" s="699" t="s">
        <v>14</v>
      </c>
      <c r="S10" s="700">
        <f t="shared" si="0"/>
        <v>100</v>
      </c>
      <c r="T10" s="699" t="s">
        <v>14</v>
      </c>
      <c r="U10" s="700">
        <f t="shared" si="1"/>
        <v>100</v>
      </c>
      <c r="V10" s="699" t="s">
        <v>14</v>
      </c>
      <c r="W10" s="700">
        <f t="shared" si="2"/>
        <v>100</v>
      </c>
      <c r="X10" s="701"/>
      <c r="Y10" s="3674"/>
      <c r="Z10" s="52" t="str">
        <f t="shared" si="7"/>
        <v>土地使用年限（年）</v>
      </c>
      <c r="AA10" s="702">
        <f t="shared" si="3"/>
        <v>1</v>
      </c>
      <c r="AB10" s="702">
        <f t="shared" si="4"/>
        <v>1</v>
      </c>
      <c r="AC10" s="702">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44"/>
      <c r="Q11" s="1341" t="str">
        <f t="shared" si="6"/>
        <v>容积率</v>
      </c>
      <c r="R11" s="699" t="s">
        <v>14</v>
      </c>
      <c r="S11" s="700">
        <f t="shared" si="0"/>
        <v>100</v>
      </c>
      <c r="T11" s="699" t="s">
        <v>14</v>
      </c>
      <c r="U11" s="700">
        <f t="shared" si="1"/>
        <v>100</v>
      </c>
      <c r="V11" s="699" t="s">
        <v>14</v>
      </c>
      <c r="W11" s="700">
        <f t="shared" si="2"/>
        <v>100</v>
      </c>
      <c r="X11" s="701"/>
      <c r="Y11" s="3674"/>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44"/>
      <c r="Q12" s="1341">
        <f t="shared" si="6"/>
        <v>111</v>
      </c>
      <c r="R12" s="699" t="s">
        <v>14</v>
      </c>
      <c r="S12" s="700">
        <f t="shared" si="0"/>
        <v>100</v>
      </c>
      <c r="T12" s="699" t="s">
        <v>14</v>
      </c>
      <c r="U12" s="700">
        <f t="shared" si="1"/>
        <v>100</v>
      </c>
      <c r="V12" s="699" t="s">
        <v>14</v>
      </c>
      <c r="W12" s="700">
        <f t="shared" si="2"/>
        <v>100</v>
      </c>
      <c r="X12" s="701"/>
      <c r="Y12" s="3674"/>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44"/>
      <c r="Q13" s="1341">
        <f t="shared" si="6"/>
        <v>111</v>
      </c>
      <c r="R13" s="699" t="s">
        <v>14</v>
      </c>
      <c r="S13" s="700">
        <f t="shared" si="0"/>
        <v>100</v>
      </c>
      <c r="T13" s="699" t="s">
        <v>14</v>
      </c>
      <c r="U13" s="700">
        <f t="shared" si="1"/>
        <v>100</v>
      </c>
      <c r="V13" s="699" t="s">
        <v>14</v>
      </c>
      <c r="W13" s="700">
        <f t="shared" si="2"/>
        <v>100</v>
      </c>
      <c r="X13" s="701"/>
      <c r="Y13" s="3674"/>
      <c r="Z13" s="52">
        <f t="shared" si="7"/>
        <v>111</v>
      </c>
      <c r="AA13" s="702">
        <f t="shared" si="3"/>
        <v>1</v>
      </c>
      <c r="AB13" s="702">
        <f t="shared" si="4"/>
        <v>1</v>
      </c>
      <c r="AC13" s="702">
        <f t="shared" si="5"/>
        <v>1</v>
      </c>
    </row>
    <row r="14" spans="1:29" ht="15.6"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44"/>
      <c r="Q14" s="1341">
        <f t="shared" si="6"/>
        <v>111</v>
      </c>
      <c r="R14" s="699" t="s">
        <v>14</v>
      </c>
      <c r="S14" s="700">
        <f t="shared" si="0"/>
        <v>100</v>
      </c>
      <c r="T14" s="699" t="s">
        <v>14</v>
      </c>
      <c r="U14" s="700">
        <f t="shared" si="1"/>
        <v>100</v>
      </c>
      <c r="V14" s="699" t="s">
        <v>14</v>
      </c>
      <c r="W14" s="700">
        <f t="shared" si="2"/>
        <v>100</v>
      </c>
      <c r="X14" s="701"/>
      <c r="Y14" s="3674"/>
      <c r="Z14" s="52">
        <f t="shared" si="7"/>
        <v>111</v>
      </c>
      <c r="AA14" s="702">
        <f t="shared" si="3"/>
        <v>1</v>
      </c>
      <c r="AB14" s="702">
        <f t="shared" si="4"/>
        <v>1</v>
      </c>
      <c r="AC14" s="702">
        <f t="shared" si="5"/>
        <v>1</v>
      </c>
    </row>
    <row r="15" spans="1:29" ht="69">
      <c r="A15" s="391" t="s">
        <v>1688</v>
      </c>
      <c r="B15" s="61" t="s">
        <v>1775</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102</v>
      </c>
      <c r="I15" s="393"/>
      <c r="J15" s="392">
        <f>SUMIF(76:76,I16,77:77)-SUMIF(76:76,C16,77:77)+100</f>
        <v>100</v>
      </c>
      <c r="K15" s="563">
        <v>2</v>
      </c>
      <c r="L15" s="2719"/>
      <c r="M15" s="2713"/>
      <c r="N15" s="2713"/>
      <c r="O15" s="2713"/>
      <c r="P15" s="3771" t="s">
        <v>1689</v>
      </c>
      <c r="Q15" s="1350" t="str">
        <f t="shared" si="6"/>
        <v>商业繁华度</v>
      </c>
      <c r="R15" s="703" t="s">
        <v>14</v>
      </c>
      <c r="S15" s="704">
        <f t="shared" si="0"/>
        <v>100</v>
      </c>
      <c r="T15" s="703" t="s">
        <v>14</v>
      </c>
      <c r="U15" s="704">
        <f t="shared" si="1"/>
        <v>102</v>
      </c>
      <c r="V15" s="703" t="s">
        <v>14</v>
      </c>
      <c r="W15" s="704">
        <f t="shared" si="2"/>
        <v>100</v>
      </c>
      <c r="X15" s="1353"/>
      <c r="Y15" s="3764" t="s">
        <v>1689</v>
      </c>
      <c r="Z15" s="1354" t="str">
        <f t="shared" si="7"/>
        <v>商业繁华度</v>
      </c>
      <c r="AA15" s="1351">
        <f t="shared" si="3"/>
        <v>1</v>
      </c>
      <c r="AB15" s="1351">
        <f t="shared" si="4"/>
        <v>0.98039215686274506</v>
      </c>
      <c r="AC15" s="1351">
        <f t="shared" si="5"/>
        <v>1</v>
      </c>
    </row>
    <row r="16" spans="1:29" ht="15">
      <c r="A16" s="379"/>
      <c r="B16" s="397"/>
      <c r="C16" s="398" t="s">
        <v>3447</v>
      </c>
      <c r="D16" s="399"/>
      <c r="E16" s="398" t="s">
        <v>3447</v>
      </c>
      <c r="F16" s="400"/>
      <c r="G16" s="398" t="s">
        <v>3448</v>
      </c>
      <c r="H16" s="401"/>
      <c r="I16" s="398" t="s">
        <v>3447</v>
      </c>
      <c r="J16" s="399"/>
      <c r="K16" s="564"/>
      <c r="L16" s="2719"/>
      <c r="M16" s="2713"/>
      <c r="N16" s="2713"/>
      <c r="O16" s="2713"/>
      <c r="P16" s="3772"/>
      <c r="Q16" s="1350"/>
      <c r="R16" s="703"/>
      <c r="S16" s="704"/>
      <c r="T16" s="703"/>
      <c r="U16" s="704"/>
      <c r="V16" s="703"/>
      <c r="W16" s="704"/>
      <c r="X16" s="1353"/>
      <c r="Y16" s="3765"/>
      <c r="Z16" s="1354"/>
      <c r="AA16" s="1351">
        <v>1</v>
      </c>
      <c r="AB16" s="1351">
        <v>1</v>
      </c>
      <c r="AC16" s="1351">
        <v>1</v>
      </c>
    </row>
    <row r="17" spans="1:29" ht="82.8">
      <c r="A17" s="379"/>
      <c r="B17" s="402" t="s">
        <v>1257</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98</v>
      </c>
      <c r="K17" s="563">
        <v>2</v>
      </c>
      <c r="L17" s="2719"/>
      <c r="M17" s="2713"/>
      <c r="N17" s="2713"/>
      <c r="O17" s="2713"/>
      <c r="P17" s="3772"/>
      <c r="Q17" s="1350" t="str">
        <f>B17</f>
        <v>交通便捷度</v>
      </c>
      <c r="R17" s="703" t="s">
        <v>14</v>
      </c>
      <c r="S17" s="704">
        <f>F17</f>
        <v>100</v>
      </c>
      <c r="T17" s="703" t="s">
        <v>14</v>
      </c>
      <c r="U17" s="704">
        <f>H17</f>
        <v>100</v>
      </c>
      <c r="V17" s="703" t="s">
        <v>14</v>
      </c>
      <c r="W17" s="704">
        <f>J17</f>
        <v>98</v>
      </c>
      <c r="X17" s="1353"/>
      <c r="Y17" s="3765"/>
      <c r="Z17" s="1354" t="str">
        <f>Q17</f>
        <v>交通便捷度</v>
      </c>
      <c r="AA17" s="1351">
        <f t="shared" si="3"/>
        <v>1</v>
      </c>
      <c r="AB17" s="1351">
        <f t="shared" si="4"/>
        <v>1</v>
      </c>
      <c r="AC17" s="1351">
        <f t="shared" si="5"/>
        <v>1.0204081632653061</v>
      </c>
    </row>
    <row r="18" spans="1:29" ht="15">
      <c r="A18" s="379"/>
      <c r="B18" s="407"/>
      <c r="C18" s="1899" t="s">
        <v>3447</v>
      </c>
      <c r="D18" s="401"/>
      <c r="E18" s="1901" t="s">
        <v>3447</v>
      </c>
      <c r="F18" s="404"/>
      <c r="G18" s="1900" t="s">
        <v>3447</v>
      </c>
      <c r="H18" s="399"/>
      <c r="I18" s="1901" t="s">
        <v>3487</v>
      </c>
      <c r="J18" s="399"/>
      <c r="K18" s="564"/>
      <c r="L18" s="2719"/>
      <c r="M18" s="2713"/>
      <c r="N18" s="2713"/>
      <c r="O18" s="2713"/>
      <c r="P18" s="3772"/>
      <c r="Q18" s="1350"/>
      <c r="R18" s="703"/>
      <c r="S18" s="704"/>
      <c r="T18" s="703"/>
      <c r="U18" s="704"/>
      <c r="V18" s="703"/>
      <c r="W18" s="704"/>
      <c r="X18" s="1353"/>
      <c r="Y18" s="3765"/>
      <c r="Z18" s="1354"/>
      <c r="AA18" s="1351">
        <v>1</v>
      </c>
      <c r="AB18" s="1351">
        <v>1</v>
      </c>
      <c r="AC18" s="1351">
        <v>1</v>
      </c>
    </row>
    <row r="19" spans="1:29" ht="41.4">
      <c r="A19" s="379"/>
      <c r="B19" s="402" t="s">
        <v>1776</v>
      </c>
      <c r="C19" s="1898" t="str">
        <f>估价对象房地状况!C7</f>
        <v>估价对象所在区域公共配套设施齐备情况</v>
      </c>
      <c r="D19" s="406">
        <v>100</v>
      </c>
      <c r="E19" s="408"/>
      <c r="F19" s="409">
        <f>SUMIF(80:80,E20,81:81)-SUMIF(80:80,C20,81:81)+100</f>
        <v>100</v>
      </c>
      <c r="G19" s="410"/>
      <c r="H19" s="401">
        <f>SUMIF(80:80,G20,81:81)-SUMIF(80:80,C20,81:81)+100</f>
        <v>102</v>
      </c>
      <c r="I19" s="408"/>
      <c r="J19" s="401">
        <f>SUMIF(80:80,I20,81:81)-SUMIF(80:80,C20,81:81)+100</f>
        <v>100</v>
      </c>
      <c r="K19" s="563">
        <v>2</v>
      </c>
      <c r="L19" s="2719"/>
      <c r="M19" s="2713"/>
      <c r="N19" s="2713"/>
      <c r="O19" s="2713"/>
      <c r="P19" s="3772"/>
      <c r="Q19" s="1350" t="str">
        <f>B19</f>
        <v>公共配套设施</v>
      </c>
      <c r="R19" s="703" t="s">
        <v>14</v>
      </c>
      <c r="S19" s="704">
        <f>F19</f>
        <v>100</v>
      </c>
      <c r="T19" s="703" t="s">
        <v>14</v>
      </c>
      <c r="U19" s="704">
        <f>H19</f>
        <v>102</v>
      </c>
      <c r="V19" s="703" t="s">
        <v>14</v>
      </c>
      <c r="W19" s="704">
        <f>J19</f>
        <v>100</v>
      </c>
      <c r="X19" s="1353"/>
      <c r="Y19" s="3765"/>
      <c r="Z19" s="1354" t="str">
        <f>Q19</f>
        <v>公共配套设施</v>
      </c>
      <c r="AA19" s="1351">
        <f t="shared" si="3"/>
        <v>1</v>
      </c>
      <c r="AB19" s="1351">
        <f t="shared" si="4"/>
        <v>0.98039215686274506</v>
      </c>
      <c r="AC19" s="1351">
        <f t="shared" si="5"/>
        <v>1</v>
      </c>
    </row>
    <row r="20" spans="1:29" ht="15">
      <c r="A20" s="379"/>
      <c r="B20" s="407"/>
      <c r="C20" s="398" t="s">
        <v>3447</v>
      </c>
      <c r="D20" s="399"/>
      <c r="E20" s="398" t="s">
        <v>3447</v>
      </c>
      <c r="F20" s="400"/>
      <c r="G20" s="1895" t="s">
        <v>3448</v>
      </c>
      <c r="H20" s="399"/>
      <c r="I20" s="1896" t="s">
        <v>3447</v>
      </c>
      <c r="J20" s="399"/>
      <c r="K20" s="564"/>
      <c r="L20" s="2719"/>
      <c r="M20" s="2713"/>
      <c r="N20" s="2713"/>
      <c r="O20" s="2713"/>
      <c r="P20" s="3772"/>
      <c r="Q20" s="1350"/>
      <c r="R20" s="703"/>
      <c r="S20" s="704"/>
      <c r="T20" s="703"/>
      <c r="U20" s="704"/>
      <c r="V20" s="703"/>
      <c r="W20" s="704"/>
      <c r="X20" s="1353"/>
      <c r="Y20" s="3765"/>
      <c r="Z20" s="1354"/>
      <c r="AA20" s="1351">
        <v>1</v>
      </c>
      <c r="AB20" s="1351">
        <v>1</v>
      </c>
      <c r="AC20" s="1351">
        <v>1</v>
      </c>
    </row>
    <row r="21" spans="1:29" ht="27.6">
      <c r="A21" s="379"/>
      <c r="B21" s="1129" t="s">
        <v>1777</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772"/>
      <c r="Q21" s="1350" t="str">
        <f>B21</f>
        <v>基础设施水平</v>
      </c>
      <c r="R21" s="703" t="s">
        <v>14</v>
      </c>
      <c r="S21" s="704">
        <f>F21</f>
        <v>100</v>
      </c>
      <c r="T21" s="703" t="s">
        <v>14</v>
      </c>
      <c r="U21" s="704">
        <f>H21</f>
        <v>100</v>
      </c>
      <c r="V21" s="703" t="s">
        <v>14</v>
      </c>
      <c r="W21" s="704">
        <f>J21</f>
        <v>100</v>
      </c>
      <c r="X21" s="1353"/>
      <c r="Y21" s="3765"/>
      <c r="Z21" s="1354" t="str">
        <f>Q21</f>
        <v>基础设施水平</v>
      </c>
      <c r="AA21" s="1351">
        <f t="shared" ref="AA21" si="8">D21/F21</f>
        <v>1</v>
      </c>
      <c r="AB21" s="1351">
        <f t="shared" ref="AB21" si="9">D21/H21</f>
        <v>1</v>
      </c>
      <c r="AC21" s="1351">
        <f t="shared" ref="AC21" si="10">D21/J21</f>
        <v>1</v>
      </c>
    </row>
    <row r="22" spans="1:29" ht="15">
      <c r="A22" s="379"/>
      <c r="B22" s="1129"/>
      <c r="C22" s="1899" t="s">
        <v>3449</v>
      </c>
      <c r="D22" s="399"/>
      <c r="E22" s="398" t="str">
        <f>C22</f>
        <v>七通</v>
      </c>
      <c r="F22" s="400"/>
      <c r="G22" s="398" t="str">
        <f>C22</f>
        <v>七通</v>
      </c>
      <c r="H22" s="399"/>
      <c r="I22" s="398" t="str">
        <f>C22</f>
        <v>七通</v>
      </c>
      <c r="J22" s="399"/>
      <c r="K22" s="1128"/>
      <c r="L22" s="2719"/>
      <c r="M22" s="2713"/>
      <c r="N22" s="2713"/>
      <c r="O22" s="2713"/>
      <c r="P22" s="3772"/>
      <c r="Q22" s="1350"/>
      <c r="R22" s="703"/>
      <c r="S22" s="704"/>
      <c r="T22" s="703"/>
      <c r="U22" s="704"/>
      <c r="V22" s="703"/>
      <c r="W22" s="704"/>
      <c r="X22" s="1353"/>
      <c r="Y22" s="3765"/>
      <c r="Z22" s="1354"/>
      <c r="AA22" s="1351">
        <v>1</v>
      </c>
      <c r="AB22" s="1351">
        <v>1</v>
      </c>
      <c r="AC22" s="1351">
        <v>1</v>
      </c>
    </row>
    <row r="23" spans="1:29" ht="55.2">
      <c r="A23" s="379"/>
      <c r="B23" s="402" t="s">
        <v>1259</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9"/>
      <c r="M23" s="2713" t="s">
        <v>3544</v>
      </c>
      <c r="N23" s="2713">
        <v>100</v>
      </c>
      <c r="O23" s="2713">
        <f>ROUND(N23*O26/N26,0)</f>
        <v>135</v>
      </c>
      <c r="P23" s="3772"/>
      <c r="Q23" s="1350" t="str">
        <f>B23</f>
        <v>自然及人文环境</v>
      </c>
      <c r="R23" s="703" t="s">
        <v>14</v>
      </c>
      <c r="S23" s="704">
        <f>F23</f>
        <v>100</v>
      </c>
      <c r="T23" s="703" t="s">
        <v>14</v>
      </c>
      <c r="U23" s="704">
        <f>H23</f>
        <v>100</v>
      </c>
      <c r="V23" s="703" t="s">
        <v>14</v>
      </c>
      <c r="W23" s="704">
        <f>J23</f>
        <v>100</v>
      </c>
      <c r="X23" s="1353"/>
      <c r="Y23" s="3765"/>
      <c r="Z23" s="1354" t="str">
        <f>Q23</f>
        <v>自然及人文环境</v>
      </c>
      <c r="AA23" s="1351">
        <f t="shared" si="3"/>
        <v>1</v>
      </c>
      <c r="AB23" s="1351">
        <f t="shared" si="4"/>
        <v>1</v>
      </c>
      <c r="AC23" s="1351">
        <f t="shared" si="5"/>
        <v>1</v>
      </c>
    </row>
    <row r="24" spans="1:29" ht="15">
      <c r="A24" s="379"/>
      <c r="B24" s="407"/>
      <c r="C24" s="398" t="s">
        <v>3448</v>
      </c>
      <c r="D24" s="399"/>
      <c r="E24" s="1896" t="s">
        <v>3448</v>
      </c>
      <c r="F24" s="400"/>
      <c r="G24" s="1895" t="s">
        <v>3448</v>
      </c>
      <c r="H24" s="399"/>
      <c r="I24" s="1896" t="s">
        <v>3448</v>
      </c>
      <c r="J24" s="399"/>
      <c r="K24" s="564"/>
      <c r="L24" s="3514">
        <v>100</v>
      </c>
      <c r="M24" s="2713" t="s">
        <v>3545</v>
      </c>
      <c r="N24" s="2713">
        <v>80</v>
      </c>
      <c r="O24" s="2713">
        <f>ROUND(N24*O26/N26,0)</f>
        <v>108</v>
      </c>
      <c r="P24" s="3772"/>
      <c r="Q24" s="1350"/>
      <c r="R24" s="703"/>
      <c r="S24" s="704"/>
      <c r="T24" s="703"/>
      <c r="U24" s="704"/>
      <c r="V24" s="703"/>
      <c r="W24" s="704"/>
      <c r="X24" s="1353"/>
      <c r="Y24" s="3765"/>
      <c r="Z24" s="1354"/>
      <c r="AA24" s="1351">
        <v>1</v>
      </c>
      <c r="AB24" s="1351">
        <v>1</v>
      </c>
      <c r="AC24" s="1351">
        <v>1</v>
      </c>
    </row>
    <row r="25" spans="1:29" ht="15">
      <c r="A25" s="379"/>
      <c r="B25" s="375" t="s">
        <v>1778</v>
      </c>
      <c r="C25" s="565" t="s">
        <v>3553</v>
      </c>
      <c r="D25" s="386">
        <v>100</v>
      </c>
      <c r="E25" s="565" t="s">
        <v>3553</v>
      </c>
      <c r="F25" s="412">
        <f>SUMIF(86:86,E25,87:87)-SUMIF(86:86,C25,87:87)+100</f>
        <v>100</v>
      </c>
      <c r="G25" s="565" t="s">
        <v>3555</v>
      </c>
      <c r="H25" s="386">
        <f>SUMIF(86:86,G25,87:87)-SUMIF(86:86,C25,87:87)+100</f>
        <v>99</v>
      </c>
      <c r="I25" s="565" t="s">
        <v>3557</v>
      </c>
      <c r="J25" s="386">
        <f>SUMIF(86:86,I25,87:87)-SUMIF(86:86,C25,87:87)+100</f>
        <v>98</v>
      </c>
      <c r="K25" s="561">
        <v>1</v>
      </c>
      <c r="L25" s="3514">
        <v>60</v>
      </c>
      <c r="M25" s="2713" t="s">
        <v>3546</v>
      </c>
      <c r="N25" s="2713">
        <f>N24*L25/L24</f>
        <v>48</v>
      </c>
      <c r="O25" s="2713"/>
      <c r="P25" s="3772"/>
      <c r="Q25" s="1350" t="str">
        <f t="shared" ref="Q25:Q46" si="11">B25</f>
        <v>临街状况</v>
      </c>
      <c r="R25" s="703" t="s">
        <v>14</v>
      </c>
      <c r="S25" s="704">
        <f>F25</f>
        <v>100</v>
      </c>
      <c r="T25" s="703" t="s">
        <v>14</v>
      </c>
      <c r="U25" s="704">
        <f>H25</f>
        <v>99</v>
      </c>
      <c r="V25" s="703" t="s">
        <v>14</v>
      </c>
      <c r="W25" s="704">
        <f>J25</f>
        <v>98</v>
      </c>
      <c r="X25" s="1353"/>
      <c r="Y25" s="3765"/>
      <c r="Z25" s="1354" t="str">
        <f>Q25</f>
        <v>临街状况</v>
      </c>
      <c r="AA25" s="1351">
        <f t="shared" si="3"/>
        <v>1</v>
      </c>
      <c r="AB25" s="1351">
        <f t="shared" si="4"/>
        <v>1.0101010101010102</v>
      </c>
      <c r="AC25" s="1351">
        <f t="shared" si="5"/>
        <v>1.0204081632653061</v>
      </c>
    </row>
    <row r="26" spans="1:29" ht="15">
      <c r="A26" s="379"/>
      <c r="B26" s="1131" t="s">
        <v>1779</v>
      </c>
      <c r="C26" s="3481" t="s">
        <v>3493</v>
      </c>
      <c r="D26" s="386">
        <v>100</v>
      </c>
      <c r="E26" s="3481" t="s">
        <v>3493</v>
      </c>
      <c r="F26" s="412">
        <f>SUMIF(88:88,E26,89:89)-SUMIF(88:88,C26,89:89)+100</f>
        <v>100</v>
      </c>
      <c r="G26" s="3481" t="s">
        <v>3493</v>
      </c>
      <c r="H26" s="386">
        <f>SUMIF(88:88,G26,89:89)-SUMIF(88:88,C26,89:89)+100</f>
        <v>100</v>
      </c>
      <c r="I26" s="3481" t="s">
        <v>3493</v>
      </c>
      <c r="J26" s="386">
        <f>SUMIF(88:88,I26,89:89)-SUMIF(88:88,C26,89:89)+100</f>
        <v>100</v>
      </c>
      <c r="K26" s="562"/>
      <c r="L26" s="3511"/>
      <c r="M26" s="2713" t="s">
        <v>3547</v>
      </c>
      <c r="N26" s="2713">
        <f>(N23+N25)/2</f>
        <v>74</v>
      </c>
      <c r="O26" s="2713">
        <v>100</v>
      </c>
      <c r="P26" s="3772"/>
      <c r="Q26" s="1350" t="str">
        <f t="shared" si="11"/>
        <v>平面位置/可视性</v>
      </c>
      <c r="R26" s="703" t="s">
        <v>14</v>
      </c>
      <c r="S26" s="704">
        <f>F26</f>
        <v>100</v>
      </c>
      <c r="T26" s="703" t="s">
        <v>14</v>
      </c>
      <c r="U26" s="704">
        <f>H26</f>
        <v>100</v>
      </c>
      <c r="V26" s="703" t="s">
        <v>14</v>
      </c>
      <c r="W26" s="704">
        <f>J26</f>
        <v>100</v>
      </c>
      <c r="X26" s="1353"/>
      <c r="Y26" s="3765"/>
      <c r="Z26" s="1354" t="str">
        <f>Q26</f>
        <v>平面位置/可视性</v>
      </c>
      <c r="AA26" s="1351">
        <f t="shared" si="3"/>
        <v>1</v>
      </c>
      <c r="AB26" s="1351">
        <f t="shared" si="4"/>
        <v>1</v>
      </c>
      <c r="AC26" s="1351">
        <f t="shared" si="5"/>
        <v>1</v>
      </c>
    </row>
    <row r="27" spans="1:29" s="108" customFormat="1" ht="15">
      <c r="A27" s="382"/>
      <c r="B27" s="402" t="s">
        <v>1780</v>
      </c>
      <c r="C27" s="1954" t="s">
        <v>3447</v>
      </c>
      <c r="D27" s="413">
        <v>100</v>
      </c>
      <c r="E27" s="1954" t="s">
        <v>3447</v>
      </c>
      <c r="F27" s="415">
        <f>SUMIF(90:90,E27,91:91)-SUMIF(90:90,C27,91:91)+100</f>
        <v>100</v>
      </c>
      <c r="G27" s="1954" t="s">
        <v>3447</v>
      </c>
      <c r="H27" s="413">
        <f>SUMIF(90:90,G27,91:91)-SUMIF(90:90,C27,91:91)+100</f>
        <v>100</v>
      </c>
      <c r="I27" s="1954" t="s">
        <v>3447</v>
      </c>
      <c r="J27" s="413">
        <f>SUMIF(90:90,I27,91:91)-SUMIF(90:90,C27,91:91)+100</f>
        <v>100</v>
      </c>
      <c r="K27" s="561">
        <v>2</v>
      </c>
      <c r="L27" s="3512"/>
      <c r="M27" s="2715" t="s">
        <v>3548</v>
      </c>
      <c r="N27" s="2715">
        <f>(N24+N25)/2</f>
        <v>64</v>
      </c>
      <c r="O27" s="2715">
        <f>ROUND(N27*O26/N26,0)</f>
        <v>86</v>
      </c>
      <c r="P27" s="3772"/>
      <c r="Q27" s="1341" t="str">
        <f t="shared" si="11"/>
        <v>人流量</v>
      </c>
      <c r="R27" s="699" t="s">
        <v>14</v>
      </c>
      <c r="S27" s="700">
        <f>F27</f>
        <v>100</v>
      </c>
      <c r="T27" s="699" t="s">
        <v>14</v>
      </c>
      <c r="U27" s="700">
        <f>H27</f>
        <v>100</v>
      </c>
      <c r="V27" s="699" t="s">
        <v>14</v>
      </c>
      <c r="W27" s="700">
        <f>J27</f>
        <v>100</v>
      </c>
      <c r="X27" s="701"/>
      <c r="Y27" s="3765"/>
      <c r="Z27" s="52" t="str">
        <f>Q27</f>
        <v>人流量</v>
      </c>
      <c r="AA27" s="1351">
        <f>D27/F27</f>
        <v>1</v>
      </c>
      <c r="AB27" s="1351">
        <f>D27/H27</f>
        <v>1</v>
      </c>
      <c r="AC27" s="1351">
        <f>D27/J27</f>
        <v>1</v>
      </c>
    </row>
    <row r="28" spans="1:29" ht="15.6" thickBot="1">
      <c r="A28" s="379"/>
      <c r="B28" s="375" t="s">
        <v>1781</v>
      </c>
      <c r="C28" s="565" t="s">
        <v>3552</v>
      </c>
      <c r="D28" s="386">
        <v>100</v>
      </c>
      <c r="E28" s="565" t="s">
        <v>3566</v>
      </c>
      <c r="F28" s="412">
        <f>SUMIF(92:92,E28,93:93)-SUMIF(92:92,C28,93:93)+100</f>
        <v>100</v>
      </c>
      <c r="G28" s="565" t="s">
        <v>3567</v>
      </c>
      <c r="H28" s="386">
        <f>SUMIF(92:92,G28,93:93)-SUMIF(92:92,C28,93:93)+100</f>
        <v>100</v>
      </c>
      <c r="I28" s="565" t="s">
        <v>3567</v>
      </c>
      <c r="J28" s="386">
        <f>SUMIF(92:92,I28,93:93)-SUMIF(92:92,C28,93:93)+100</f>
        <v>100</v>
      </c>
      <c r="K28" s="562"/>
      <c r="L28" s="3511"/>
      <c r="M28" s="2713"/>
      <c r="N28" s="2713"/>
      <c r="O28" s="2713"/>
      <c r="P28" s="3772"/>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65"/>
      <c r="Z28" s="1354" t="str">
        <f t="shared" ref="Z28:Z46" si="15">Q28</f>
        <v>楼层</v>
      </c>
      <c r="AA28" s="1351">
        <f t="shared" si="3"/>
        <v>1</v>
      </c>
      <c r="AB28" s="1351">
        <f t="shared" si="4"/>
        <v>1</v>
      </c>
      <c r="AC28" s="1351">
        <f t="shared" si="5"/>
        <v>1</v>
      </c>
    </row>
    <row r="29" spans="1:29" ht="15" hidden="1">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3511"/>
      <c r="M29" s="2713"/>
      <c r="N29" s="2713"/>
      <c r="O29" s="2713"/>
      <c r="P29" s="3772"/>
      <c r="Q29" s="1350">
        <f t="shared" si="11"/>
        <v>111</v>
      </c>
      <c r="R29" s="703" t="s">
        <v>14</v>
      </c>
      <c r="S29" s="704">
        <f t="shared" si="12"/>
        <v>100</v>
      </c>
      <c r="T29" s="703" t="s">
        <v>14</v>
      </c>
      <c r="U29" s="704">
        <f t="shared" si="13"/>
        <v>100</v>
      </c>
      <c r="V29" s="703" t="s">
        <v>14</v>
      </c>
      <c r="W29" s="704">
        <f t="shared" si="14"/>
        <v>100</v>
      </c>
      <c r="X29" s="1353"/>
      <c r="Y29" s="3765"/>
      <c r="Z29" s="1354">
        <f t="shared" si="15"/>
        <v>111</v>
      </c>
      <c r="AA29" s="1351">
        <f t="shared" si="3"/>
        <v>1</v>
      </c>
      <c r="AB29" s="1351">
        <f t="shared" si="4"/>
        <v>1</v>
      </c>
      <c r="AC29" s="1351">
        <f t="shared" si="5"/>
        <v>1</v>
      </c>
    </row>
    <row r="30" spans="1:29" ht="15" hidden="1">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3511"/>
      <c r="M30" s="2713"/>
      <c r="N30" s="2713"/>
      <c r="O30" s="2713"/>
      <c r="P30" s="3772"/>
      <c r="Q30" s="1350">
        <f t="shared" si="11"/>
        <v>111</v>
      </c>
      <c r="R30" s="703" t="s">
        <v>14</v>
      </c>
      <c r="S30" s="704">
        <f t="shared" si="12"/>
        <v>100</v>
      </c>
      <c r="T30" s="703" t="s">
        <v>14</v>
      </c>
      <c r="U30" s="704">
        <f t="shared" si="13"/>
        <v>100</v>
      </c>
      <c r="V30" s="703" t="s">
        <v>14</v>
      </c>
      <c r="W30" s="704">
        <f t="shared" si="14"/>
        <v>100</v>
      </c>
      <c r="X30" s="1353"/>
      <c r="Y30" s="3765"/>
      <c r="Z30" s="1354">
        <f t="shared" si="15"/>
        <v>111</v>
      </c>
      <c r="AA30" s="1351">
        <f t="shared" si="3"/>
        <v>1</v>
      </c>
      <c r="AB30" s="1351">
        <f t="shared" si="4"/>
        <v>1</v>
      </c>
      <c r="AC30" s="1351">
        <f t="shared" si="5"/>
        <v>1</v>
      </c>
    </row>
    <row r="31" spans="1:29" ht="15.6" hidden="1"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3511"/>
      <c r="M31" s="2713"/>
      <c r="N31" s="2713"/>
      <c r="O31" s="2713"/>
      <c r="P31" s="3772"/>
      <c r="Q31" s="1350">
        <f t="shared" si="11"/>
        <v>111</v>
      </c>
      <c r="R31" s="703" t="s">
        <v>14</v>
      </c>
      <c r="S31" s="704">
        <f t="shared" si="12"/>
        <v>100</v>
      </c>
      <c r="T31" s="703" t="s">
        <v>14</v>
      </c>
      <c r="U31" s="704">
        <f t="shared" si="13"/>
        <v>100</v>
      </c>
      <c r="V31" s="703" t="s">
        <v>14</v>
      </c>
      <c r="W31" s="704">
        <f t="shared" si="14"/>
        <v>100</v>
      </c>
      <c r="X31" s="1353"/>
      <c r="Y31" s="3765"/>
      <c r="Z31" s="1354">
        <f t="shared" si="15"/>
        <v>111</v>
      </c>
      <c r="AA31" s="1351">
        <f t="shared" si="3"/>
        <v>1</v>
      </c>
      <c r="AB31" s="1351">
        <f t="shared" si="4"/>
        <v>1</v>
      </c>
      <c r="AC31" s="1351">
        <f t="shared" si="5"/>
        <v>1</v>
      </c>
    </row>
    <row r="32" spans="1:29" ht="15">
      <c r="A32" s="391" t="s">
        <v>1692</v>
      </c>
      <c r="B32" s="63" t="s">
        <v>1782</v>
      </c>
      <c r="C32" s="1908" t="s">
        <v>3450</v>
      </c>
      <c r="D32" s="418">
        <v>100</v>
      </c>
      <c r="E32" s="1908" t="s">
        <v>3450</v>
      </c>
      <c r="F32" s="412">
        <f>SUMIF(100:100,E32,101:101)-SUMIF(100:100,C32,101:101)+100</f>
        <v>100</v>
      </c>
      <c r="G32" s="1908" t="s">
        <v>3450</v>
      </c>
      <c r="H32" s="386">
        <f>SUMIF(100:100,G32,101:101)-SUMIF(100:100,C32,101:101)+100</f>
        <v>100</v>
      </c>
      <c r="I32" s="1908" t="s">
        <v>3450</v>
      </c>
      <c r="J32" s="418">
        <f>SUMIF(100:100,I32,101:101)-SUMIF(100:100,C32,101:101)+100</f>
        <v>100</v>
      </c>
      <c r="K32" s="561">
        <v>2</v>
      </c>
      <c r="L32" s="3511"/>
      <c r="M32" s="2713"/>
      <c r="N32" s="2713"/>
      <c r="O32" s="2713"/>
      <c r="P32" s="3766" t="s">
        <v>1694</v>
      </c>
      <c r="Q32" s="1350" t="str">
        <f t="shared" si="11"/>
        <v>商业类型</v>
      </c>
      <c r="R32" s="703" t="s">
        <v>14</v>
      </c>
      <c r="S32" s="704">
        <f t="shared" si="12"/>
        <v>100</v>
      </c>
      <c r="T32" s="703" t="s">
        <v>14</v>
      </c>
      <c r="U32" s="704">
        <f t="shared" si="13"/>
        <v>100</v>
      </c>
      <c r="V32" s="703" t="s">
        <v>14</v>
      </c>
      <c r="W32" s="704">
        <f t="shared" si="14"/>
        <v>100</v>
      </c>
      <c r="X32" s="1353"/>
      <c r="Y32" s="3769" t="s">
        <v>1694</v>
      </c>
      <c r="Z32" s="1354" t="str">
        <f t="shared" si="15"/>
        <v>商业类型</v>
      </c>
      <c r="AA32" s="1351">
        <f t="shared" si="3"/>
        <v>1</v>
      </c>
      <c r="AB32" s="1351">
        <f t="shared" si="4"/>
        <v>1</v>
      </c>
      <c r="AC32" s="1351">
        <f t="shared" si="5"/>
        <v>1</v>
      </c>
    </row>
    <row r="33" spans="1:29" s="422" customFormat="1" ht="15">
      <c r="A33" s="419"/>
      <c r="B33" s="375" t="s">
        <v>1695</v>
      </c>
      <c r="C33" s="420">
        <f>'数据-汇总表'!E19</f>
        <v>268.52</v>
      </c>
      <c r="D33" s="127">
        <v>100</v>
      </c>
      <c r="E33" s="381">
        <v>64.459999999999994</v>
      </c>
      <c r="F33" s="376">
        <f>LOOKUP(E33,103:103,104:104)-LOOKUP(C33,103:103,104:104)+100</f>
        <v>111</v>
      </c>
      <c r="G33" s="380">
        <v>108.36</v>
      </c>
      <c r="H33" s="127">
        <f>LOOKUP(G33,103:103,104:104)-LOOKUP(C33,103:103,104:104)+100</f>
        <v>106</v>
      </c>
      <c r="I33" s="380">
        <v>57.41</v>
      </c>
      <c r="J33" s="127">
        <f>LOOKUP(I33,103:103,104:104)-LOOKUP(C33,103:103,104:104)+100</f>
        <v>111</v>
      </c>
      <c r="K33" s="562"/>
      <c r="L33" s="3513"/>
      <c r="M33" s="2720"/>
      <c r="N33" s="2720"/>
      <c r="O33" s="2720"/>
      <c r="P33" s="3767"/>
      <c r="Q33" s="705" t="str">
        <f t="shared" si="11"/>
        <v>项目建筑规模</v>
      </c>
      <c r="R33" s="706" t="s">
        <v>14</v>
      </c>
      <c r="S33" s="707">
        <f t="shared" si="12"/>
        <v>111</v>
      </c>
      <c r="T33" s="706" t="s">
        <v>14</v>
      </c>
      <c r="U33" s="707">
        <f t="shared" si="13"/>
        <v>106</v>
      </c>
      <c r="V33" s="706" t="s">
        <v>14</v>
      </c>
      <c r="W33" s="707">
        <f t="shared" si="14"/>
        <v>111</v>
      </c>
      <c r="X33" s="708"/>
      <c r="Y33" s="3769"/>
      <c r="Z33" s="709" t="str">
        <f t="shared" si="15"/>
        <v>项目建筑规模</v>
      </c>
      <c r="AA33" s="1351">
        <f t="shared" si="3"/>
        <v>0.90090090090090091</v>
      </c>
      <c r="AB33" s="1351">
        <f t="shared" si="4"/>
        <v>0.94339622641509435</v>
      </c>
      <c r="AC33" s="1351">
        <f t="shared" si="5"/>
        <v>0.90090090090090091</v>
      </c>
    </row>
    <row r="34" spans="1:29" ht="15">
      <c r="A34" s="423"/>
      <c r="B34" s="375" t="s">
        <v>1696</v>
      </c>
      <c r="C34" s="1910" t="s">
        <v>3395</v>
      </c>
      <c r="D34" s="386">
        <v>100</v>
      </c>
      <c r="E34" s="1910" t="s">
        <v>3395</v>
      </c>
      <c r="F34" s="412">
        <f>SUMIF(105:105,E34,106:106)-SUMIF(105:105,C34,106:106)+100</f>
        <v>100</v>
      </c>
      <c r="G34" s="1910" t="s">
        <v>3395</v>
      </c>
      <c r="H34" s="386">
        <f>SUMIF(105:105,G34,106:106)-SUMIF(105:105,C34,106:106)+100</f>
        <v>100</v>
      </c>
      <c r="I34" s="1910" t="s">
        <v>3395</v>
      </c>
      <c r="J34" s="386">
        <f>SUMIF(105:105,I34,106:106)-SUMIF(105:105,C34,106:106)+100</f>
        <v>100</v>
      </c>
      <c r="K34" s="561">
        <v>2</v>
      </c>
      <c r="L34" s="2719"/>
      <c r="M34" s="2713"/>
      <c r="N34" s="2713"/>
      <c r="O34" s="2713"/>
      <c r="P34" s="3767"/>
      <c r="Q34" s="1350" t="str">
        <f t="shared" si="11"/>
        <v>建筑结构</v>
      </c>
      <c r="R34" s="703" t="s">
        <v>14</v>
      </c>
      <c r="S34" s="704">
        <f t="shared" si="12"/>
        <v>100</v>
      </c>
      <c r="T34" s="703" t="s">
        <v>14</v>
      </c>
      <c r="U34" s="704">
        <f t="shared" si="13"/>
        <v>100</v>
      </c>
      <c r="V34" s="703" t="s">
        <v>14</v>
      </c>
      <c r="W34" s="704">
        <f t="shared" si="14"/>
        <v>100</v>
      </c>
      <c r="X34" s="1353"/>
      <c r="Y34" s="3769"/>
      <c r="Z34" s="1354" t="str">
        <f t="shared" si="15"/>
        <v>建筑结构</v>
      </c>
      <c r="AA34" s="1351">
        <f t="shared" si="3"/>
        <v>1</v>
      </c>
      <c r="AB34" s="1351">
        <f t="shared" si="4"/>
        <v>1</v>
      </c>
      <c r="AC34" s="1351">
        <f t="shared" si="5"/>
        <v>1</v>
      </c>
    </row>
    <row r="35" spans="1:29" ht="15">
      <c r="A35" s="423"/>
      <c r="B35" s="375" t="s">
        <v>1783</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9"/>
      <c r="M35" s="2713"/>
      <c r="N35" s="2713"/>
      <c r="O35" s="2713"/>
      <c r="P35" s="3767"/>
      <c r="Q35" s="1350" t="str">
        <f t="shared" si="11"/>
        <v>公共部分装修</v>
      </c>
      <c r="R35" s="703" t="s">
        <v>14</v>
      </c>
      <c r="S35" s="704">
        <f t="shared" si="12"/>
        <v>100</v>
      </c>
      <c r="T35" s="703" t="s">
        <v>14</v>
      </c>
      <c r="U35" s="704">
        <f t="shared" si="13"/>
        <v>100</v>
      </c>
      <c r="V35" s="703" t="s">
        <v>14</v>
      </c>
      <c r="W35" s="704">
        <f t="shared" si="14"/>
        <v>100</v>
      </c>
      <c r="X35" s="1353"/>
      <c r="Y35" s="3769"/>
      <c r="Z35" s="1354" t="str">
        <f t="shared" si="15"/>
        <v>公共部分装修</v>
      </c>
      <c r="AA35" s="1351">
        <f t="shared" si="3"/>
        <v>1</v>
      </c>
      <c r="AB35" s="1351">
        <f t="shared" si="4"/>
        <v>1</v>
      </c>
      <c r="AC35" s="1351">
        <f t="shared" si="5"/>
        <v>1</v>
      </c>
    </row>
    <row r="36" spans="1:29" ht="15">
      <c r="A36" s="423"/>
      <c r="B36" s="375" t="s">
        <v>1784</v>
      </c>
      <c r="C36" s="425">
        <f>'数据-取费表'!N6</f>
        <v>0.88</v>
      </c>
      <c r="D36" s="386">
        <v>100</v>
      </c>
      <c r="E36" s="425">
        <f>C36</f>
        <v>0.88</v>
      </c>
      <c r="F36" s="412">
        <f>LOOKUP(E36,110:110,111:111)-LOOKUP(C36,110:110,111:111)+100</f>
        <v>100</v>
      </c>
      <c r="G36" s="425">
        <v>0.8</v>
      </c>
      <c r="H36" s="412">
        <f>LOOKUP(G36,110:110,111:111)-LOOKUP(C36,110:110,111:111)+100</f>
        <v>100</v>
      </c>
      <c r="I36" s="3492">
        <f>N38</f>
        <v>0.82</v>
      </c>
      <c r="J36" s="386">
        <f>LOOKUP(I36,110:110,111:111)-LOOKUP(C36,110:110,111:111)+100</f>
        <v>100</v>
      </c>
      <c r="K36" s="561"/>
      <c r="L36" s="2719"/>
      <c r="M36" s="3490" t="s">
        <v>3513</v>
      </c>
      <c r="N36" s="3490" t="s">
        <v>3514</v>
      </c>
      <c r="O36" s="2713"/>
      <c r="P36" s="3767"/>
      <c r="Q36" s="1350" t="str">
        <f t="shared" si="11"/>
        <v>成新度</v>
      </c>
      <c r="R36" s="703" t="s">
        <v>14</v>
      </c>
      <c r="S36" s="704">
        <f t="shared" si="12"/>
        <v>100</v>
      </c>
      <c r="T36" s="703" t="s">
        <v>14</v>
      </c>
      <c r="U36" s="704">
        <f t="shared" si="13"/>
        <v>100</v>
      </c>
      <c r="V36" s="703" t="s">
        <v>14</v>
      </c>
      <c r="W36" s="704">
        <f t="shared" si="14"/>
        <v>100</v>
      </c>
      <c r="X36" s="1353"/>
      <c r="Y36" s="3769"/>
      <c r="Z36" s="1354" t="str">
        <f t="shared" si="15"/>
        <v>成新度</v>
      </c>
      <c r="AA36" s="1351">
        <f t="shared" si="3"/>
        <v>1</v>
      </c>
      <c r="AB36" s="1351">
        <f t="shared" si="4"/>
        <v>1</v>
      </c>
      <c r="AC36" s="1351">
        <f t="shared" si="5"/>
        <v>1</v>
      </c>
    </row>
    <row r="37" spans="1:29" s="108" customFormat="1" ht="15">
      <c r="A37" s="424"/>
      <c r="B37" s="375" t="s">
        <v>1785</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v>2013</v>
      </c>
      <c r="O37" s="2715"/>
      <c r="P37" s="3767"/>
      <c r="Q37" s="1341" t="str">
        <f t="shared" si="11"/>
        <v>市政基础设施</v>
      </c>
      <c r="R37" s="699" t="s">
        <v>14</v>
      </c>
      <c r="S37" s="700">
        <f t="shared" si="12"/>
        <v>100</v>
      </c>
      <c r="T37" s="699" t="s">
        <v>14</v>
      </c>
      <c r="U37" s="700">
        <f t="shared" si="13"/>
        <v>100</v>
      </c>
      <c r="V37" s="699" t="s">
        <v>14</v>
      </c>
      <c r="W37" s="700">
        <f t="shared" si="14"/>
        <v>100</v>
      </c>
      <c r="X37" s="701"/>
      <c r="Y37" s="3769"/>
      <c r="Z37" s="52" t="str">
        <f t="shared" si="15"/>
        <v>市政基础设施</v>
      </c>
      <c r="AA37" s="702">
        <f t="shared" si="3"/>
        <v>1</v>
      </c>
      <c r="AB37" s="702">
        <f t="shared" si="4"/>
        <v>1</v>
      </c>
      <c r="AC37" s="702">
        <f t="shared" si="5"/>
        <v>1</v>
      </c>
    </row>
    <row r="38" spans="1:29" ht="15">
      <c r="A38" s="423"/>
      <c r="B38" s="375" t="s">
        <v>1786</v>
      </c>
      <c r="C38" s="1904" t="s">
        <v>3457</v>
      </c>
      <c r="D38" s="386">
        <v>100</v>
      </c>
      <c r="E38" s="1904" t="s">
        <v>3457</v>
      </c>
      <c r="F38" s="412">
        <f>SUMIF(114:114,E38,115:115)-SUMIF(114:114,C38,115:115)+100</f>
        <v>100</v>
      </c>
      <c r="G38" s="1904" t="s">
        <v>3503</v>
      </c>
      <c r="H38" s="386">
        <f>SUMIF(114:114,G38,115:115)-SUMIF(114:114,C38,115:115)+100</f>
        <v>95</v>
      </c>
      <c r="I38" s="1904" t="s">
        <v>3503</v>
      </c>
      <c r="J38" s="386">
        <f>SUMIF(114:114,I38,115:115)-SUMIF(114:114,C38,115:115)+100</f>
        <v>95</v>
      </c>
      <c r="K38" s="561">
        <v>5</v>
      </c>
      <c r="L38" s="2719"/>
      <c r="M38" s="3490" t="s">
        <v>3515</v>
      </c>
      <c r="N38" s="2713">
        <f>ROUND(1-(1-0)*(2024-N37)/60,2)</f>
        <v>0.82</v>
      </c>
      <c r="O38" s="2713"/>
      <c r="P38" s="3767" t="s">
        <v>1694</v>
      </c>
      <c r="Q38" s="1350" t="str">
        <f t="shared" si="11"/>
        <v>业态</v>
      </c>
      <c r="R38" s="703" t="s">
        <v>14</v>
      </c>
      <c r="S38" s="704">
        <f t="shared" si="12"/>
        <v>100</v>
      </c>
      <c r="T38" s="703" t="s">
        <v>14</v>
      </c>
      <c r="U38" s="704">
        <f t="shared" si="13"/>
        <v>95</v>
      </c>
      <c r="V38" s="703" t="s">
        <v>14</v>
      </c>
      <c r="W38" s="704">
        <f t="shared" si="14"/>
        <v>95</v>
      </c>
      <c r="X38" s="1353"/>
      <c r="Y38" s="3769" t="s">
        <v>1694</v>
      </c>
      <c r="Z38" s="1354" t="str">
        <f t="shared" si="15"/>
        <v>业态</v>
      </c>
      <c r="AA38" s="1351">
        <f t="shared" si="3"/>
        <v>1</v>
      </c>
      <c r="AB38" s="1351">
        <f t="shared" si="4"/>
        <v>1.0526315789473684</v>
      </c>
      <c r="AC38" s="1351">
        <f t="shared" si="5"/>
        <v>1.0526315789473684</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9"/>
      <c r="M39" s="2713"/>
      <c r="N39" s="2713"/>
      <c r="O39" s="2713"/>
      <c r="P39" s="3767"/>
      <c r="Q39" s="1350" t="str">
        <f t="shared" si="11"/>
        <v>层高</v>
      </c>
      <c r="R39" s="703" t="s">
        <v>14</v>
      </c>
      <c r="S39" s="704">
        <f t="shared" si="12"/>
        <v>100</v>
      </c>
      <c r="T39" s="703" t="s">
        <v>14</v>
      </c>
      <c r="U39" s="704">
        <f t="shared" si="13"/>
        <v>100</v>
      </c>
      <c r="V39" s="703" t="s">
        <v>14</v>
      </c>
      <c r="W39" s="704">
        <f t="shared" si="14"/>
        <v>100</v>
      </c>
      <c r="X39" s="1353"/>
      <c r="Y39" s="3769"/>
      <c r="Z39" s="1354" t="str">
        <f t="shared" si="15"/>
        <v>层高</v>
      </c>
      <c r="AA39" s="1351">
        <f t="shared" si="3"/>
        <v>1</v>
      </c>
      <c r="AB39" s="1351">
        <f t="shared" si="4"/>
        <v>1</v>
      </c>
      <c r="AC39" s="1351">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67"/>
      <c r="Q40" s="1350" t="str">
        <f t="shared" si="11"/>
        <v>单套建筑面积</v>
      </c>
      <c r="R40" s="703" t="s">
        <v>14</v>
      </c>
      <c r="S40" s="704">
        <f t="shared" si="12"/>
        <v>100</v>
      </c>
      <c r="T40" s="703" t="s">
        <v>14</v>
      </c>
      <c r="U40" s="704">
        <f t="shared" si="13"/>
        <v>100</v>
      </c>
      <c r="V40" s="703" t="s">
        <v>14</v>
      </c>
      <c r="W40" s="704">
        <f t="shared" si="14"/>
        <v>100</v>
      </c>
      <c r="X40" s="1353"/>
      <c r="Y40" s="3769"/>
      <c r="Z40" s="1354" t="str">
        <f t="shared" si="15"/>
        <v>单套建筑面积</v>
      </c>
      <c r="AA40" s="1351">
        <f t="shared" si="3"/>
        <v>1</v>
      </c>
      <c r="AB40" s="1351">
        <f t="shared" si="4"/>
        <v>1</v>
      </c>
      <c r="AC40" s="1351">
        <f t="shared" si="5"/>
        <v>1</v>
      </c>
    </row>
    <row r="41" spans="1:29" s="422" customFormat="1" ht="15">
      <c r="A41" s="419"/>
      <c r="B41" s="1352"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67"/>
      <c r="Q41" s="705" t="str">
        <f t="shared" si="11"/>
        <v>进深比</v>
      </c>
      <c r="R41" s="706" t="s">
        <v>14</v>
      </c>
      <c r="S41" s="707">
        <f t="shared" si="12"/>
        <v>100</v>
      </c>
      <c r="T41" s="706" t="s">
        <v>14</v>
      </c>
      <c r="U41" s="707">
        <f t="shared" si="13"/>
        <v>100</v>
      </c>
      <c r="V41" s="706" t="s">
        <v>14</v>
      </c>
      <c r="W41" s="707">
        <f t="shared" si="14"/>
        <v>100</v>
      </c>
      <c r="X41" s="708"/>
      <c r="Y41" s="3769"/>
      <c r="Z41" s="709" t="str">
        <f t="shared" si="15"/>
        <v>进深比</v>
      </c>
      <c r="AA41" s="1351">
        <f t="shared" si="3"/>
        <v>1</v>
      </c>
      <c r="AB41" s="1351">
        <f t="shared" si="4"/>
        <v>1</v>
      </c>
      <c r="AC41" s="1351">
        <f t="shared" si="5"/>
        <v>1</v>
      </c>
    </row>
    <row r="42" spans="1:29" ht="15">
      <c r="A42" s="423"/>
      <c r="B42" s="375" t="s">
        <v>1790</v>
      </c>
      <c r="C42" s="1904" t="s">
        <v>3461</v>
      </c>
      <c r="D42" s="386">
        <v>100</v>
      </c>
      <c r="E42" s="1904" t="s">
        <v>3505</v>
      </c>
      <c r="F42" s="412">
        <f>SUMIF(122:122,E42,123:123)-SUMIF(122:122,C42,123:123)+100</f>
        <v>95</v>
      </c>
      <c r="G42" s="1904" t="s">
        <v>3461</v>
      </c>
      <c r="H42" s="386">
        <f>SUMIF(122:122,G42,123:123)-SUMIF(122:122,C42,123:123)+100</f>
        <v>100</v>
      </c>
      <c r="I42" s="1904" t="s">
        <v>3540</v>
      </c>
      <c r="J42" s="386">
        <f>SUMIF(122:122,I42,123:123)-SUMIF(122:122,C42,123:123)+100</f>
        <v>105</v>
      </c>
      <c r="K42" s="561">
        <v>5</v>
      </c>
      <c r="L42" s="2719" t="s">
        <v>3561</v>
      </c>
      <c r="M42" s="2713">
        <v>59572</v>
      </c>
      <c r="N42" s="2713">
        <f>ROUND(M42/O23*100,0)</f>
        <v>44127</v>
      </c>
      <c r="O42" s="2713" t="s">
        <v>3564</v>
      </c>
      <c r="P42" s="3767"/>
      <c r="Q42" s="1350" t="str">
        <f t="shared" si="11"/>
        <v>内部装修</v>
      </c>
      <c r="R42" s="703" t="s">
        <v>14</v>
      </c>
      <c r="S42" s="704">
        <f t="shared" si="12"/>
        <v>95</v>
      </c>
      <c r="T42" s="703" t="s">
        <v>14</v>
      </c>
      <c r="U42" s="704">
        <f t="shared" si="13"/>
        <v>100</v>
      </c>
      <c r="V42" s="703" t="s">
        <v>14</v>
      </c>
      <c r="W42" s="704">
        <f t="shared" si="14"/>
        <v>105</v>
      </c>
      <c r="X42" s="1353"/>
      <c r="Y42" s="3769"/>
      <c r="Z42" s="1354" t="str">
        <f t="shared" si="15"/>
        <v>内部装修</v>
      </c>
      <c r="AA42" s="1351">
        <f t="shared" si="3"/>
        <v>1.0526315789473684</v>
      </c>
      <c r="AB42" s="1351">
        <f t="shared" si="4"/>
        <v>1</v>
      </c>
      <c r="AC42" s="1351">
        <f t="shared" si="5"/>
        <v>0.95238095238095233</v>
      </c>
    </row>
    <row r="43" spans="1:29" ht="28.8">
      <c r="A43" s="423"/>
      <c r="B43" s="375" t="s">
        <v>1705</v>
      </c>
      <c r="C43" s="1904" t="s">
        <v>3448</v>
      </c>
      <c r="D43" s="386">
        <v>100</v>
      </c>
      <c r="E43" s="1904" t="s">
        <v>3448</v>
      </c>
      <c r="F43" s="412">
        <f>SUMIF(124:124,E43,125:125)-SUMIF(124:124,C43,125:125)+100</f>
        <v>100</v>
      </c>
      <c r="G43" s="1904" t="s">
        <v>3448</v>
      </c>
      <c r="H43" s="386">
        <f>SUMIF(124:124,G43,125:125)-SUMIF(124:124,C43,125:125)+100</f>
        <v>100</v>
      </c>
      <c r="I43" s="1904" t="s">
        <v>3448</v>
      </c>
      <c r="J43" s="386">
        <f>SUMIF(124:124,I43,125:125)-SUMIF(124:124,C43,125:125)+100</f>
        <v>100</v>
      </c>
      <c r="K43" s="561">
        <v>2</v>
      </c>
      <c r="L43" s="2719" t="s">
        <v>3562</v>
      </c>
      <c r="M43" s="2713">
        <v>53526</v>
      </c>
      <c r="N43" s="2713">
        <f>ROUND(M43/O24*100,0)</f>
        <v>49561</v>
      </c>
      <c r="O43" s="2713" t="s">
        <v>3565</v>
      </c>
      <c r="P43" s="3767"/>
      <c r="Q43" s="1350" t="str">
        <f t="shared" si="11"/>
        <v>内部装修维护情况</v>
      </c>
      <c r="R43" s="703" t="s">
        <v>14</v>
      </c>
      <c r="S43" s="704">
        <f t="shared" si="12"/>
        <v>100</v>
      </c>
      <c r="T43" s="703" t="s">
        <v>14</v>
      </c>
      <c r="U43" s="704">
        <f t="shared" si="13"/>
        <v>100</v>
      </c>
      <c r="V43" s="703" t="s">
        <v>14</v>
      </c>
      <c r="W43" s="704">
        <f t="shared" si="14"/>
        <v>100</v>
      </c>
      <c r="X43" s="1353"/>
      <c r="Y43" s="3769"/>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t="s">
        <v>3563</v>
      </c>
      <c r="M44" s="2715">
        <v>52256</v>
      </c>
      <c r="N44" s="2715">
        <f>ROUND(M44/O24*100,0)</f>
        <v>48385</v>
      </c>
      <c r="O44" s="2713" t="s">
        <v>3565</v>
      </c>
      <c r="P44" s="3767"/>
      <c r="Q44" s="1341">
        <f t="shared" si="11"/>
        <v>111</v>
      </c>
      <c r="R44" s="699" t="s">
        <v>14</v>
      </c>
      <c r="S44" s="700">
        <f t="shared" si="12"/>
        <v>100</v>
      </c>
      <c r="T44" s="699" t="s">
        <v>14</v>
      </c>
      <c r="U44" s="700">
        <f t="shared" si="13"/>
        <v>100</v>
      </c>
      <c r="V44" s="699" t="s">
        <v>14</v>
      </c>
      <c r="W44" s="700">
        <f t="shared" si="14"/>
        <v>100</v>
      </c>
      <c r="X44" s="701"/>
      <c r="Y44" s="3769"/>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67"/>
      <c r="Q45" s="1350">
        <f t="shared" si="11"/>
        <v>111</v>
      </c>
      <c r="R45" s="703" t="s">
        <v>14</v>
      </c>
      <c r="S45" s="704">
        <f t="shared" si="12"/>
        <v>100</v>
      </c>
      <c r="T45" s="703" t="s">
        <v>14</v>
      </c>
      <c r="U45" s="704">
        <f t="shared" si="13"/>
        <v>100</v>
      </c>
      <c r="V45" s="703" t="s">
        <v>14</v>
      </c>
      <c r="W45" s="704">
        <f t="shared" si="14"/>
        <v>100</v>
      </c>
      <c r="X45" s="1353"/>
      <c r="Y45" s="3769"/>
      <c r="Z45" s="1354">
        <f t="shared" si="15"/>
        <v>111</v>
      </c>
      <c r="AA45" s="1351">
        <f t="shared" si="3"/>
        <v>1</v>
      </c>
      <c r="AB45" s="1351">
        <f t="shared" si="4"/>
        <v>1</v>
      </c>
      <c r="AC45" s="1351">
        <f t="shared" si="5"/>
        <v>1</v>
      </c>
    </row>
    <row r="46" spans="1:29" ht="15.6"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68"/>
      <c r="Q46" s="1350">
        <f t="shared" si="11"/>
        <v>111</v>
      </c>
      <c r="R46" s="703" t="s">
        <v>14</v>
      </c>
      <c r="S46" s="704">
        <f t="shared" si="12"/>
        <v>100</v>
      </c>
      <c r="T46" s="703" t="s">
        <v>14</v>
      </c>
      <c r="U46" s="704">
        <f t="shared" si="13"/>
        <v>100</v>
      </c>
      <c r="V46" s="703" t="s">
        <v>14</v>
      </c>
      <c r="W46" s="704">
        <f t="shared" si="14"/>
        <v>100</v>
      </c>
      <c r="X46" s="1353"/>
      <c r="Y46" s="3770"/>
      <c r="Z46" s="1354">
        <f t="shared" si="15"/>
        <v>111</v>
      </c>
      <c r="AA46" s="1351">
        <f t="shared" si="3"/>
        <v>1</v>
      </c>
      <c r="AB46" s="1351">
        <f t="shared" si="4"/>
        <v>1</v>
      </c>
      <c r="AC46" s="1351">
        <f t="shared" si="5"/>
        <v>1</v>
      </c>
    </row>
    <row r="47" spans="1:29" ht="14.4">
      <c r="A47" s="430" t="s">
        <v>1706</v>
      </c>
      <c r="B47" s="431"/>
      <c r="C47" s="1152" t="s">
        <v>0</v>
      </c>
      <c r="D47" s="1153"/>
      <c r="E47" s="1154">
        <f>N42</f>
        <v>44127</v>
      </c>
      <c r="F47" s="1155"/>
      <c r="G47" s="1156">
        <f>N43</f>
        <v>49561</v>
      </c>
      <c r="H47" s="1157"/>
      <c r="I47" s="1154">
        <f>N44</f>
        <v>48385</v>
      </c>
      <c r="J47" s="1157"/>
      <c r="K47" s="712"/>
      <c r="L47" s="2721"/>
      <c r="M47" s="2722"/>
      <c r="N47" s="2713"/>
      <c r="O47" s="2722"/>
      <c r="P47" s="3762" t="str">
        <f>A47</f>
        <v>成交单价（元/平方米）</v>
      </c>
      <c r="Q47" s="3762"/>
      <c r="R47" s="3757">
        <f>E47</f>
        <v>44127</v>
      </c>
      <c r="S47" s="3757"/>
      <c r="T47" s="3757">
        <f>G47</f>
        <v>49561</v>
      </c>
      <c r="U47" s="3757"/>
      <c r="V47" s="3757">
        <f>I47</f>
        <v>48385</v>
      </c>
      <c r="W47" s="3757"/>
      <c r="X47" s="688"/>
      <c r="Y47" s="710"/>
      <c r="Z47" s="688"/>
      <c r="AA47" s="688"/>
      <c r="AB47" s="688"/>
      <c r="AC47" s="688"/>
    </row>
    <row r="48" spans="1:29" ht="15" thickBot="1">
      <c r="A48" s="437" t="s">
        <v>1791</v>
      </c>
      <c r="B48" s="438"/>
      <c r="C48" s="1158">
        <f>R49</f>
        <v>40949</v>
      </c>
      <c r="D48" s="2315" t="s">
        <v>2133</v>
      </c>
      <c r="E48" s="1159">
        <f>R48</f>
        <v>38042</v>
      </c>
      <c r="F48" s="2316"/>
      <c r="G48" s="1158">
        <f>T48</f>
        <v>43439</v>
      </c>
      <c r="H48" s="2316"/>
      <c r="I48" s="1159">
        <f>V48</f>
        <v>41365</v>
      </c>
      <c r="J48" s="2316"/>
      <c r="K48" s="2318">
        <f>F48+H48+J48</f>
        <v>0</v>
      </c>
      <c r="L48" s="2721"/>
      <c r="M48" s="2722"/>
      <c r="N48" s="2713"/>
      <c r="O48" s="2722"/>
      <c r="P48" s="3762" t="str">
        <f>A48</f>
        <v>比较价值（元/平方米）</v>
      </c>
      <c r="Q48" s="3762"/>
      <c r="R48" s="3763">
        <f>IF(F1="售价",ROUND(PRODUCT(R47,AA7:AA46),0),ROUND(PRODUCT(R47,AA7:AA46),1))</f>
        <v>38042</v>
      </c>
      <c r="S48" s="3763"/>
      <c r="T48" s="3763">
        <f>IF(F1="售价",ROUND(PRODUCT(T47,AB7:AB46),0),ROUND(PRODUCT(T47,AB7:AB46),1))</f>
        <v>43439</v>
      </c>
      <c r="U48" s="3763"/>
      <c r="V48" s="3763">
        <f>IF(F1="售价",ROUND(PRODUCT(V47,AC7:AC46),0),ROUND(PRODUCT(V47,AC7:AC46),1))</f>
        <v>41365</v>
      </c>
      <c r="W48" s="3763"/>
      <c r="X48" s="688"/>
      <c r="Y48" s="688"/>
      <c r="Z48" s="688"/>
      <c r="AA48" s="688"/>
      <c r="AB48" s="688"/>
      <c r="AC48" s="688"/>
    </row>
    <row r="49" spans="1:29" ht="15" thickBot="1">
      <c r="A49" s="441" t="s">
        <v>1792</v>
      </c>
      <c r="B49" s="442"/>
      <c r="C49" s="1161">
        <f>R49</f>
        <v>40949</v>
      </c>
      <c r="D49" s="1161"/>
      <c r="E49" s="1161"/>
      <c r="F49" s="1161"/>
      <c r="G49" s="1161"/>
      <c r="H49" s="1161"/>
      <c r="I49" s="1161"/>
      <c r="J49" s="1161"/>
      <c r="K49" s="713"/>
      <c r="L49" s="2721"/>
      <c r="M49" s="2722"/>
      <c r="N49" s="2713"/>
      <c r="O49" s="2722"/>
      <c r="P49" s="3759" t="str">
        <f>A49</f>
        <v>估价对象XX用房的比较价值（楼面单价，元/平方米）</v>
      </c>
      <c r="Q49" s="3760"/>
      <c r="R49" s="3761">
        <f>IF(F1="售价",ROUND(IF(D48="简单平均",AVERAGE(R48:V48),R48*F48+T48*H48+V48*J48),0),ROUND(IF(D48="简单平均",AVERAGE(R48:V48),R48*F48+T48*H48+V48*J48),1))</f>
        <v>40949</v>
      </c>
      <c r="S49" s="3761"/>
      <c r="T49" s="3761"/>
      <c r="U49" s="3761"/>
      <c r="V49" s="3761"/>
      <c r="W49" s="3761"/>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1793</v>
      </c>
      <c r="D52" s="447"/>
      <c r="E52" s="448">
        <f>IF(E47&lt;E48,E48/E47-1,E47/E48-1)</f>
        <v>0.15995478681457342</v>
      </c>
      <c r="F52" s="449" t="str">
        <f>IF(OR(E52&gt;=0.3,E52&lt;=-0.3),"超过30%","")</f>
        <v/>
      </c>
      <c r="G52" s="448">
        <f>IF(G47&lt;G48,G48/G47-1,G47/G48-1)</f>
        <v>0.14093326273625073</v>
      </c>
      <c r="H52" s="449" t="str">
        <f>IF(OR(G52&gt;=0.3,G52&lt;=-0.3),"超过30%","")</f>
        <v/>
      </c>
      <c r="I52" s="448">
        <f>IF(I47&lt;I48,I48/I47-1,I47/I48-1)</f>
        <v>0.16970869092227736</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1794</v>
      </c>
      <c r="D53" s="450"/>
      <c r="E53" s="448">
        <f>IF(E48&lt;G48,G48/E48-1,E48/G48-1)</f>
        <v>0.14186951264391978</v>
      </c>
      <c r="F53" s="449" t="str">
        <f>IF(OR(E53&gt;=0.2,E53&lt;=-0.2),"超过20%","")</f>
        <v/>
      </c>
      <c r="G53" s="448">
        <f>IF(G48&lt;I48,I48/G48-1,G48/I48-1)</f>
        <v>5.0139006406382247E-2</v>
      </c>
      <c r="H53" s="449" t="str">
        <f>IF(OR(G53&gt;=0.2,G53&lt;=-0.2),"超过20%","")</f>
        <v/>
      </c>
      <c r="I53" s="448">
        <f>IF(I48&lt;E48,E48/I48-1,I48/E48-1)</f>
        <v>8.7350822774827863E-2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1795</v>
      </c>
      <c r="D54" s="450"/>
      <c r="E54" s="448">
        <f>IF(E47&lt;G47,G47/E47-1,E47/G47-1)</f>
        <v>0.12314456001994234</v>
      </c>
      <c r="F54" s="449" t="str">
        <f>IF(OR(E54&gt;=0.3,E54&lt;=-0.3),"超过30%","")</f>
        <v/>
      </c>
      <c r="G54" s="448">
        <f>IF(G47&lt;I47,I47/G47-1,G47/I47-1)</f>
        <v>2.4305053218972805E-2</v>
      </c>
      <c r="H54" s="449" t="str">
        <f>IF(OR(G54&gt;=0.3,G54&lt;=-0.3),"超过30%","")</f>
        <v/>
      </c>
      <c r="I54" s="448">
        <f>IF(I47&lt;E47,E47/I47-1,I47/E47-1)</f>
        <v>9.6494209894169014E-2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2" t="s">
        <v>1796</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4.4">
      <c r="A58" s="454" t="s">
        <v>1677</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7"/>
      <c r="Q58" s="2738"/>
      <c r="R58" s="2738"/>
      <c r="S58" s="2738"/>
      <c r="T58" s="2738"/>
      <c r="U58" s="2738"/>
      <c r="V58" s="2738"/>
      <c r="W58" s="2738"/>
      <c r="X58" s="2738"/>
      <c r="Y58" s="2738"/>
      <c r="Z58" s="2738"/>
      <c r="AA58" s="2738"/>
      <c r="AB58" s="2738"/>
      <c r="AC58" s="2738"/>
    </row>
    <row r="59" spans="1:29" s="108" customFormat="1">
      <c r="A59" s="458"/>
      <c r="B59" s="459"/>
      <c r="C59" s="1181">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 thickBot="1">
      <c r="A60" s="464" t="s">
        <v>1714</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4.4">
      <c r="A61" s="470" t="s">
        <v>1679</v>
      </c>
      <c r="B61" s="459"/>
      <c r="C61" s="471" t="s">
        <v>1774</v>
      </c>
      <c r="D61" s="3450" t="s">
        <v>3424</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4.4" thickBot="1">
      <c r="A62" s="470"/>
      <c r="B62" s="459"/>
      <c r="C62" s="460">
        <v>100</v>
      </c>
      <c r="D62" s="461">
        <v>110</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ht="14.4">
      <c r="A63" s="476" t="s">
        <v>1717</v>
      </c>
      <c r="B63" s="477" t="s">
        <v>1683</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4.4"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9.4" thickTop="1">
      <c r="A65" s="483"/>
      <c r="B65" s="487" t="s">
        <v>1686</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4.4"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 thickTop="1">
      <c r="A67" s="483"/>
      <c r="B67" s="495" t="s">
        <v>1687</v>
      </c>
      <c r="C67" s="496" t="str">
        <f>C68&amp;"（含）"&amp;"-"&amp;D68</f>
        <v>0（含）-2</v>
      </c>
      <c r="D67" s="496" t="str">
        <f t="shared" ref="D67:L67" si="17">D68&amp;"（含）"&amp;"-"&amp;E68</f>
        <v>2（含）-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c r="A68" s="483"/>
      <c r="B68" s="497"/>
      <c r="C68" s="498">
        <v>0</v>
      </c>
      <c r="D68" s="498">
        <v>2</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4.4"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4.4"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4.4"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4.4"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4.4"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4.4"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ht="14.4">
      <c r="A76" s="476" t="s">
        <v>1688</v>
      </c>
      <c r="B76" s="477" t="s">
        <v>1718</v>
      </c>
      <c r="C76" s="522" t="s">
        <v>1719</v>
      </c>
      <c r="D76" s="522" t="s">
        <v>1720</v>
      </c>
      <c r="E76" s="522" t="s">
        <v>1721</v>
      </c>
      <c r="F76" s="522" t="s">
        <v>1722</v>
      </c>
      <c r="G76" s="522" t="s">
        <v>1723</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4.4"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 thickTop="1">
      <c r="A78" s="483"/>
      <c r="B78" s="487" t="s">
        <v>1724</v>
      </c>
      <c r="C78" s="527" t="s">
        <v>1719</v>
      </c>
      <c r="D78" s="527" t="s">
        <v>1720</v>
      </c>
      <c r="E78" s="527" t="s">
        <v>1721</v>
      </c>
      <c r="F78" s="527" t="s">
        <v>1722</v>
      </c>
      <c r="G78" s="527" t="s">
        <v>1723</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4.4"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 thickTop="1">
      <c r="A80" s="483"/>
      <c r="B80" s="487" t="s">
        <v>1725</v>
      </c>
      <c r="C80" s="527" t="s">
        <v>1719</v>
      </c>
      <c r="D80" s="527" t="s">
        <v>1720</v>
      </c>
      <c r="E80" s="527" t="s">
        <v>1721</v>
      </c>
      <c r="F80" s="527" t="s">
        <v>1722</v>
      </c>
      <c r="G80" s="527" t="s">
        <v>1723</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4.4"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 thickTop="1">
      <c r="A82" s="483"/>
      <c r="B82" s="495" t="s">
        <v>1777</v>
      </c>
      <c r="C82" s="608" t="s">
        <v>1797</v>
      </c>
      <c r="D82" s="608" t="s">
        <v>1798</v>
      </c>
      <c r="E82" s="608" t="s">
        <v>1799</v>
      </c>
      <c r="F82" s="608" t="s">
        <v>1800</v>
      </c>
      <c r="G82" s="608" t="s">
        <v>1801</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4.4"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 thickTop="1">
      <c r="A84" s="483"/>
      <c r="B84" s="487" t="s">
        <v>1731</v>
      </c>
      <c r="C84" s="527" t="s">
        <v>1719</v>
      </c>
      <c r="D84" s="527" t="s">
        <v>1720</v>
      </c>
      <c r="E84" s="527" t="s">
        <v>1721</v>
      </c>
      <c r="F84" s="527" t="s">
        <v>1722</v>
      </c>
      <c r="G84" s="527" t="s">
        <v>1723</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4.4"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 thickTop="1">
      <c r="A86" s="528"/>
      <c r="B86" s="487" t="s">
        <v>1802</v>
      </c>
      <c r="C86" s="3455" t="s">
        <v>3554</v>
      </c>
      <c r="D86" s="3455" t="s">
        <v>3556</v>
      </c>
      <c r="E86" s="3455" t="s">
        <v>3558</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4.4" thickBot="1">
      <c r="A87" s="528"/>
      <c r="B87" s="492"/>
      <c r="C87" s="531">
        <v>100</v>
      </c>
      <c r="D87" s="493">
        <f t="shared" ref="D87:M87" si="20">C87-$K25</f>
        <v>99</v>
      </c>
      <c r="E87" s="493">
        <f t="shared" si="20"/>
        <v>98</v>
      </c>
      <c r="F87" s="493">
        <f t="shared" si="20"/>
        <v>97</v>
      </c>
      <c r="G87" s="493">
        <f t="shared" si="20"/>
        <v>96</v>
      </c>
      <c r="H87" s="493">
        <f t="shared" si="20"/>
        <v>95</v>
      </c>
      <c r="I87" s="493">
        <f t="shared" si="20"/>
        <v>94</v>
      </c>
      <c r="J87" s="493">
        <f t="shared" si="20"/>
        <v>93</v>
      </c>
      <c r="K87" s="493">
        <f t="shared" si="20"/>
        <v>92</v>
      </c>
      <c r="L87" s="493">
        <f t="shared" si="20"/>
        <v>91</v>
      </c>
      <c r="M87" s="493">
        <f t="shared" si="20"/>
        <v>90</v>
      </c>
      <c r="N87" s="2751"/>
      <c r="O87" s="2751"/>
      <c r="P87" s="2741"/>
      <c r="Q87" s="2736"/>
      <c r="R87" s="2658"/>
      <c r="S87" s="2658"/>
      <c r="T87" s="2658"/>
      <c r="U87" s="2658"/>
      <c r="V87" s="2658"/>
      <c r="W87" s="2658"/>
      <c r="X87" s="2658"/>
      <c r="Y87" s="2658"/>
      <c r="Z87" s="2658"/>
      <c r="AA87" s="2658"/>
      <c r="AB87" s="2658"/>
      <c r="AC87" s="2658"/>
    </row>
    <row r="88" spans="1:29" s="108" customFormat="1" ht="15" thickTop="1">
      <c r="A88" s="528"/>
      <c r="B88" s="487" t="str">
        <f>B26</f>
        <v>平面位置/可视性</v>
      </c>
      <c r="C88" s="3455" t="s">
        <v>3486</v>
      </c>
      <c r="D88" s="3455" t="s">
        <v>3448</v>
      </c>
      <c r="E88" s="3455" t="s">
        <v>3447</v>
      </c>
      <c r="F88" s="3457" t="s">
        <v>3487</v>
      </c>
      <c r="G88" s="3455" t="s">
        <v>3488</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4.4" thickBot="1">
      <c r="A89" s="528"/>
      <c r="B89" s="492"/>
      <c r="C89" s="509">
        <v>100</v>
      </c>
      <c r="D89" s="485">
        <f>C89-3</f>
        <v>97</v>
      </c>
      <c r="E89" s="485">
        <f t="shared" ref="E89:G89" si="21">D89-3</f>
        <v>94</v>
      </c>
      <c r="F89" s="485">
        <f t="shared" si="21"/>
        <v>91</v>
      </c>
      <c r="G89" s="485">
        <f t="shared" si="21"/>
        <v>88</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 thickTop="1">
      <c r="A90" s="502"/>
      <c r="B90" s="487" t="str">
        <f>B27</f>
        <v>人流量</v>
      </c>
      <c r="C90" s="3480" t="s">
        <v>3489</v>
      </c>
      <c r="D90" s="3480" t="s">
        <v>3490</v>
      </c>
      <c r="E90" s="3480" t="s">
        <v>3447</v>
      </c>
      <c r="F90" s="3480" t="s">
        <v>3491</v>
      </c>
      <c r="G90" s="3480" t="s">
        <v>3492</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4.4"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2"/>
      <c r="O91" s="2752"/>
      <c r="P91" s="2742"/>
      <c r="Q91" s="2743"/>
      <c r="R91" s="2744"/>
      <c r="S91" s="2744"/>
      <c r="T91" s="2744"/>
      <c r="U91" s="2744"/>
      <c r="V91" s="2744"/>
      <c r="W91" s="2744"/>
      <c r="X91" s="2744"/>
      <c r="Y91" s="2744"/>
      <c r="Z91" s="2744"/>
      <c r="AA91" s="2744"/>
      <c r="AB91" s="2744"/>
      <c r="AC91" s="2744"/>
    </row>
    <row r="92" spans="1:29" ht="29.4" thickTop="1">
      <c r="A92" s="483"/>
      <c r="B92" s="487" t="str">
        <f>B28</f>
        <v>楼层</v>
      </c>
      <c r="C92" s="503" t="s">
        <v>3539</v>
      </c>
      <c r="D92" s="503" t="s">
        <v>3549</v>
      </c>
      <c r="E92" s="503" t="s">
        <v>3550</v>
      </c>
      <c r="F92" s="503" t="s">
        <v>3551</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4.4" thickBot="1">
      <c r="A93" s="483"/>
      <c r="B93" s="492"/>
      <c r="C93" s="485">
        <v>100</v>
      </c>
      <c r="D93" s="485">
        <v>100</v>
      </c>
      <c r="E93" s="485">
        <v>100</v>
      </c>
      <c r="F93" s="485">
        <v>100</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4.4"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4.4"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4.4"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4.4"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4.4"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4.4"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ht="14.4">
      <c r="A100" s="476" t="s">
        <v>1692</v>
      </c>
      <c r="B100" s="477" t="s">
        <v>1803</v>
      </c>
      <c r="C100" s="3454" t="s">
        <v>3451</v>
      </c>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4.4"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3"/>
      <c r="B102" s="487" t="s">
        <v>1735</v>
      </c>
      <c r="C102" s="527" t="str">
        <f>C103&amp;"(含)"&amp;"-"&amp;D103</f>
        <v>0(含)-50</v>
      </c>
      <c r="D102" s="527" t="str">
        <f t="shared" ref="D102:L102" si="24">D103&amp;"(含)"&amp;"-"&amp;E103</f>
        <v>50(含)-100</v>
      </c>
      <c r="E102" s="527" t="str">
        <f t="shared" si="24"/>
        <v>100(含)-150</v>
      </c>
      <c r="F102" s="527" t="str">
        <f t="shared" si="24"/>
        <v>150(含)-200</v>
      </c>
      <c r="G102" s="527" t="str">
        <f t="shared" si="24"/>
        <v>200(含)-250</v>
      </c>
      <c r="H102" s="527" t="str">
        <f t="shared" si="24"/>
        <v>250(含)-300</v>
      </c>
      <c r="I102" s="527" t="str">
        <f t="shared" si="24"/>
        <v>300(含)-</v>
      </c>
      <c r="J102" s="527" t="str">
        <f t="shared" si="24"/>
        <v>(含)-</v>
      </c>
      <c r="K102" s="527" t="str">
        <f t="shared" si="24"/>
        <v>(含)-</v>
      </c>
      <c r="L102" s="527" t="str">
        <f t="shared" si="24"/>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50</v>
      </c>
      <c r="E103" s="544">
        <v>100</v>
      </c>
      <c r="F103" s="544">
        <v>150</v>
      </c>
      <c r="G103" s="544">
        <v>200</v>
      </c>
      <c r="H103" s="544">
        <v>250</v>
      </c>
      <c r="I103" s="544">
        <v>300</v>
      </c>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4.4" thickBot="1">
      <c r="A104" s="502"/>
      <c r="B104" s="492"/>
      <c r="C104" s="509">
        <v>100</v>
      </c>
      <c r="D104" s="485">
        <v>95</v>
      </c>
      <c r="E104" s="485">
        <v>90</v>
      </c>
      <c r="F104" s="485">
        <f t="shared" ref="F104:I104" si="25">E104-2</f>
        <v>88</v>
      </c>
      <c r="G104" s="485">
        <f t="shared" si="25"/>
        <v>86</v>
      </c>
      <c r="H104" s="485">
        <f t="shared" si="25"/>
        <v>84</v>
      </c>
      <c r="I104" s="485">
        <f t="shared" si="25"/>
        <v>82</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1736</v>
      </c>
      <c r="C105" s="3455" t="s">
        <v>3452</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1738</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4.4" thickBot="1">
      <c r="A111" s="483"/>
      <c r="B111" s="492"/>
      <c r="C111" s="531">
        <v>100</v>
      </c>
      <c r="D111" s="493">
        <f>C111+$K36</f>
        <v>100</v>
      </c>
      <c r="E111" s="493">
        <f t="shared" ref="E111:M111" si="28">D111+$K36</f>
        <v>100</v>
      </c>
      <c r="F111" s="493">
        <f t="shared" si="28"/>
        <v>100</v>
      </c>
      <c r="G111" s="493">
        <f t="shared" si="28"/>
        <v>100</v>
      </c>
      <c r="H111" s="493">
        <f t="shared" si="28"/>
        <v>100</v>
      </c>
      <c r="I111" s="493">
        <f t="shared" si="28"/>
        <v>100</v>
      </c>
      <c r="J111" s="493">
        <f t="shared" si="28"/>
        <v>100</v>
      </c>
      <c r="K111" s="493">
        <f t="shared" si="28"/>
        <v>100</v>
      </c>
      <c r="L111" s="493">
        <f t="shared" si="28"/>
        <v>100</v>
      </c>
      <c r="M111" s="493">
        <f t="shared" si="28"/>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1740</v>
      </c>
      <c r="C112" s="3455" t="s">
        <v>3453</v>
      </c>
      <c r="D112" s="3455" t="s">
        <v>3454</v>
      </c>
      <c r="E112" s="3455" t="s">
        <v>3455</v>
      </c>
      <c r="F112" s="3455" t="s">
        <v>3456</v>
      </c>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4.4"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1804</v>
      </c>
      <c r="C114" s="3455" t="s">
        <v>3458</v>
      </c>
      <c r="D114" s="3455" t="s">
        <v>3504</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4.4"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1805</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1806</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4.4"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1807</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4.4"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1742</v>
      </c>
      <c r="C122" s="3455" t="s">
        <v>3459</v>
      </c>
      <c r="D122" s="3455" t="s">
        <v>3460</v>
      </c>
      <c r="E122" s="3455" t="s">
        <v>3462</v>
      </c>
      <c r="F122" s="3456" t="s">
        <v>3463</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4.4" thickBot="1">
      <c r="A123" s="483"/>
      <c r="B123" s="492"/>
      <c r="C123" s="493">
        <v>100</v>
      </c>
      <c r="D123" s="493">
        <f t="shared" ref="D123:M123" si="32">C123-$K42</f>
        <v>95</v>
      </c>
      <c r="E123" s="493">
        <f t="shared" si="32"/>
        <v>90</v>
      </c>
      <c r="F123" s="493">
        <f t="shared" si="32"/>
        <v>85</v>
      </c>
      <c r="G123" s="493">
        <f t="shared" si="32"/>
        <v>80</v>
      </c>
      <c r="H123" s="493">
        <f t="shared" si="32"/>
        <v>75</v>
      </c>
      <c r="I123" s="493">
        <f t="shared" si="32"/>
        <v>70</v>
      </c>
      <c r="J123" s="493">
        <f t="shared" si="32"/>
        <v>65</v>
      </c>
      <c r="K123" s="493">
        <f t="shared" si="32"/>
        <v>60</v>
      </c>
      <c r="L123" s="493">
        <f t="shared" si="32"/>
        <v>55</v>
      </c>
      <c r="M123" s="494">
        <f t="shared" si="32"/>
        <v>50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8"/>
      <c r="B124" s="487" t="s">
        <v>1743</v>
      </c>
      <c r="C124" s="527" t="s">
        <v>1719</v>
      </c>
      <c r="D124" s="527" t="s">
        <v>1720</v>
      </c>
      <c r="E124" s="527" t="s">
        <v>1721</v>
      </c>
      <c r="F124" s="527" t="s">
        <v>1722</v>
      </c>
      <c r="G124" s="527" t="s">
        <v>1723</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4.4"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4.4"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4.4"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4.4"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4.4"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4.4"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3" priority="21" stopIfTrue="1" operator="containsText" text="超过">
      <formula>NOT(ISERROR(SEARCH("超过",F52)))</formula>
    </cfRule>
  </conditionalFormatting>
  <conditionalFormatting sqref="H54">
    <cfRule type="containsText" dxfId="172" priority="19" stopIfTrue="1" operator="containsText" text="超过">
      <formula>NOT(ISERROR(SEARCH("超过",H54)))</formula>
    </cfRule>
  </conditionalFormatting>
  <conditionalFormatting sqref="F54">
    <cfRule type="containsText" dxfId="171" priority="18" stopIfTrue="1" operator="containsText" text="超过">
      <formula>NOT(ISERROR(SEARCH("超过",F54)))</formula>
    </cfRule>
  </conditionalFormatting>
  <conditionalFormatting sqref="F53 H53">
    <cfRule type="containsText" dxfId="170" priority="17" stopIfTrue="1" operator="containsText" text="超过">
      <formula>NOT(ISERROR(SEARCH("超过",F53)))</formula>
    </cfRule>
  </conditionalFormatting>
  <conditionalFormatting sqref="E52">
    <cfRule type="expression" dxfId="169" priority="16" stopIfTrue="1">
      <formula>$F$52="超过30%"</formula>
    </cfRule>
  </conditionalFormatting>
  <conditionalFormatting sqref="E53">
    <cfRule type="expression" dxfId="168" priority="15" stopIfTrue="1">
      <formula>$F$53="超过20%"</formula>
    </cfRule>
  </conditionalFormatting>
  <conditionalFormatting sqref="E54">
    <cfRule type="expression" dxfId="167" priority="14" stopIfTrue="1">
      <formula>$F$54="超过30%"</formula>
    </cfRule>
  </conditionalFormatting>
  <conditionalFormatting sqref="G54">
    <cfRule type="expression" dxfId="166" priority="13" stopIfTrue="1">
      <formula>$H$54="超过30%"</formula>
    </cfRule>
  </conditionalFormatting>
  <conditionalFormatting sqref="G52">
    <cfRule type="expression" dxfId="165" priority="12" stopIfTrue="1">
      <formula>$H$52="超过30%"</formula>
    </cfRule>
  </conditionalFormatting>
  <conditionalFormatting sqref="G53">
    <cfRule type="expression" dxfId="164" priority="11" stopIfTrue="1">
      <formula>$H$53="超过20%"</formula>
    </cfRule>
  </conditionalFormatting>
  <conditionalFormatting sqref="J52">
    <cfRule type="containsText" dxfId="163" priority="10" stopIfTrue="1" operator="containsText" text="超过">
      <formula>NOT(ISERROR(SEARCH("超过",J52)))</formula>
    </cfRule>
  </conditionalFormatting>
  <conditionalFormatting sqref="J54">
    <cfRule type="containsText" dxfId="162" priority="9" stopIfTrue="1" operator="containsText" text="超过">
      <formula>NOT(ISERROR(SEARCH("超过",J54)))</formula>
    </cfRule>
  </conditionalFormatting>
  <conditionalFormatting sqref="J53">
    <cfRule type="containsText" dxfId="161" priority="8" stopIfTrue="1" operator="containsText" text="超过">
      <formula>NOT(ISERROR(SEARCH("超过",J53)))</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5" customWidth="1"/>
    <col min="2" max="16384" width="9" style="1475"/>
  </cols>
  <sheetData>
    <row r="1" spans="1:1" ht="22.8">
      <c r="A1" s="1474" t="s">
        <v>896</v>
      </c>
    </row>
    <row r="2" spans="1:1">
      <c r="A2" s="1476"/>
    </row>
    <row r="3" spans="1:1" ht="17.399999999999999">
      <c r="A3" s="1477" t="str">
        <f>项目基本情况!B5&amp;"："</f>
        <v>：</v>
      </c>
    </row>
    <row r="4" spans="1:1" ht="34.799999999999997">
      <c r="A4" s="1478" t="str">
        <f>"受贵公司委托，我公司对"&amp;项目基本情况!S1&amp;"进行了预评估。"</f>
        <v>受贵公司委托，我公司对北京市海淀区林风二路38号院5号楼1至2层110房地产抵押价值进行了预评估。</v>
      </c>
    </row>
    <row r="5" spans="1:1" ht="17.399999999999999">
      <c r="A5" s="1479" t="s">
        <v>897</v>
      </c>
    </row>
    <row r="6" spans="1:1" ht="17.399999999999999">
      <c r="A6" s="1480" t="s">
        <v>898</v>
      </c>
    </row>
    <row r="7" spans="1:1" ht="69.59999999999999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林风二路38号院5号楼1至2层110房地产，为北京澳博汇洋信息咨询有限公司所有。根据《国有土地使用证》[]，估价对象（分摊）出让国有建设用地使用权面积为0平方米，建筑面积为521.57平方米。</v>
      </c>
    </row>
    <row r="8" spans="1:1" ht="54.6">
      <c r="A8" s="1481" t="s">
        <v>899</v>
      </c>
    </row>
    <row r="9" spans="1:1" ht="17.399999999999999">
      <c r="A9" s="1480" t="s">
        <v>900</v>
      </c>
    </row>
    <row r="10" spans="1:1" ht="69.599999999999994">
      <c r="A10" s="1478" t="str">
        <f>"估价对象为"&amp;项目基本情况!S2&amp;IF(结果表110!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林风二路38号院5号楼1至2层110房地产,属北京澳博汇洋信息咨询有限公司开发建设的商业项目，该项目尚在开发建设中。根据《国有土地使用证》[]，估价对象（分摊）出让国有建设用地使用权面积为0平方米，规划建筑面积为521.57平方米。</v>
      </c>
    </row>
    <row r="11" spans="1:1" ht="72">
      <c r="A11" s="1481" t="s">
        <v>901</v>
      </c>
    </row>
    <row r="12" spans="1:1" ht="17.399999999999999">
      <c r="A12" s="1479" t="s">
        <v>902</v>
      </c>
    </row>
    <row r="13" spans="1:1" ht="38.25" customHeight="1">
      <c r="A13" s="1482" t="str">
        <f>IF(项目基本情况!B8="抵押",IF(项目基本情况!B5=项目基本情况!B6,定义!C51,定义!B51),定义!D51)</f>
        <v>拟使用北京市海淀区林风二路38号院5号楼1至2层110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3" t="s">
        <v>903</v>
      </c>
    </row>
    <row r="15" spans="1:1" ht="17.399999999999999">
      <c r="A15" s="1484" t="str">
        <f>TEXT(项目基本情况!D3,"yyyy年m月d日;;")&amp;IF(项目基本情况!D3=项目基本情况!B3,"（评估专业人员实地查勘之日）","")</f>
        <v>2024年7月31日（评估专业人员实地查勘之日）</v>
      </c>
    </row>
    <row r="16" spans="1:1" ht="17.399999999999999">
      <c r="A16" s="1483" t="s">
        <v>904</v>
      </c>
    </row>
    <row r="17" spans="1:1" ht="69.599999999999994">
      <c r="A17" s="1478" t="s">
        <v>905</v>
      </c>
    </row>
    <row r="18" spans="1:1" ht="69.59999999999999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31日，估价对象规划用途为商业，土地取得方式为出让，出让国有建设用地使用权剩余土地使用年限为30，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30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3" t="s">
        <v>894</v>
      </c>
    </row>
    <row r="24" spans="1:1" ht="17.399999999999999">
      <c r="A24" s="1485" t="str">
        <f>"本次评估采用的主估价方法为"&amp;结果表110!K4&amp;"和"&amp;结果表110!L4&amp;"。"</f>
        <v>本次评估采用的主估价方法为比较法和收益法。</v>
      </c>
    </row>
    <row r="25" spans="1:1" ht="17.399999999999999">
      <c r="A25" s="1485"/>
    </row>
    <row r="26" spans="1:1" ht="17.399999999999999">
      <c r="A26" s="1486" t="s">
        <v>895</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94" zoomScaleNormal="100" zoomScaleSheetLayoutView="100" zoomScalePageLayoutView="80" workbookViewId="0">
      <selection activeCell="K21" sqref="K21"/>
    </sheetView>
  </sheetViews>
  <sheetFormatPr defaultColWidth="12.6640625" defaultRowHeight="21.75" customHeight="1"/>
  <cols>
    <col min="1" max="2" width="12.6640625" style="1751"/>
    <col min="3" max="3" width="14.77734375" style="1751" customWidth="1"/>
    <col min="4" max="4" width="12.6640625" style="1751" customWidth="1"/>
    <col min="5" max="9" width="12.6640625" style="1751"/>
    <col min="10" max="11" width="12.6640625" style="723" customWidth="1"/>
    <col min="12" max="12" width="12.6640625" style="723"/>
    <col min="13" max="13" width="14.109375" style="723" bestFit="1" customWidth="1"/>
    <col min="14" max="26" width="12.6640625" style="723"/>
    <col min="27" max="35" width="12.6640625" style="1750"/>
    <col min="36" max="16384" width="12.6640625" style="1751"/>
  </cols>
  <sheetData>
    <row r="1" spans="1:12" ht="21.75" customHeight="1" thickBot="1">
      <c r="A1" s="1635" t="s">
        <v>1260</v>
      </c>
      <c r="B1" s="1745"/>
      <c r="C1" s="1746">
        <v>104</v>
      </c>
      <c r="D1" s="1745"/>
      <c r="E1" s="1745"/>
      <c r="F1" s="1747" t="s">
        <v>1261</v>
      </c>
      <c r="G1" s="1559" t="s">
        <v>3387</v>
      </c>
      <c r="H1" s="1748" t="str">
        <f>IF(G1="现房","——","估价对象范围")</f>
        <v>——</v>
      </c>
      <c r="I1" s="1749"/>
    </row>
    <row r="2" spans="1:12" ht="21.75" customHeight="1" thickBot="1">
      <c r="A2" s="3671" t="str">
        <f>项目基本情况!S2</f>
        <v>北京市海淀区林风二路38号院5号楼1至2层110房地产</v>
      </c>
      <c r="B2" s="3672"/>
      <c r="C2" s="3672"/>
      <c r="D2" s="3672"/>
      <c r="E2" s="3672"/>
      <c r="F2" s="3672"/>
      <c r="G2" s="3672"/>
      <c r="H2" s="3672"/>
      <c r="I2" s="3673"/>
    </row>
    <row r="3" spans="1:12" ht="13.2">
      <c r="A3" s="3675" t="s">
        <v>1262</v>
      </c>
      <c r="B3" s="3676"/>
      <c r="C3" s="3676"/>
      <c r="D3" s="3676"/>
      <c r="E3" s="3676"/>
      <c r="F3" s="3676"/>
      <c r="G3" s="3676"/>
      <c r="H3" s="3676"/>
      <c r="I3" s="3676"/>
    </row>
    <row r="4" spans="1:12" ht="14.4">
      <c r="A4" s="1752" t="s">
        <v>1263</v>
      </c>
      <c r="B4" s="1753" t="s">
        <v>1264</v>
      </c>
      <c r="C4" s="1754" t="s">
        <v>3543</v>
      </c>
      <c r="D4" s="1754" t="s">
        <v>3533</v>
      </c>
      <c r="E4" s="3680" t="s">
        <v>1265</v>
      </c>
      <c r="F4" s="3681"/>
      <c r="G4" s="3681"/>
      <c r="H4" s="3681"/>
      <c r="I4" s="3682"/>
      <c r="K4" s="146" t="str">
        <f>IF(ISNUMBER(FIND("比较法",结果表104!C4)),"比较法",IF(ISNUMBER(FIND("成本法",结果表104!C4)),"成本法",IF(ISNUMBER(FIND("假设开发法",结果表104!C4)),"假设开发法",IF(ISNUMBER(FIND("收益法",结果表104!C4)),"收益法","基准地价系数修正法"))))</f>
        <v>比较法</v>
      </c>
      <c r="L4" s="146" t="str">
        <f>IF(ISNUMBER(FIND("比较法",结果表104!D4)),"比较法",IF(ISNUMBER(FIND("成本法",结果表104!D4)),"成本法",IF(ISNUMBER(FIND("假设开发法",结果表104!D4)),"假设开发法",IF(ISNUMBER(FIND("收益法",结果表104!D4)),"收益法","基准地价系数修正法"))))</f>
        <v>收益法</v>
      </c>
    </row>
    <row r="5" spans="1:12" ht="13.2">
      <c r="A5" s="3619" t="s">
        <v>1266</v>
      </c>
      <c r="B5" s="3674">
        <v>25</v>
      </c>
      <c r="C5" s="3677"/>
      <c r="D5" s="3665"/>
      <c r="E5" s="131" t="s">
        <v>1267</v>
      </c>
      <c r="F5" s="1755"/>
      <c r="G5" s="1755"/>
      <c r="H5" s="1755"/>
      <c r="I5" s="1371"/>
    </row>
    <row r="6" spans="1:12" ht="13.2">
      <c r="A6" s="3619"/>
      <c r="B6" s="3674"/>
      <c r="C6" s="3679"/>
      <c r="D6" s="3665"/>
      <c r="E6" s="131" t="s">
        <v>1268</v>
      </c>
      <c r="F6" s="1755"/>
      <c r="G6" s="1755"/>
      <c r="H6" s="1755"/>
      <c r="I6" s="1371"/>
    </row>
    <row r="7" spans="1:12" ht="13.2">
      <c r="A7" s="3619"/>
      <c r="B7" s="3674"/>
      <c r="C7" s="3678"/>
      <c r="D7" s="3665"/>
      <c r="E7" s="131" t="s">
        <v>1269</v>
      </c>
      <c r="F7" s="1755"/>
      <c r="G7" s="1755"/>
      <c r="H7" s="1755"/>
      <c r="I7" s="1371"/>
    </row>
    <row r="8" spans="1:12" ht="13.2">
      <c r="A8" s="3619" t="s">
        <v>1270</v>
      </c>
      <c r="B8" s="3674">
        <v>15</v>
      </c>
      <c r="C8" s="3677"/>
      <c r="D8" s="3665"/>
      <c r="E8" s="131" t="s">
        <v>1271</v>
      </c>
      <c r="F8" s="1755"/>
      <c r="G8" s="1755"/>
      <c r="H8" s="1755"/>
      <c r="I8" s="1371"/>
    </row>
    <row r="9" spans="1:12" ht="13.2">
      <c r="A9" s="3619"/>
      <c r="B9" s="3674"/>
      <c r="C9" s="3678"/>
      <c r="D9" s="3665"/>
      <c r="E9" s="131" t="s">
        <v>1272</v>
      </c>
      <c r="F9" s="1755"/>
      <c r="G9" s="1755"/>
      <c r="H9" s="1755"/>
      <c r="I9" s="1371"/>
    </row>
    <row r="10" spans="1:12" ht="13.2">
      <c r="A10" s="3619" t="s">
        <v>1273</v>
      </c>
      <c r="B10" s="3674">
        <v>15</v>
      </c>
      <c r="C10" s="3677"/>
      <c r="D10" s="3665"/>
      <c r="E10" s="131" t="s">
        <v>1274</v>
      </c>
      <c r="F10" s="1755"/>
      <c r="G10" s="1755"/>
      <c r="H10" s="1755"/>
      <c r="I10" s="1371"/>
    </row>
    <row r="11" spans="1:12" ht="13.2">
      <c r="A11" s="3619"/>
      <c r="B11" s="3674"/>
      <c r="C11" s="3678"/>
      <c r="D11" s="3665"/>
      <c r="E11" s="131" t="s">
        <v>1275</v>
      </c>
      <c r="F11" s="1755"/>
      <c r="G11" s="1755"/>
      <c r="H11" s="1755"/>
      <c r="I11" s="1371"/>
    </row>
    <row r="12" spans="1:12" ht="13.2">
      <c r="A12" s="3619" t="s">
        <v>1276</v>
      </c>
      <c r="B12" s="3674">
        <v>15</v>
      </c>
      <c r="C12" s="3677"/>
      <c r="D12" s="3665"/>
      <c r="E12" s="131" t="s">
        <v>1277</v>
      </c>
      <c r="F12" s="1755"/>
      <c r="G12" s="1755"/>
      <c r="H12" s="1755"/>
      <c r="I12" s="1371"/>
    </row>
    <row r="13" spans="1:12" ht="13.2">
      <c r="A13" s="3619"/>
      <c r="B13" s="3674"/>
      <c r="C13" s="3678"/>
      <c r="D13" s="3665"/>
      <c r="E13" s="131" t="s">
        <v>1278</v>
      </c>
      <c r="F13" s="1755"/>
      <c r="G13" s="1755"/>
      <c r="H13" s="1755"/>
      <c r="I13" s="1371"/>
    </row>
    <row r="14" spans="1:12" ht="13.2">
      <c r="A14" s="3619" t="s">
        <v>1279</v>
      </c>
      <c r="B14" s="3674">
        <v>30</v>
      </c>
      <c r="C14" s="3677">
        <v>6</v>
      </c>
      <c r="D14" s="3665">
        <v>4</v>
      </c>
      <c r="E14" s="131" t="s">
        <v>1280</v>
      </c>
      <c r="F14" s="1755"/>
      <c r="G14" s="1755"/>
      <c r="H14" s="1755"/>
      <c r="I14" s="1371"/>
    </row>
    <row r="15" spans="1:12" ht="13.2">
      <c r="A15" s="3619"/>
      <c r="B15" s="3674"/>
      <c r="C15" s="3679"/>
      <c r="D15" s="3665"/>
      <c r="E15" s="131" t="s">
        <v>1281</v>
      </c>
      <c r="F15" s="1755"/>
      <c r="G15" s="1755"/>
      <c r="H15" s="1755"/>
      <c r="I15" s="1371"/>
    </row>
    <row r="16" spans="1:12" ht="13.2">
      <c r="A16" s="3619"/>
      <c r="B16" s="3674"/>
      <c r="C16" s="3678"/>
      <c r="D16" s="3665"/>
      <c r="E16" s="131" t="s">
        <v>1282</v>
      </c>
      <c r="F16" s="1755"/>
      <c r="G16" s="1755"/>
      <c r="H16" s="1755"/>
      <c r="I16" s="1371"/>
    </row>
    <row r="17" spans="1:36" ht="14.4">
      <c r="A17" s="1756" t="s">
        <v>1283</v>
      </c>
      <c r="B17" s="56"/>
      <c r="C17" s="132">
        <f>SUM(C5:C16)</f>
        <v>6</v>
      </c>
      <c r="D17" s="132">
        <f>SUM(D5:D16)</f>
        <v>4</v>
      </c>
      <c r="E17" s="129"/>
      <c r="F17" s="129"/>
      <c r="G17" s="129"/>
      <c r="H17" s="129"/>
      <c r="I17" s="129"/>
      <c r="K17" s="302"/>
      <c r="L17" s="302" t="s">
        <v>1284</v>
      </c>
      <c r="M17" s="302" t="s">
        <v>1285</v>
      </c>
    </row>
    <row r="18" spans="1:36" ht="31.95" customHeight="1" thickBot="1">
      <c r="A18" s="1757" t="s">
        <v>1286</v>
      </c>
      <c r="B18" s="1758"/>
      <c r="C18" s="133">
        <f>ROUND(C17/SUM(C17:D17),2)</f>
        <v>0.6</v>
      </c>
      <c r="D18" s="133">
        <f>1-C18</f>
        <v>0.4</v>
      </c>
      <c r="E18" s="3696" t="s">
        <v>2126</v>
      </c>
      <c r="F18" s="3697"/>
      <c r="G18" s="3697"/>
      <c r="H18" s="3697"/>
      <c r="I18" s="3697"/>
      <c r="K18" s="302" t="s">
        <v>1287</v>
      </c>
      <c r="L18" s="302">
        <f>IF(C1="",'数据-汇总表'!E3,SUMIF(项目类型,C1,'数据-汇总表'!E17:E26)+SUMIF(项目类型,C1,'数据-汇总表'!I17:I26))</f>
        <v>253.05</v>
      </c>
      <c r="M18" s="302">
        <f>IF(C1="",'数据-汇总表'!E3,SUMIF(项目类型,C1,'数据-汇总表'!E17:E26))</f>
        <v>253.05</v>
      </c>
    </row>
    <row r="19" spans="1:36" ht="14.4">
      <c r="A19" s="1759" t="s">
        <v>1288</v>
      </c>
      <c r="B19" s="1760" t="s">
        <v>1289</v>
      </c>
      <c r="C19" s="134">
        <f ca="1">SUMIF(INDIRECT("'"&amp;C4&amp;"'"&amp;"!A:A"),结果表104!B19,INDIRECT("'"&amp;C4&amp;"'"&amp;"!B:B"))</f>
        <v>995.95420000000001</v>
      </c>
      <c r="D19" s="135">
        <f ca="1">SUMIF(INDIRECT("'"&amp;D4&amp;"'"&amp;"!A:A"),结果表104!B19,INDIRECT("'"&amp;D4&amp;"'"&amp;"!B:B"))</f>
        <v>569.29809999999998</v>
      </c>
      <c r="E19" s="1759" t="s">
        <v>1290</v>
      </c>
      <c r="F19" s="1760" t="s">
        <v>1289</v>
      </c>
      <c r="G19" s="136">
        <f ca="1">ROUND(C19*$C$18+D19*$D$18,0)</f>
        <v>825</v>
      </c>
      <c r="H19" s="1761" t="s">
        <v>1291</v>
      </c>
      <c r="I19" s="129"/>
      <c r="K19" s="302" t="s">
        <v>1292</v>
      </c>
      <c r="L19" s="302">
        <f>IF(C1="",'数据-汇总表'!D3,SUMIF(项目类型,C1,'数据-汇总表'!D17:D26)+SUMIF(项目类型,C1,'数据-汇总表'!H17:H27))</f>
        <v>0</v>
      </c>
      <c r="M19" s="302">
        <f>IF(C1="",'数据-汇总表'!D3,SUMIF(项目类型,C1,'数据-汇总表'!D17:D26))</f>
        <v>0</v>
      </c>
    </row>
    <row r="20" spans="1:36" ht="14.4">
      <c r="A20" s="1762"/>
      <c r="B20" s="1024" t="s">
        <v>1293</v>
      </c>
      <c r="C20" s="137">
        <f ca="1">SUMIF(INDIRECT("'"&amp;C4&amp;"'"&amp;"!A:A"),结果表104!B20,INDIRECT("'"&amp;C4&amp;"'"&amp;"!B:B"))</f>
        <v>39358</v>
      </c>
      <c r="D20" s="138">
        <f ca="1">SUMIF(INDIRECT("'"&amp;D4&amp;"'"&amp;"!A:A"),结果表104!B20,INDIRECT("'"&amp;D4&amp;"'"&amp;"!B:B"))</f>
        <v>22497</v>
      </c>
      <c r="E20" s="1762"/>
      <c r="F20" s="1024" t="s">
        <v>1293</v>
      </c>
      <c r="G20" s="139">
        <f ca="1">ROUND(C20*$C$18+D20*$D$18,0)</f>
        <v>32614</v>
      </c>
      <c r="H20" s="806" t="s">
        <v>1294</v>
      </c>
      <c r="I20" s="129"/>
    </row>
    <row r="21" spans="1:36" ht="15" customHeight="1" thickBot="1">
      <c r="A21" s="826"/>
      <c r="B21" s="1763" t="s">
        <v>1295</v>
      </c>
      <c r="C21" s="717" t="e">
        <f ca="1">ROUND(C19*10000/L19,0)</f>
        <v>#DIV/0!</v>
      </c>
      <c r="D21" s="718" t="e">
        <f ca="1">ROUND(D19*10000/L19,0)</f>
        <v>#DIV/0!</v>
      </c>
      <c r="E21" s="826"/>
      <c r="F21" s="1763" t="s">
        <v>1295</v>
      </c>
      <c r="G21" s="140" t="e">
        <f ca="1">ROUND(G19*10000/L19,0)</f>
        <v>#DIV/0!</v>
      </c>
      <c r="H21" s="1764" t="s">
        <v>1294</v>
      </c>
      <c r="I21" s="129"/>
    </row>
    <row r="22" spans="1:36" ht="15" thickBot="1">
      <c r="A22" s="1686" t="s">
        <v>1296</v>
      </c>
      <c r="B22" s="1765"/>
      <c r="C22" s="1766"/>
      <c r="D22" s="719">
        <f ca="1">IF(C19&lt;D19,D19/C19-1,C19/D19-1)</f>
        <v>0.74944233961082962</v>
      </c>
      <c r="E22" s="129"/>
      <c r="F22" s="129"/>
      <c r="G22" s="129"/>
      <c r="H22" s="129"/>
      <c r="I22" s="129"/>
    </row>
    <row r="23" spans="1:36" ht="13.8" thickBot="1">
      <c r="A23" s="1745"/>
      <c r="B23" s="1745"/>
      <c r="C23" s="1745"/>
      <c r="D23" s="1745"/>
      <c r="E23" s="129"/>
      <c r="F23" s="129"/>
      <c r="G23" s="129"/>
      <c r="H23" s="129"/>
      <c r="I23" s="129"/>
      <c r="L23" s="3493" t="s">
        <v>3522</v>
      </c>
    </row>
    <row r="24" spans="1:36" ht="14.4">
      <c r="A24" s="3689" t="s">
        <v>1297</v>
      </c>
      <c r="B24" s="1760" t="s">
        <v>1289</v>
      </c>
      <c r="C24" s="136">
        <f>IF(B30=0,0,D30)</f>
        <v>0</v>
      </c>
      <c r="D24" s="1767"/>
      <c r="E24" s="129"/>
      <c r="F24" s="129"/>
      <c r="G24" s="129"/>
      <c r="H24" s="129"/>
      <c r="I24" s="129"/>
      <c r="K24" s="3493" t="s">
        <v>3521</v>
      </c>
      <c r="L24" s="723">
        <v>32000</v>
      </c>
    </row>
    <row r="25" spans="1:36" ht="14.4">
      <c r="A25" s="3690"/>
      <c r="B25" s="1024"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3.8">
      <c r="A27" s="1769"/>
      <c r="B27" s="142">
        <v>0</v>
      </c>
      <c r="C27" s="142">
        <v>0</v>
      </c>
      <c r="D27" s="143">
        <f>ROUND(C27*B27/10000,0)</f>
        <v>0</v>
      </c>
      <c r="E27" s="129"/>
      <c r="F27" s="129"/>
      <c r="G27" s="129"/>
      <c r="H27" s="129"/>
      <c r="I27" s="129"/>
    </row>
    <row r="28" spans="1:36" ht="13.8">
      <c r="A28" s="1769"/>
      <c r="B28" s="142"/>
      <c r="C28" s="142"/>
      <c r="D28" s="143"/>
      <c r="E28" s="129"/>
      <c r="F28" s="129"/>
      <c r="G28" s="129"/>
      <c r="H28" s="129"/>
      <c r="I28" s="129"/>
    </row>
    <row r="29" spans="1:36" ht="13.8">
      <c r="A29" s="1769"/>
      <c r="B29" s="142"/>
      <c r="C29" s="142"/>
      <c r="D29" s="143"/>
      <c r="E29" s="129"/>
      <c r="F29" s="129"/>
      <c r="G29" s="129"/>
      <c r="H29" s="129"/>
      <c r="I29" s="129"/>
    </row>
    <row r="30" spans="1:36" ht="15" thickBot="1">
      <c r="A30" s="142" t="s">
        <v>1302</v>
      </c>
      <c r="B30" s="142"/>
      <c r="C30" s="142"/>
      <c r="D30" s="142"/>
      <c r="E30" s="2301" t="s">
        <v>2127</v>
      </c>
      <c r="F30" s="129"/>
      <c r="G30" s="129"/>
      <c r="H30" s="129"/>
      <c r="I30" s="129"/>
    </row>
    <row r="31" spans="1:36" s="2307" customFormat="1" ht="26.4" customHeight="1" thickTop="1" thickBot="1">
      <c r="A31" s="2302"/>
      <c r="B31" s="2303"/>
      <c r="C31" s="2303"/>
      <c r="D31" s="2303"/>
      <c r="E31" s="2303"/>
      <c r="F31" s="2303"/>
      <c r="G31" s="2303"/>
      <c r="H31" s="2303"/>
      <c r="I31" s="2304" t="s">
        <v>2128</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1" t="s">
        <v>1303</v>
      </c>
      <c r="B32" s="1772"/>
      <c r="C32" s="144">
        <f ca="1">IF(D32="总价",G19-C24,G20-C25)</f>
        <v>32614</v>
      </c>
      <c r="D32" s="1773" t="s">
        <v>3497</v>
      </c>
      <c r="E32" s="129"/>
      <c r="F32" s="129"/>
      <c r="G32" s="129"/>
      <c r="H32" s="129"/>
      <c r="I32" s="129"/>
    </row>
    <row r="33" spans="1:15" ht="14.4">
      <c r="A33" s="784" t="s">
        <v>1304</v>
      </c>
      <c r="B33" s="1774"/>
      <c r="C33" s="1775" t="s">
        <v>3498</v>
      </c>
      <c r="D33" s="1776"/>
      <c r="E33" s="1777" t="s">
        <v>1305</v>
      </c>
      <c r="F33" s="1778" t="str">
        <f>IF(D32="楼面单价","取值（单价）","取值（总价）")</f>
        <v>取值（单价）</v>
      </c>
      <c r="G33" s="129"/>
      <c r="H33" s="129"/>
      <c r="I33" s="129"/>
    </row>
    <row r="34" spans="1:15" ht="14.4">
      <c r="A34" s="1779"/>
      <c r="B34" s="1780" t="s">
        <v>1306</v>
      </c>
      <c r="C34" s="148">
        <f>IF(C33="自定义",F34,C32-C35)</f>
        <v>0</v>
      </c>
      <c r="D34" s="859">
        <f ca="1">IF(C33="自定义",ROUND(C34/C32,3),IF(C33="收益比率",SUMIF(INDIRECT("'"&amp;D33&amp;"'"&amp;"!b:b"),"土地收益比率",INDIRECT("'"&amp;D33&amp;"'"&amp;"!c:c")),SUMIF(INDIRECT("'"&amp;D33&amp;"'"&amp;"!b:b"),"土地成本比率",INDIRECT("'"&amp;D33&amp;"'"&amp;"!c:c"))))</f>
        <v>0</v>
      </c>
      <c r="E34" s="1781" t="s">
        <v>1307</v>
      </c>
      <c r="F34" s="1328"/>
      <c r="G34" s="129"/>
      <c r="H34" s="129"/>
      <c r="I34" s="129"/>
    </row>
    <row r="35" spans="1:15" ht="15" thickBot="1">
      <c r="A35" s="1782"/>
      <c r="B35" s="1783" t="s">
        <v>1308</v>
      </c>
      <c r="C35" s="1168">
        <f>IF(C33="自定义",F35,ROUND(C32*D35,0))</f>
        <v>0</v>
      </c>
      <c r="D35" s="1169">
        <f ca="1">IF(C33="自定义",ROUND(C35/C32,3),IF(C33="收益比率",SUMIF(INDIRECT("'"&amp;D33&amp;"'"&amp;"!b:b"),"建筑物收益比率",INDIRECT("'"&amp;D33&amp;"'"&amp;"!c:c")),SUMIF(INDIRECT("'"&amp;D33&amp;"'"&amp;"!b:b"),"建筑物成本比率",INDIRECT("'"&amp;D33&amp;"'"&amp;"!c:c"))))</f>
        <v>0</v>
      </c>
      <c r="E35" s="1784" t="s">
        <v>1309</v>
      </c>
      <c r="F35" s="154"/>
      <c r="G35" s="129"/>
      <c r="H35" s="129"/>
      <c r="I35" s="129"/>
    </row>
    <row r="36" spans="1:15" ht="15" thickBot="1">
      <c r="A36" s="3666" t="s">
        <v>1310</v>
      </c>
      <c r="B36" s="1785" t="s">
        <v>1311</v>
      </c>
      <c r="C36" s="145"/>
      <c r="D36" s="1786"/>
      <c r="E36" s="1787"/>
      <c r="F36" s="1788"/>
      <c r="G36" s="129"/>
      <c r="H36" s="129"/>
      <c r="I36" s="129"/>
    </row>
    <row r="37" spans="1:15" ht="15" thickBot="1">
      <c r="A37" s="3667"/>
      <c r="B37" s="1672" t="s">
        <v>1312</v>
      </c>
      <c r="C37" s="147"/>
      <c r="D37" s="1137"/>
      <c r="E37" s="1137"/>
      <c r="F37" s="1788"/>
      <c r="G37" s="129"/>
      <c r="H37" s="129"/>
      <c r="I37" s="129"/>
    </row>
    <row r="38" spans="1:15" ht="15" thickBot="1">
      <c r="A38" s="3668"/>
      <c r="B38" s="1789" t="s">
        <v>1313</v>
      </c>
      <c r="C38" s="672"/>
      <c r="D38" s="1790" t="s">
        <v>1314</v>
      </c>
      <c r="E38" s="1137"/>
      <c r="F38" s="1788"/>
      <c r="G38" s="129"/>
      <c r="H38" s="129"/>
      <c r="I38" s="129"/>
    </row>
    <row r="39" spans="1:15" ht="14.4">
      <c r="A39" s="1762" t="s">
        <v>1315</v>
      </c>
      <c r="B39" s="1791" t="s">
        <v>1316</v>
      </c>
      <c r="C39" s="1792" t="s">
        <v>1317</v>
      </c>
      <c r="D39" s="1792" t="s">
        <v>1318</v>
      </c>
      <c r="E39" s="1793" t="s">
        <v>1319</v>
      </c>
      <c r="F39" s="1788"/>
      <c r="G39" s="129"/>
      <c r="H39" s="129"/>
      <c r="I39" s="129"/>
    </row>
    <row r="40" spans="1:15" ht="13.8">
      <c r="A40" s="1794" t="s">
        <v>1320</v>
      </c>
      <c r="B40" s="149"/>
      <c r="C40" s="150"/>
      <c r="D40" s="150"/>
      <c r="E40" s="151"/>
      <c r="F40" s="1788"/>
      <c r="G40" s="129"/>
      <c r="H40" s="129"/>
      <c r="I40" s="129"/>
    </row>
    <row r="41" spans="1:15" ht="13.8">
      <c r="A41" s="1794" t="s">
        <v>1321</v>
      </c>
      <c r="B41" s="149"/>
      <c r="C41" s="150"/>
      <c r="D41" s="150"/>
      <c r="E41" s="151"/>
      <c r="F41" s="1788"/>
      <c r="G41" s="129"/>
      <c r="H41" s="129"/>
      <c r="I41" s="129"/>
    </row>
    <row r="42" spans="1:15" ht="14.4" thickBot="1">
      <c r="A42" s="1795"/>
      <c r="B42" s="152"/>
      <c r="C42" s="153"/>
      <c r="D42" s="153"/>
      <c r="E42" s="154"/>
      <c r="F42" s="1788"/>
      <c r="G42" s="129"/>
      <c r="H42" s="129"/>
      <c r="I42" s="129"/>
    </row>
    <row r="43" spans="1:15" ht="13.2">
      <c r="A43" s="1575"/>
      <c r="B43" s="1575"/>
      <c r="C43" s="1575"/>
      <c r="D43" s="1575"/>
      <c r="E43" s="1575"/>
      <c r="F43" s="1796"/>
      <c r="G43" s="1796"/>
      <c r="H43" s="1796"/>
      <c r="I43" s="1797"/>
    </row>
    <row r="44" spans="1:15" ht="17.399999999999999">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86" t="s">
        <v>1324</v>
      </c>
      <c r="B45" s="3687"/>
      <c r="C45" s="3688"/>
      <c r="D45" s="155">
        <f ca="1">ROUND(H101*F45,0)</f>
        <v>825</v>
      </c>
      <c r="E45" s="156" t="s">
        <v>1325</v>
      </c>
      <c r="F45" s="157">
        <v>1</v>
      </c>
      <c r="G45" s="158" t="s">
        <v>1326</v>
      </c>
      <c r="H45" s="129"/>
      <c r="I45" s="129"/>
      <c r="J45" s="3606" t="s">
        <v>1327</v>
      </c>
      <c r="K45" s="3606"/>
      <c r="L45" s="3606"/>
      <c r="M45" s="3606"/>
      <c r="N45" s="3606"/>
      <c r="O45" s="3606"/>
    </row>
    <row r="46" spans="1:15" ht="14.25" customHeight="1">
      <c r="A46" s="3683" t="s">
        <v>1328</v>
      </c>
      <c r="B46" s="3684"/>
      <c r="C46" s="3684"/>
      <c r="D46" s="3684"/>
      <c r="E46" s="3684"/>
      <c r="F46" s="3684"/>
      <c r="G46" s="3685"/>
      <c r="H46" s="1804"/>
      <c r="I46" s="159"/>
      <c r="J46" s="3499">
        <v>1</v>
      </c>
      <c r="K46" s="3607" t="s">
        <v>1329</v>
      </c>
      <c r="L46" s="3607"/>
      <c r="M46" s="3608"/>
      <c r="N46" s="3608"/>
      <c r="O46" s="3608"/>
    </row>
    <row r="47" spans="1:15" ht="12" customHeight="1">
      <c r="A47" s="160" t="s">
        <v>1330</v>
      </c>
      <c r="B47" s="161"/>
      <c r="C47" s="162"/>
      <c r="D47" s="1085" t="s">
        <v>1331</v>
      </c>
      <c r="E47" s="302" t="s">
        <v>1332</v>
      </c>
      <c r="F47" s="163" t="s">
        <v>1333</v>
      </c>
      <c r="G47" s="2543" t="s">
        <v>1334</v>
      </c>
      <c r="H47" s="2544"/>
      <c r="I47" s="159"/>
      <c r="J47" s="3499">
        <v>2</v>
      </c>
      <c r="K47" s="3607" t="s">
        <v>1335</v>
      </c>
      <c r="L47" s="3607"/>
      <c r="M47" s="3609">
        <f>'数据-取费表'!B2</f>
        <v>45504</v>
      </c>
      <c r="N47" s="3609"/>
      <c r="O47" s="3609"/>
    </row>
    <row r="48" spans="1:15" ht="26.4">
      <c r="A48" s="3669" t="s">
        <v>1336</v>
      </c>
      <c r="B48" s="3670"/>
      <c r="C48" s="3670"/>
      <c r="D48" s="3496" t="b">
        <f>IF(H48="情况1",0,IF(H48="情况2",D52,IF(H48="情况3",D53,IF(H48="情况4",D54))))</f>
        <v>0</v>
      </c>
      <c r="E48" s="3509" t="str">
        <f>IF(H48="情况4","(销售额-原购置价)×税（费）率","销售额×税（费）率")</f>
        <v>销售额×税（费）率</v>
      </c>
      <c r="F48" s="2545">
        <f>IF(H48="情况1","免征",'数据-取费表'!B41)</f>
        <v>5.6000000000000001E-2</v>
      </c>
      <c r="G48" s="2546" t="s">
        <v>1337</v>
      </c>
      <c r="H48" s="2547"/>
      <c r="I48" s="1804"/>
      <c r="J48" s="3499">
        <v>3</v>
      </c>
      <c r="K48" s="3607" t="s">
        <v>1338</v>
      </c>
      <c r="L48" s="3607"/>
      <c r="M48" s="3610">
        <f ca="1">H101</f>
        <v>825</v>
      </c>
      <c r="N48" s="3610"/>
      <c r="O48" s="3610"/>
    </row>
    <row r="49" spans="1:35" ht="25.5" customHeight="1">
      <c r="A49" s="3508" t="s">
        <v>1339</v>
      </c>
      <c r="B49" s="3655" t="s">
        <v>1340</v>
      </c>
      <c r="C49" s="3655"/>
      <c r="D49" s="1588">
        <v>0</v>
      </c>
      <c r="E49" s="324" t="s">
        <v>1341</v>
      </c>
      <c r="F49" s="3494" t="s">
        <v>28</v>
      </c>
      <c r="G49" s="3638"/>
      <c r="H49" s="2308" t="s">
        <v>2129</v>
      </c>
      <c r="I49" s="2309"/>
      <c r="J49" s="3499">
        <v>4</v>
      </c>
      <c r="K49" s="3607" t="str">
        <f>IF(项目基本情况!E8="房地产抵押价值","房地产抵押价值","抵押担保权已注销时的房地产抵押价值")</f>
        <v>房地产抵押价值</v>
      </c>
      <c r="L49" s="3607"/>
      <c r="M49" s="3610">
        <f ca="1">IF(项目基本情况!E8="房地产抵押价值",H107,H109)</f>
        <v>825</v>
      </c>
      <c r="N49" s="3610"/>
      <c r="O49" s="3610"/>
    </row>
    <row r="50" spans="1:35" ht="25.5" customHeight="1">
      <c r="A50" s="2548"/>
      <c r="B50" s="3655" t="s">
        <v>1342</v>
      </c>
      <c r="C50" s="3655"/>
      <c r="D50" s="2549"/>
      <c r="E50" s="332"/>
      <c r="F50" s="3494"/>
      <c r="G50" s="3639"/>
      <c r="H50" s="2310" t="s">
        <v>2130</v>
      </c>
      <c r="I50" s="2309"/>
      <c r="J50" s="3606" t="s">
        <v>1343</v>
      </c>
      <c r="K50" s="3606"/>
      <c r="L50" s="3606"/>
      <c r="M50" s="3606"/>
      <c r="N50" s="3606"/>
      <c r="O50" s="3606"/>
    </row>
    <row r="51" spans="1:35" ht="20.399999999999999" customHeight="1">
      <c r="A51" s="2550"/>
      <c r="B51" s="3655" t="s">
        <v>1344</v>
      </c>
      <c r="C51" s="3655"/>
      <c r="D51" s="1085"/>
      <c r="E51" s="327"/>
      <c r="F51" s="3494"/>
      <c r="G51" s="3640"/>
      <c r="H51" s="2310" t="s">
        <v>2131</v>
      </c>
      <c r="I51" s="2309"/>
      <c r="J51" s="3495" t="s">
        <v>1345</v>
      </c>
      <c r="K51" s="3607" t="s">
        <v>1346</v>
      </c>
      <c r="L51" s="3607"/>
      <c r="M51" s="3495" t="s">
        <v>1347</v>
      </c>
      <c r="N51" s="3495" t="s">
        <v>1348</v>
      </c>
      <c r="O51" s="3495" t="s">
        <v>1349</v>
      </c>
    </row>
    <row r="52" spans="1:35" ht="24" customHeight="1">
      <c r="A52" s="3510" t="s">
        <v>1350</v>
      </c>
      <c r="B52" s="3655" t="s">
        <v>1351</v>
      </c>
      <c r="C52" s="3655"/>
      <c r="D52" s="1085">
        <f ca="1">ROUND(D45*'数据-取费表'!B41/(1+'数据-取费表'!C42),0)</f>
        <v>44</v>
      </c>
      <c r="E52" s="3509" t="s">
        <v>1352</v>
      </c>
      <c r="F52" s="2551">
        <f>'数据-取费表'!B41</f>
        <v>5.6000000000000001E-2</v>
      </c>
      <c r="G52" s="2552"/>
      <c r="H52" s="2541"/>
      <c r="I52" s="1805"/>
      <c r="J52" s="3499">
        <v>1</v>
      </c>
      <c r="K52" s="3632" t="s">
        <v>1353</v>
      </c>
      <c r="L52" s="3632"/>
      <c r="M52" s="2522" t="b">
        <f>D48</f>
        <v>0</v>
      </c>
      <c r="N52" s="3499" t="str">
        <f>E48</f>
        <v>销售额×税（费）率</v>
      </c>
      <c r="O52" s="2523">
        <f>F48</f>
        <v>5.6000000000000001E-2</v>
      </c>
    </row>
    <row r="53" spans="1:35" ht="12" customHeight="1">
      <c r="A53" s="3510" t="s">
        <v>1354</v>
      </c>
      <c r="B53" s="3656" t="s">
        <v>2286</v>
      </c>
      <c r="C53" s="3657"/>
      <c r="D53" s="1085">
        <f ca="1">ROUND(D45*'数据-取费表'!B41/(1+'数据-取费表'!C42),0)</f>
        <v>44</v>
      </c>
      <c r="E53" s="3509" t="s">
        <v>1352</v>
      </c>
      <c r="F53" s="2551">
        <f>'数据-取费表'!B41</f>
        <v>5.6000000000000001E-2</v>
      </c>
      <c r="G53" s="2552"/>
      <c r="H53" s="2541"/>
      <c r="I53" s="1805"/>
      <c r="J53" s="3499">
        <v>2</v>
      </c>
      <c r="K53" s="3632" t="s">
        <v>1355</v>
      </c>
      <c r="L53" s="3632"/>
      <c r="M53" s="2522">
        <f t="shared" ref="M53:O54" ca="1" si="0">D55</f>
        <v>0</v>
      </c>
      <c r="N53" s="3499" t="str">
        <f t="shared" si="0"/>
        <v>销售额×税（费）率</v>
      </c>
      <c r="O53" s="2523" t="str">
        <f t="shared" si="0"/>
        <v>免征</v>
      </c>
    </row>
    <row r="54" spans="1:35" ht="12" customHeight="1">
      <c r="A54" s="3510" t="s">
        <v>1356</v>
      </c>
      <c r="B54" s="3656" t="s">
        <v>2287</v>
      </c>
      <c r="C54" s="3657"/>
      <c r="D54" s="1085">
        <f ca="1">C68</f>
        <v>44</v>
      </c>
      <c r="E54" s="327" t="s">
        <v>1357</v>
      </c>
      <c r="F54" s="2551">
        <f>'数据-取费表'!B41</f>
        <v>5.6000000000000001E-2</v>
      </c>
      <c r="G54" s="2552"/>
      <c r="H54" s="2553"/>
      <c r="I54" s="1805"/>
      <c r="J54" s="3499">
        <v>3</v>
      </c>
      <c r="K54" s="3632" t="s">
        <v>1358</v>
      </c>
      <c r="L54" s="3632"/>
      <c r="M54" s="2522">
        <f t="shared" ca="1" si="0"/>
        <v>467</v>
      </c>
      <c r="N54" s="3499" t="str">
        <f t="shared" si="0"/>
        <v>增值额×税（费）率</v>
      </c>
      <c r="O54" s="2524" t="str">
        <f t="shared" si="0"/>
        <v>免征</v>
      </c>
    </row>
    <row r="55" spans="1:35" ht="24" customHeight="1">
      <c r="A55" s="3692" t="s">
        <v>1359</v>
      </c>
      <c r="B55" s="3670"/>
      <c r="C55" s="3670"/>
      <c r="D55" s="3496">
        <f ca="1">IF(H55="个人住宅",0,ROUND(D45*I55,0))</f>
        <v>0</v>
      </c>
      <c r="E55" s="3509" t="s">
        <v>1360</v>
      </c>
      <c r="F55" s="2551" t="str">
        <f>IF(H55="正常",I55,"免征")</f>
        <v>免征</v>
      </c>
      <c r="G55" s="2552"/>
      <c r="H55" s="2547"/>
      <c r="I55" s="165">
        <f>'数据-取费表'!B49</f>
        <v>5.0000000000000001E-4</v>
      </c>
      <c r="J55" s="3499">
        <f>IF(H59="非个人房产","",4)</f>
        <v>4</v>
      </c>
      <c r="K55" s="3632" t="str">
        <f>IF(H59="非个人房产","——","个人所得税")</f>
        <v>个人所得税</v>
      </c>
      <c r="L55" s="3632"/>
      <c r="M55" s="2525">
        <f ca="1">D59</f>
        <v>8</v>
      </c>
      <c r="N55" s="3500" t="str">
        <f>E59</f>
        <v>差额计税</v>
      </c>
      <c r="O55" s="2526">
        <f>F59</f>
        <v>0.01</v>
      </c>
    </row>
    <row r="56" spans="1:35" ht="25.2">
      <c r="A56" s="3692" t="s">
        <v>1361</v>
      </c>
      <c r="B56" s="3670"/>
      <c r="C56" s="3670"/>
      <c r="D56" s="3496">
        <f ca="1">IF(H56="个人住宅",D57,D58)</f>
        <v>467</v>
      </c>
      <c r="E56" s="3509" t="s">
        <v>1362</v>
      </c>
      <c r="F56" s="2551" t="str">
        <f>IF(H56="正常",F58,"免征")</f>
        <v>免征</v>
      </c>
      <c r="G56" s="2554" t="s">
        <v>1363</v>
      </c>
      <c r="H56" s="2555"/>
      <c r="I56" s="1806"/>
      <c r="J56" s="3499" t="str">
        <f>IF(项目基本情况!K6="上海银行",IF(J55="",4,J55+1),"")</f>
        <v/>
      </c>
      <c r="K56" s="3613" t="str">
        <f>IF(项目基本情况!K6="上海银行","其他处置费用","")</f>
        <v/>
      </c>
      <c r="L56" s="3614"/>
      <c r="M56" s="2522" t="str">
        <f>IF(项目基本情况!K6="上海银行",M69,"")</f>
        <v/>
      </c>
      <c r="N56" s="3613" t="str">
        <f>IF(项目基本情况!K6="上海银行","包含处置中涉及的律师、诉讼、拍卖、评估等费用","")</f>
        <v/>
      </c>
      <c r="O56" s="3616"/>
    </row>
    <row r="57" spans="1:35" ht="13.2">
      <c r="A57" s="3510" t="s">
        <v>1339</v>
      </c>
      <c r="B57" s="3656" t="s">
        <v>1364</v>
      </c>
      <c r="C57" s="3657"/>
      <c r="D57" s="1588">
        <v>0</v>
      </c>
      <c r="E57" s="324" t="s">
        <v>1341</v>
      </c>
      <c r="F57" s="302"/>
      <c r="G57" s="2552"/>
      <c r="H57" s="2556"/>
      <c r="I57" s="1806"/>
      <c r="J57" s="3632">
        <f>IF(AND(J55="",J56=""),4,IF(项目基本情况!K6="上海银行",结果表104!J56+1,结果表104!J55+1))</f>
        <v>5</v>
      </c>
      <c r="K57" s="3632" t="s">
        <v>1365</v>
      </c>
      <c r="L57" s="2527" t="s">
        <v>1366</v>
      </c>
      <c r="M57" s="2528"/>
      <c r="N57" s="2529">
        <f ca="1">SUMIF(M52:M56,"&lt;9e307")</f>
        <v>475</v>
      </c>
      <c r="O57" s="2530"/>
      <c r="P57" s="2687">
        <f ca="1">N57/M49</f>
        <v>0.5757575757575758</v>
      </c>
    </row>
    <row r="58" spans="1:35" ht="25.2">
      <c r="A58" s="3510" t="s">
        <v>1350</v>
      </c>
      <c r="B58" s="3656" t="s">
        <v>1367</v>
      </c>
      <c r="C58" s="3655"/>
      <c r="D58" s="3496">
        <f ca="1">IF(H58="转让取得",C81,C97)</f>
        <v>467</v>
      </c>
      <c r="E58" s="3509" t="s">
        <v>1362</v>
      </c>
      <c r="F58" s="302" t="s">
        <v>28</v>
      </c>
      <c r="G58" s="2552"/>
      <c r="H58" s="2555"/>
      <c r="I58" s="1806"/>
      <c r="J58" s="3632"/>
      <c r="K58" s="3632"/>
      <c r="L58" s="2527" t="s">
        <v>1368</v>
      </c>
      <c r="M58" s="2531"/>
      <c r="N58" s="2532" t="str">
        <f ca="1">NUMBERSTRING(INT(N57*10000),2)&amp;"元整"</f>
        <v>肆佰柒拾伍万元整</v>
      </c>
      <c r="O58" s="2533"/>
    </row>
    <row r="59" spans="1:35" ht="24.6" thickBot="1">
      <c r="A59" s="3636" t="s">
        <v>1369</v>
      </c>
      <c r="B59" s="3637"/>
      <c r="C59" s="3637"/>
      <c r="D59" s="2557">
        <f ca="1">IF(H59="非个人房产","——",IF(H59="个人住宅（满五唯一有凭证）",0,IF(H59="个人其他（无凭证）",ROUND(D45*F59,0),ROUND(C67*F59,0))))</f>
        <v>8</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1363</v>
      </c>
      <c r="H59" s="2312"/>
      <c r="I59" s="2311" t="s">
        <v>2132</v>
      </c>
      <c r="J59" s="3634">
        <f>J57+1</f>
        <v>6</v>
      </c>
      <c r="K59" s="3632" t="s">
        <v>1370</v>
      </c>
      <c r="L59" s="3499" t="s">
        <v>1366</v>
      </c>
      <c r="M59" s="2534"/>
      <c r="N59" s="2535">
        <f ca="1">M49-N57</f>
        <v>350</v>
      </c>
      <c r="O59" s="2536"/>
    </row>
    <row r="60" spans="1:35" ht="12" customHeight="1">
      <c r="A60" s="1807"/>
      <c r="B60" s="1745"/>
      <c r="C60" s="1745"/>
      <c r="D60" s="1745"/>
      <c r="E60" s="1576"/>
      <c r="F60" s="1806"/>
      <c r="G60" s="1806"/>
      <c r="H60" s="1808"/>
      <c r="I60" s="129"/>
      <c r="J60" s="3635"/>
      <c r="K60" s="3632"/>
      <c r="L60" s="2527" t="s">
        <v>1368</v>
      </c>
      <c r="M60" s="2531"/>
      <c r="N60" s="2532" t="str">
        <f ca="1">NUMBERSTRING(INT(N59*10000),2)&amp;"元整"</f>
        <v>叁佰伍拾万元整</v>
      </c>
      <c r="O60" s="2533"/>
    </row>
    <row r="61" spans="1:35" ht="13.8" thickBot="1">
      <c r="A61" s="3691" t="s">
        <v>1371</v>
      </c>
      <c r="B61" s="3691"/>
      <c r="C61" s="3691"/>
      <c r="D61" s="3691"/>
      <c r="E61" s="3691"/>
      <c r="F61" s="1806"/>
      <c r="G61" s="1806"/>
      <c r="H61" s="1808"/>
      <c r="I61" s="129"/>
      <c r="J61" s="3499">
        <f>J59+1</f>
        <v>7</v>
      </c>
      <c r="K61" s="3632" t="s">
        <v>1372</v>
      </c>
      <c r="L61" s="3632"/>
      <c r="M61" s="2537"/>
      <c r="N61" s="2538">
        <f ca="1">ROUND(N59*10000/'数据-汇总表'!E3,0)</f>
        <v>6711</v>
      </c>
      <c r="O61" s="2539"/>
    </row>
    <row r="62" spans="1:35" ht="13.2">
      <c r="A62" s="3651" t="s">
        <v>1373</v>
      </c>
      <c r="B62" s="3652"/>
      <c r="C62" s="3504"/>
      <c r="D62" s="3504" t="s">
        <v>1374</v>
      </c>
      <c r="E62" s="166" t="s">
        <v>1375</v>
      </c>
      <c r="F62" s="1806"/>
      <c r="G62" s="1806"/>
      <c r="H62" s="1808"/>
      <c r="I62" s="129"/>
    </row>
    <row r="63" spans="1:35" ht="13.2">
      <c r="A63" s="173" t="s">
        <v>330</v>
      </c>
      <c r="B63" s="167" t="s">
        <v>1376</v>
      </c>
      <c r="C63" s="2561">
        <f ca="1">ROUND((C64+C65)/(1+'数据-取费表'!C42),0)</f>
        <v>786</v>
      </c>
      <c r="D63" s="167"/>
      <c r="E63" s="168"/>
      <c r="F63" s="1806"/>
      <c r="G63" s="1806"/>
      <c r="H63" s="1808"/>
      <c r="I63" s="129"/>
      <c r="J63" s="3615" t="s">
        <v>1377</v>
      </c>
      <c r="K63" s="3497" t="s">
        <v>1378</v>
      </c>
      <c r="L63" s="3497">
        <f ca="1">IF(M49&gt;10000,M49*0.5%,IF(AND(M49&gt;1000,M49&lt;=10000),M49*1%,IF(AND(M49&gt;100,M49&lt;=1000),M49*3%,IF(AND(M49&gt;10,M49&lt;=100),M49*5%,M49*8%))))</f>
        <v>24.75</v>
      </c>
      <c r="M63" s="302">
        <f ca="1">ROUND(L63,1)</f>
        <v>24.8</v>
      </c>
      <c r="N63" s="2540"/>
      <c r="Z63" s="1750"/>
      <c r="AI63" s="1751"/>
    </row>
    <row r="64" spans="1:35" ht="14.25" customHeight="1">
      <c r="A64" s="169" t="s">
        <v>325</v>
      </c>
      <c r="B64" s="170" t="s">
        <v>1379</v>
      </c>
      <c r="C64" s="2562">
        <f ca="1">D45</f>
        <v>825</v>
      </c>
      <c r="D64" s="170" t="s">
        <v>26</v>
      </c>
      <c r="E64" s="172"/>
      <c r="F64" s="1806"/>
      <c r="G64" s="1806"/>
      <c r="H64" s="1808"/>
      <c r="I64" s="129"/>
      <c r="J64" s="3615"/>
      <c r="K64" s="3497" t="s">
        <v>1380</v>
      </c>
      <c r="L64" s="3497">
        <f ca="1">IF(M49&gt;2000,M49*0.5%,IF(AND(M49&gt;1000,M49&lt;=2000),M49*0.6%,IF(AND(M49&gt;500,M49&lt;=1000),M49*0.7%,IF(AND(M49&gt;200,M49&lt;=500),M49*0.8%,IF(AND(M49&gt;100,M49&lt;=200),M49*0.9%,IF(AND(M49&gt;50,M49&lt;=100),M49*1%,IF(AND(M49&gt;20,M49&lt;=50),M49*1.5%,IF(AND(M49&gt;10,M49&lt;=20),M49*2%,IF(AND(M49&gt;1,M49&lt;=10),M49*2.5%)))))))))</f>
        <v>5.7749999999999995</v>
      </c>
      <c r="M64" s="302">
        <f t="shared" ref="M64:M65" ca="1" si="1">ROUND(L64,1)</f>
        <v>5.8</v>
      </c>
      <c r="N64" s="2541" t="s">
        <v>1381</v>
      </c>
      <c r="Z64" s="1750"/>
      <c r="AI64" s="1751"/>
    </row>
    <row r="65" spans="1:35" ht="14.25" customHeight="1">
      <c r="A65" s="169" t="s">
        <v>326</v>
      </c>
      <c r="B65" s="170" t="s">
        <v>1382</v>
      </c>
      <c r="C65" s="2563"/>
      <c r="D65" s="170"/>
      <c r="E65" s="172"/>
      <c r="F65" s="1806"/>
      <c r="G65" s="1806"/>
      <c r="H65" s="1808"/>
      <c r="I65" s="129"/>
      <c r="J65" s="3615"/>
      <c r="K65" s="3497" t="s">
        <v>1383</v>
      </c>
      <c r="L65" s="3497">
        <f ca="1">IF(M49&gt;1000,M49*0.1%,IF(AND(M49&gt;500,M49&lt;=1000),M49*0.5%,IF(AND(M49&gt;50,M49&lt;=500),M49*1%,IF(AND(M49&gt;1,M49&lt;=50),M49*1.5%))))</f>
        <v>4.125</v>
      </c>
      <c r="M65" s="302">
        <f t="shared" ca="1" si="1"/>
        <v>4.0999999999999996</v>
      </c>
      <c r="N65" s="2541" t="s">
        <v>1381</v>
      </c>
      <c r="Z65" s="1750"/>
      <c r="AI65" s="1751"/>
    </row>
    <row r="66" spans="1:35" ht="14.25" customHeight="1">
      <c r="A66" s="173" t="s">
        <v>327</v>
      </c>
      <c r="B66" s="174" t="s">
        <v>1384</v>
      </c>
      <c r="C66" s="2564"/>
      <c r="D66" s="174" t="s">
        <v>26</v>
      </c>
      <c r="E66" s="1336" t="s">
        <v>669</v>
      </c>
      <c r="F66" s="1806"/>
      <c r="G66" s="1806"/>
      <c r="H66" s="1808"/>
      <c r="I66" s="129"/>
      <c r="J66" s="3615"/>
      <c r="K66" s="3497" t="s">
        <v>1385</v>
      </c>
      <c r="L66" s="3497">
        <f ca="1">M49*0.5%</f>
        <v>4.125</v>
      </c>
      <c r="M66" s="302">
        <f ca="1">IF(L66&gt;0.5,0.5,ROUND(L66,0))</f>
        <v>0.5</v>
      </c>
      <c r="N66" s="2541" t="s">
        <v>1386</v>
      </c>
      <c r="Z66" s="1750"/>
      <c r="AI66" s="1751"/>
    </row>
    <row r="67" spans="1:35" ht="14.25" customHeight="1">
      <c r="A67" s="173" t="s">
        <v>328</v>
      </c>
      <c r="B67" s="174" t="s">
        <v>1387</v>
      </c>
      <c r="C67" s="2565">
        <f ca="1">C63-C66</f>
        <v>786</v>
      </c>
      <c r="D67" s="170" t="s">
        <v>26</v>
      </c>
      <c r="E67" s="172"/>
      <c r="F67" s="1806"/>
      <c r="G67" s="1806"/>
      <c r="H67" s="1808"/>
      <c r="I67" s="129"/>
      <c r="J67" s="3615"/>
      <c r="K67" s="3497" t="s">
        <v>1388</v>
      </c>
      <c r="L67" s="3497">
        <f ca="1">IF(M49&gt;=10000,(8.25+(M49-10000)*0.01%),IF(AND(M49&gt;=8000,M49&lt;10000),(7.85+(M49-8000)*0.02%),IF(AND(M49&gt;=5000,M49&lt;8000),(6.65+(M49-5000)*0.04%),IF(AND(M49&gt;=2000,M49&lt;5000),(4.25+(PM49-2000)*0.08%),IF(AND(M49&gt;=1000,M49&lt;2000),(2.75+(M49-1000)*0.15%),IF(AND(M49&gt;=100,M49&lt;1000),(0.5+(M49-100)*0.25%),IF(AND(M49&gt;0,M49&lt;100),M49*0.5%)))))))</f>
        <v>2.3125</v>
      </c>
      <c r="M67" s="302">
        <f ca="1">ROUND(L67*0.9,1)</f>
        <v>2.1</v>
      </c>
      <c r="N67" s="2540"/>
      <c r="Z67" s="1750"/>
      <c r="AI67" s="1751"/>
    </row>
    <row r="68" spans="1:35" ht="14.25" customHeight="1" thickBot="1">
      <c r="A68" s="176" t="s">
        <v>329</v>
      </c>
      <c r="B68" s="177" t="s">
        <v>1389</v>
      </c>
      <c r="C68" s="2566">
        <f ca="1">IF(C67&lt;=0,0,ROUND(C67*D68,0))</f>
        <v>44</v>
      </c>
      <c r="D68" s="2567">
        <f>'数据-取费表'!B41</f>
        <v>5.6000000000000001E-2</v>
      </c>
      <c r="E68" s="178"/>
      <c r="F68" s="1806"/>
      <c r="G68" s="1806"/>
      <c r="H68" s="1808"/>
      <c r="I68" s="129"/>
      <c r="J68" s="3615"/>
      <c r="K68" s="3497" t="s">
        <v>1390</v>
      </c>
      <c r="L68" s="3497">
        <f ca="1">IF(M49&gt;10000,M49*0.5%,IF(AND(M49&gt;5000,M49&lt;=10000),M49*1%,IF(AND(M49&gt;1000,M49&lt;=5000),M49*2%,IF(AND(M49&gt;200,M49&lt;=1000),M49*3%,M49*5%))))</f>
        <v>24.75</v>
      </c>
      <c r="M68" s="302">
        <f ca="1">ROUND(L68,1)</f>
        <v>24.8</v>
      </c>
      <c r="N68" s="2540"/>
      <c r="Z68" s="1750"/>
      <c r="AI68" s="1751"/>
    </row>
    <row r="69" spans="1:35" s="1770" customFormat="1" ht="16.5" customHeight="1">
      <c r="A69" s="1809"/>
      <c r="B69" s="1810"/>
      <c r="C69" s="1811"/>
      <c r="D69" s="1812"/>
      <c r="E69" s="1813"/>
      <c r="F69" s="1576"/>
      <c r="G69" s="1576"/>
      <c r="H69" s="1575"/>
      <c r="I69" s="1745"/>
      <c r="J69" s="3615"/>
      <c r="K69" s="3497" t="s">
        <v>1391</v>
      </c>
      <c r="L69" s="3497"/>
      <c r="M69" s="302">
        <f ca="1">ROUND(SUM(M63:M68),0)</f>
        <v>62</v>
      </c>
      <c r="N69" s="2542">
        <f ca="1">M69/M49</f>
        <v>7.515151515151515E-2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4.4" thickBot="1">
      <c r="A70" s="3659" t="s">
        <v>1392</v>
      </c>
      <c r="B70" s="3660"/>
      <c r="C70" s="3660"/>
      <c r="D70" s="3660"/>
      <c r="E70" s="3660"/>
      <c r="F70" s="3660"/>
      <c r="G70" s="3660"/>
      <c r="H70" s="3660"/>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3.8">
      <c r="A71" s="3651" t="s">
        <v>1373</v>
      </c>
      <c r="B71" s="3652"/>
      <c r="C71" s="3504"/>
      <c r="D71" s="3504" t="s">
        <v>1374</v>
      </c>
      <c r="E71" s="179" t="s">
        <v>1375</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3.8">
      <c r="A72" s="173" t="s">
        <v>330</v>
      </c>
      <c r="B72" s="174" t="s">
        <v>1393</v>
      </c>
      <c r="C72" s="2565">
        <f ca="1">ROUND(D45/(1+'数据-取费表'!C42),0)</f>
        <v>786</v>
      </c>
      <c r="D72" s="170" t="s">
        <v>26</v>
      </c>
      <c r="E72" s="3506"/>
      <c r="F72" s="3505"/>
      <c r="G72" s="3505"/>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3.8">
      <c r="A73" s="173" t="s">
        <v>327</v>
      </c>
      <c r="B73" s="163" t="s">
        <v>1394</v>
      </c>
      <c r="C73" s="2565">
        <f ca="1">C74+C78</f>
        <v>5</v>
      </c>
      <c r="D73" s="170" t="s">
        <v>26</v>
      </c>
      <c r="E73" s="3506"/>
      <c r="F73" s="3505"/>
      <c r="G73" s="3505"/>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3506"/>
      <c r="F74" s="3505"/>
      <c r="G74" s="3505"/>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28.8">
      <c r="A75" s="169" t="s">
        <v>331</v>
      </c>
      <c r="B75" s="170" t="s">
        <v>1396</v>
      </c>
      <c r="C75" s="2568"/>
      <c r="D75" s="170" t="s">
        <v>26</v>
      </c>
      <c r="E75" s="184" t="s">
        <v>1397</v>
      </c>
      <c r="F75" s="2569"/>
      <c r="G75" s="184" t="s">
        <v>1398</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71">
        <v>0.05</v>
      </c>
      <c r="E76" s="3656" t="s">
        <v>1400</v>
      </c>
      <c r="F76" s="3655"/>
      <c r="G76" s="3655"/>
      <c r="H76" s="365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72">
        <f>'数据-取费表'!B48+'数据-取费表'!B49</f>
        <v>3.0499999999999999E-2</v>
      </c>
      <c r="E77" s="3496" t="s">
        <v>1402</v>
      </c>
      <c r="F77" s="186"/>
      <c r="G77" s="1820"/>
      <c r="H77" s="3507"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3">
        <f ca="1">ROUND(D45*D78/(1+'数据-取费表'!C42),0)</f>
        <v>5</v>
      </c>
      <c r="D78" s="2574">
        <f>'数据-取费表'!B43</f>
        <v>6.000000000000001E-3</v>
      </c>
      <c r="E78" s="3648" t="s">
        <v>1404</v>
      </c>
      <c r="F78" s="3649"/>
      <c r="G78" s="3649"/>
      <c r="H78" s="365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3.8">
      <c r="A79" s="173" t="s">
        <v>334</v>
      </c>
      <c r="B79" s="174" t="s">
        <v>1405</v>
      </c>
      <c r="C79" s="2565">
        <f ca="1">C72-C73</f>
        <v>781</v>
      </c>
      <c r="D79" s="170" t="s">
        <v>26</v>
      </c>
      <c r="E79" s="3506"/>
      <c r="F79" s="3505"/>
      <c r="G79" s="3505"/>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5">
        <f ca="1">IF(C79&lt;=0,0,C79/C73)</f>
        <v>156.19999999999999</v>
      </c>
      <c r="D80" s="170" t="s">
        <v>26</v>
      </c>
      <c r="E80" s="3496" t="str">
        <f ca="1">IF(C80&gt;=200%,"增值额超过扣除项目金额200%",IF(C80&gt;=100%,"增值额超过扣除项目金额100%，未超过200%",IF(C80&gt;=50%,"增值额超过扣除项目金额50%，未超过100%",IF(C80&lt;50%,"增值额未超过扣除项目金额50%"))))</f>
        <v>增值额超过扣除项目金额200%</v>
      </c>
      <c r="F80" s="3505"/>
      <c r="G80" s="3505"/>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6" thickBot="1">
      <c r="A81" s="176" t="s">
        <v>336</v>
      </c>
      <c r="B81" s="177" t="s">
        <v>1407</v>
      </c>
      <c r="C81" s="2576">
        <f ca="1">ROUND(IF(C79&lt;=0,0,IF(C80&gt;=200%,C79*60%-C73*35%,IF(C80&gt;=100%,C79*50%-C73*15%,IF(C80&gt;=50%,C79*40%-C73*5%,IF(C80&lt;50%,C79*30%,0))))),0)</f>
        <v>467</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4.4" thickBot="1">
      <c r="A83" s="3659" t="s">
        <v>1408</v>
      </c>
      <c r="B83" s="3660"/>
      <c r="C83" s="3660"/>
      <c r="D83" s="3660"/>
      <c r="E83" s="3660"/>
      <c r="F83" s="3660"/>
      <c r="G83" s="3660"/>
      <c r="H83" s="366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3.8">
      <c r="A84" s="3651" t="s">
        <v>1373</v>
      </c>
      <c r="B84" s="3652"/>
      <c r="C84" s="3504"/>
      <c r="D84" s="3504"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3.8">
      <c r="A85" s="173" t="s">
        <v>330</v>
      </c>
      <c r="B85" s="174" t="s">
        <v>1393</v>
      </c>
      <c r="C85" s="2565">
        <f ca="1">ROUND(D45/(1+'数据-取费表'!C42),0)</f>
        <v>786</v>
      </c>
      <c r="D85" s="170" t="s">
        <v>26</v>
      </c>
      <c r="E85" s="3506"/>
      <c r="F85" s="3505"/>
      <c r="G85" s="3505"/>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3.8">
      <c r="A86" s="173" t="s">
        <v>327</v>
      </c>
      <c r="B86" s="163" t="s">
        <v>1394</v>
      </c>
      <c r="C86" s="2565">
        <f ca="1">IF(H88="仅含出让金",C87+C90+C91+C92+C93+C94,C87+C91+C92+C93+C94)</f>
        <v>5</v>
      </c>
      <c r="D86" s="2578"/>
      <c r="E86" s="3506"/>
      <c r="F86" s="3505"/>
      <c r="G86" s="3505"/>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3.8">
      <c r="A87" s="169" t="s">
        <v>325</v>
      </c>
      <c r="B87" s="170" t="s">
        <v>1409</v>
      </c>
      <c r="C87" s="2573">
        <f>C88+C89</f>
        <v>0</v>
      </c>
      <c r="D87" s="2574"/>
      <c r="E87" s="3501"/>
      <c r="F87" s="3502"/>
      <c r="G87" s="3502"/>
      <c r="H87" s="3503"/>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4">
      <c r="A88" s="169" t="s">
        <v>331</v>
      </c>
      <c r="B88" s="170" t="s">
        <v>1410</v>
      </c>
      <c r="C88" s="2579"/>
      <c r="D88" s="2574"/>
      <c r="E88" s="193" t="s">
        <v>1411</v>
      </c>
      <c r="F88" s="3502"/>
      <c r="G88" s="194" t="s">
        <v>1412</v>
      </c>
      <c r="H88" s="1822"/>
      <c r="I88" s="1819"/>
      <c r="J88" s="2518"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3.8">
      <c r="A89" s="169" t="s">
        <v>332</v>
      </c>
      <c r="B89" s="170" t="s">
        <v>1401</v>
      </c>
      <c r="C89" s="2573">
        <f>ROUND(C88*D89,0)</f>
        <v>0</v>
      </c>
      <c r="D89" s="2574">
        <f>'数据-取费表'!B48+'数据-取费表'!B49</f>
        <v>3.0499999999999999E-2</v>
      </c>
      <c r="E89" s="193" t="s">
        <v>1413</v>
      </c>
      <c r="F89" s="3502"/>
      <c r="G89" s="3502"/>
      <c r="H89" s="3503"/>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4">
      <c r="A90" s="169" t="s">
        <v>326</v>
      </c>
      <c r="B90" s="170" t="s">
        <v>1414</v>
      </c>
      <c r="C90" s="2579"/>
      <c r="D90" s="2574"/>
      <c r="E90" s="193" t="str">
        <f>IF(H88="-","土地取得成本中已包含该笔费用"," ")</f>
        <v xml:space="preserve"> </v>
      </c>
      <c r="F90" s="3502"/>
      <c r="G90" s="3617" t="s">
        <v>2124</v>
      </c>
      <c r="H90" s="3618"/>
      <c r="I90" s="1819"/>
      <c r="J90" s="2518"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3">
        <f>IF(H91="——",成本法!C33,I91)</f>
        <v>0</v>
      </c>
      <c r="D91" s="2574"/>
      <c r="E91" s="3648" t="s">
        <v>1417</v>
      </c>
      <c r="F91" s="3649"/>
      <c r="G91" s="364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3">
        <f>ROUND((C87+C90+C91)*D92,0)</f>
        <v>0</v>
      </c>
      <c r="D92" s="2580"/>
      <c r="E92" s="3648" t="s">
        <v>1420</v>
      </c>
      <c r="F92" s="3649"/>
      <c r="G92" s="3649"/>
      <c r="H92" s="3650"/>
      <c r="I92" s="1819"/>
      <c r="J92" s="2519"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3">
        <f ca="1">ROUND(D45*D93/(1+'数据-取费表'!C42),0)</f>
        <v>5</v>
      </c>
      <c r="D93" s="2574">
        <f>'数据-取费表'!B43</f>
        <v>6.000000000000001E-3</v>
      </c>
      <c r="E93" s="3648" t="s">
        <v>1404</v>
      </c>
      <c r="F93" s="3649"/>
      <c r="G93" s="3649"/>
      <c r="H93" s="365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9">
        <f>ROUND((C87+C90+C91)*D94,0)</f>
        <v>0</v>
      </c>
      <c r="D94" s="2574">
        <v>0.2</v>
      </c>
      <c r="E94" s="3693" t="s">
        <v>1424</v>
      </c>
      <c r="F94" s="3694"/>
      <c r="G94" s="3694"/>
      <c r="H94" s="369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3.8">
      <c r="A95" s="173" t="s">
        <v>334</v>
      </c>
      <c r="B95" s="174" t="s">
        <v>1405</v>
      </c>
      <c r="C95" s="2565">
        <f ca="1">ROUND(C85-C86,0)</f>
        <v>781</v>
      </c>
      <c r="D95" s="170" t="s">
        <v>26</v>
      </c>
      <c r="E95" s="3506"/>
      <c r="F95" s="3505"/>
      <c r="G95" s="3505"/>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5">
        <f ca="1">IF(C95&lt;=0,0,C95/C86)</f>
        <v>156.19999999999999</v>
      </c>
      <c r="D96" s="170" t="s">
        <v>26</v>
      </c>
      <c r="E96" s="3496" t="str">
        <f ca="1">IF(C96&gt;=200%,"增值额超过扣除项目金额200%",IF(C96&gt;=100%,"增值额超过扣除项目金额100%，未超过200%",IF(C96&gt;=50%,"增值额超过扣除项目金额50%，未超过100%",IF(C96&lt;50%,"增值额未超过扣除项目金额50%"))))</f>
        <v>增值额超过扣除项目金额200%</v>
      </c>
      <c r="F96" s="3505"/>
      <c r="G96" s="3505"/>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6" thickBot="1">
      <c r="A97" s="176" t="s">
        <v>336</v>
      </c>
      <c r="B97" s="177" t="s">
        <v>1407</v>
      </c>
      <c r="C97" s="2576">
        <f ca="1">ROUND(IF(C95&lt;=0,0,IF(C96&gt;=200%,C95*60%-C86*35%,IF(C96&gt;=100%,C95*50%-C86*15%,IF(C96&gt;=50%,C95*40%-C86*5%,IF(C96&lt;50%,C95*30%,0))))),0)</f>
        <v>467</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598" t="s">
        <v>1426</v>
      </c>
      <c r="B100" s="3599"/>
      <c r="C100" s="3599"/>
      <c r="D100" s="3633"/>
      <c r="E100" s="3599" t="s">
        <v>1427</v>
      </c>
      <c r="F100" s="3599"/>
      <c r="G100" s="3599"/>
      <c r="H100" s="3633"/>
      <c r="I100" s="129"/>
    </row>
    <row r="101" spans="1:35" ht="18.75" customHeight="1">
      <c r="A101" s="3641" t="s">
        <v>1428</v>
      </c>
      <c r="B101" s="3642"/>
      <c r="C101" s="2582" t="str">
        <f>C4</f>
        <v>比较法-商业104</v>
      </c>
      <c r="D101" s="2583" t="str">
        <f>D4</f>
        <v>收益法 (元)104</v>
      </c>
      <c r="E101" s="3611" t="s">
        <v>1429</v>
      </c>
      <c r="F101" s="3612"/>
      <c r="G101" s="1825" t="s">
        <v>1430</v>
      </c>
      <c r="H101" s="2592">
        <f ca="1">H118</f>
        <v>825</v>
      </c>
      <c r="I101" s="129"/>
    </row>
    <row r="102" spans="1:35" ht="18.75" customHeight="1">
      <c r="A102" s="3643" t="s">
        <v>1431</v>
      </c>
      <c r="B102" s="2581" t="s">
        <v>1430</v>
      </c>
      <c r="C102" s="2582">
        <f ca="1">IF(D32="楼面单价",ROUND(C19,0),C19)</f>
        <v>996</v>
      </c>
      <c r="D102" s="2583">
        <f ca="1">IF(D32="楼面单价",ROUND(D19,0),D19)</f>
        <v>569</v>
      </c>
      <c r="E102" s="3611"/>
      <c r="F102" s="3612"/>
      <c r="G102" s="1825" t="s">
        <v>1432</v>
      </c>
      <c r="H102" s="2552">
        <f ca="1">I118</f>
        <v>32614</v>
      </c>
      <c r="I102" s="129"/>
    </row>
    <row r="103" spans="1:35" ht="42.75" customHeight="1">
      <c r="A103" s="3643"/>
      <c r="B103" s="2581" t="s">
        <v>1432</v>
      </c>
      <c r="C103" s="2584">
        <f ca="1">C20</f>
        <v>39358</v>
      </c>
      <c r="D103" s="2585">
        <f ca="1">D20</f>
        <v>22497</v>
      </c>
      <c r="E103" s="3604" t="s">
        <v>1433</v>
      </c>
      <c r="F103" s="3605"/>
      <c r="G103" s="1826" t="s">
        <v>1434</v>
      </c>
      <c r="H103" s="2592">
        <f>IF(D36="正常操作",H104+H105+H106,H105+H106)</f>
        <v>0</v>
      </c>
      <c r="I103" s="129"/>
    </row>
    <row r="104" spans="1:35" ht="18.75" customHeight="1">
      <c r="A104" s="3643" t="s">
        <v>1435</v>
      </c>
      <c r="B104" s="2586" t="s">
        <v>1430</v>
      </c>
      <c r="C104" s="2587">
        <f ca="1">H118</f>
        <v>825</v>
      </c>
      <c r="D104" s="2588"/>
      <c r="E104" s="1672" t="s">
        <v>1436</v>
      </c>
      <c r="F104" s="1664"/>
      <c r="G104" s="1826" t="s">
        <v>1434</v>
      </c>
      <c r="H104" s="2593">
        <f>IF(D36="同一抵押权人同一抵押物续贷",C36&amp;"（续贷，未扣减，详见特别提示）",C36)</f>
        <v>0</v>
      </c>
      <c r="I104" s="129"/>
    </row>
    <row r="105" spans="1:35" ht="18.75" customHeight="1" thickBot="1">
      <c r="A105" s="3653"/>
      <c r="B105" s="2589" t="s">
        <v>1432</v>
      </c>
      <c r="C105" s="2590">
        <f ca="1">I118</f>
        <v>32614</v>
      </c>
      <c r="D105" s="2591"/>
      <c r="E105" s="1672" t="s">
        <v>1437</v>
      </c>
      <c r="F105" s="1664"/>
      <c r="G105" s="1826" t="s">
        <v>1434</v>
      </c>
      <c r="H105" s="2594">
        <f>C37</f>
        <v>0</v>
      </c>
      <c r="I105" s="129"/>
    </row>
    <row r="106" spans="1:35" ht="18.75" customHeight="1">
      <c r="A106" s="1745" t="s">
        <v>1438</v>
      </c>
      <c r="B106" s="1745"/>
      <c r="C106" s="1745"/>
      <c r="D106" s="1745"/>
      <c r="E106" s="1827" t="s">
        <v>1439</v>
      </c>
      <c r="F106" s="1664"/>
      <c r="G106" s="1826" t="s">
        <v>1434</v>
      </c>
      <c r="H106" s="2594">
        <f>C38</f>
        <v>0</v>
      </c>
      <c r="I106" s="129"/>
    </row>
    <row r="107" spans="1:35" ht="18.75" customHeight="1">
      <c r="A107" s="129"/>
      <c r="B107" s="129"/>
      <c r="C107" s="129"/>
      <c r="D107" s="129"/>
      <c r="E107" s="3644" t="str">
        <f>IF(项目基本情况!E8="已注销","——","3.房地产抵押价值")</f>
        <v>3.房地产抵押价值</v>
      </c>
      <c r="F107" s="3612"/>
      <c r="G107" s="1825" t="s">
        <v>1430</v>
      </c>
      <c r="H107" s="2592">
        <f ca="1">IF(E107="——","——",H101-H103)</f>
        <v>825</v>
      </c>
      <c r="I107" s="129"/>
    </row>
    <row r="108" spans="1:35" ht="18.75" customHeight="1">
      <c r="A108" s="129"/>
      <c r="B108" s="129"/>
      <c r="C108" s="129"/>
      <c r="D108" s="129"/>
      <c r="E108" s="3644"/>
      <c r="F108" s="3612"/>
      <c r="G108" s="1825" t="s">
        <v>1432</v>
      </c>
      <c r="H108" s="2552">
        <f ca="1">IF(H107=H101,H102,ROUND(H107*10000/'数据-汇总表'!E3,0))</f>
        <v>32614</v>
      </c>
      <c r="I108" s="129"/>
    </row>
    <row r="109" spans="1:35" ht="18.75" customHeight="1">
      <c r="A109" s="129"/>
      <c r="B109" s="129"/>
      <c r="C109" s="129"/>
      <c r="D109" s="129"/>
      <c r="E109" s="3644" t="str">
        <f>IF(项目基本情况!E8="已注销及未注销","4.抵押担保权已注销时的房地产抵押价值",IF(项目基本情况!E8="已注销","3.抵押担保权已注销时的房地产抵押价值","——"))</f>
        <v>——</v>
      </c>
      <c r="F109" s="3612"/>
      <c r="G109" s="1825" t="s">
        <v>1430</v>
      </c>
      <c r="H109" s="2595" t="str">
        <f>IF(E109="——","——",H101-H105-H106)</f>
        <v>——</v>
      </c>
      <c r="I109" s="129"/>
    </row>
    <row r="110" spans="1:35" ht="18.75" customHeight="1">
      <c r="A110" s="129"/>
      <c r="B110" s="129"/>
      <c r="C110" s="129"/>
      <c r="D110" s="129"/>
      <c r="E110" s="3644"/>
      <c r="F110" s="3612"/>
      <c r="G110" s="1825" t="s">
        <v>1432</v>
      </c>
      <c r="H110" s="2552"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v>
      </c>
      <c r="F111" s="3631"/>
      <c r="G111" s="1825" t="s">
        <v>1430</v>
      </c>
      <c r="H111" s="2592" t="str">
        <f>IF(E111="——","——",N59)</f>
        <v>——</v>
      </c>
      <c r="I111" s="129"/>
    </row>
    <row r="112" spans="1:35" ht="18.75" customHeight="1" thickBot="1">
      <c r="A112" s="129"/>
      <c r="B112" s="129"/>
      <c r="C112" s="129"/>
      <c r="D112" s="129"/>
      <c r="E112" s="3646"/>
      <c r="F112" s="3647"/>
      <c r="G112" s="1828" t="s">
        <v>1432</v>
      </c>
      <c r="H112" s="2596" t="str">
        <f>IF(E111="——","——",N61)</f>
        <v>——</v>
      </c>
      <c r="I112" s="129"/>
    </row>
    <row r="113" spans="1:27" ht="18.75" customHeight="1">
      <c r="A113" s="129"/>
      <c r="B113" s="129"/>
      <c r="C113" s="129"/>
      <c r="D113" s="129"/>
      <c r="E113" s="3654" t="s">
        <v>1438</v>
      </c>
      <c r="F113" s="3654"/>
      <c r="G113" s="3654"/>
      <c r="H113" s="3654"/>
      <c r="I113" s="129"/>
    </row>
    <row r="114" spans="1:27" ht="3.75" customHeight="1">
      <c r="A114" s="1745"/>
      <c r="B114" s="1745"/>
      <c r="C114" s="1745"/>
      <c r="D114" s="1745"/>
      <c r="E114" s="1807"/>
      <c r="F114" s="1807"/>
      <c r="G114" s="1807"/>
      <c r="H114" s="1807"/>
      <c r="I114" s="1745"/>
    </row>
    <row r="115" spans="1:27" ht="18.75" customHeight="1">
      <c r="A115" s="3662" t="s">
        <v>1440</v>
      </c>
      <c r="B115" s="3663"/>
      <c r="C115" s="3663"/>
      <c r="D115" s="3663"/>
      <c r="E115" s="3663"/>
      <c r="F115" s="3663"/>
      <c r="G115" s="3663"/>
      <c r="H115" s="3663"/>
      <c r="I115" s="3664"/>
    </row>
    <row r="116" spans="1:27" ht="27" customHeight="1">
      <c r="A116" s="3619" t="s">
        <v>1441</v>
      </c>
      <c r="B116" s="3623" t="s">
        <v>1442</v>
      </c>
      <c r="C116" s="3623" t="s">
        <v>1443</v>
      </c>
      <c r="D116" s="3629" t="s">
        <v>1444</v>
      </c>
      <c r="E116" s="3630"/>
      <c r="F116" s="3661" t="s">
        <v>1445</v>
      </c>
      <c r="G116" s="3661"/>
      <c r="H116" s="3619" t="s">
        <v>1446</v>
      </c>
      <c r="I116" s="3619"/>
    </row>
    <row r="117" spans="1:27" ht="18.75" customHeight="1">
      <c r="A117" s="3619"/>
      <c r="B117" s="3624"/>
      <c r="C117" s="3624"/>
      <c r="D117" s="3498" t="s">
        <v>1447</v>
      </c>
      <c r="E117" s="3498" t="s">
        <v>1448</v>
      </c>
      <c r="F117" s="3498" t="s">
        <v>1447</v>
      </c>
      <c r="G117" s="3498" t="s">
        <v>1449</v>
      </c>
      <c r="H117" s="3498" t="s">
        <v>1447</v>
      </c>
      <c r="I117" s="3498" t="s">
        <v>1449</v>
      </c>
    </row>
    <row r="118" spans="1:27" ht="24.75" customHeight="1">
      <c r="A118" s="2597" t="str">
        <f>项目基本情况!S2</f>
        <v>北京市海淀区林风二路38号院5号楼1至2层110房地产</v>
      </c>
      <c r="B118" s="3498">
        <f>M18</f>
        <v>253.05</v>
      </c>
      <c r="C118" s="3498">
        <f>M19</f>
        <v>0</v>
      </c>
      <c r="D118" s="3498">
        <f>ROUND(IF(D32="总价",C34,E118*B118/10000),0)</f>
        <v>0</v>
      </c>
      <c r="E118" s="3498">
        <f>ROUND(IF(C33="自定义",IF(D32="楼面单价",C34,D118*10000/B118),I118-G118),0)</f>
        <v>0</v>
      </c>
      <c r="F118" s="3498">
        <f>ROUND(IF(D32="总价",C35,G118*B118/10000),0)</f>
        <v>0</v>
      </c>
      <c r="G118" s="3498">
        <f>ROUND(IF(D32="楼面单价",C35,F118*10000/B118),0)</f>
        <v>0</v>
      </c>
      <c r="H118" s="3498">
        <f ca="1">ROUND(IF(D32="总价",C32,I118*B118/10000),0)</f>
        <v>825</v>
      </c>
      <c r="I118" s="3498">
        <f ca="1">ROUND(IF(D32="楼面单价",C32,H118*10000/B118),0)</f>
        <v>32614</v>
      </c>
    </row>
    <row r="119" spans="1:27" ht="18.75" customHeight="1">
      <c r="A119" s="3619" t="s">
        <v>1450</v>
      </c>
      <c r="B119" s="3619"/>
      <c r="C119" s="3619"/>
      <c r="D119" s="3625" t="str">
        <f>NUMBERSTRING(INT(D118*10000),2)&amp;"元整"</f>
        <v>零元整</v>
      </c>
      <c r="E119" s="3626"/>
      <c r="F119" s="3625" t="str">
        <f>NUMBERSTRING(INT(F118*10000),2)&amp;"元整"</f>
        <v>零元整</v>
      </c>
      <c r="G119" s="3626"/>
      <c r="H119" s="3625" t="str">
        <f ca="1">NUMBERSTRING(INT(H118*10000),2)&amp;"元整"</f>
        <v>捌佰贰拾伍万元整</v>
      </c>
      <c r="I119" s="3626"/>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25" t="s">
        <v>1450</v>
      </c>
      <c r="B121" s="3627"/>
      <c r="C121" s="3626"/>
      <c r="D121" s="3625" t="str">
        <f>IF(D120=0,"零元整",NUMBERSTRING(INT(D120*10000),2)&amp;"元整")</f>
        <v>零元整</v>
      </c>
      <c r="E121" s="3627"/>
      <c r="F121" s="3627"/>
      <c r="G121" s="3627"/>
      <c r="H121" s="3627"/>
      <c r="I121" s="3626"/>
      <c r="AA121" s="723"/>
    </row>
    <row r="122" spans="1:27" ht="18.75" customHeight="1">
      <c r="A122" s="3631" t="str">
        <f>IF(项目基本情况!B9="房地产市场价值","",MID(E107,3,LEN(E107)-2))</f>
        <v>房地产抵押价值</v>
      </c>
      <c r="B122" s="3631"/>
      <c r="C122" s="3631"/>
      <c r="D122" s="3620">
        <f ca="1">H107</f>
        <v>825</v>
      </c>
      <c r="E122" s="3621"/>
      <c r="F122" s="3621"/>
      <c r="G122" s="3621"/>
      <c r="H122" s="3621"/>
      <c r="I122" s="3622"/>
      <c r="AA122" s="723"/>
    </row>
    <row r="123" spans="1:27" ht="18.75" customHeight="1">
      <c r="A123" s="3619" t="s">
        <v>1450</v>
      </c>
      <c r="B123" s="3619"/>
      <c r="C123" s="3619"/>
      <c r="D123" s="3625" t="str">
        <f ca="1">NUMBERSTRING(INT(D122*10000),2)&amp;"元整"</f>
        <v>捌佰贰拾伍万元整</v>
      </c>
      <c r="E123" s="3627"/>
      <c r="F123" s="3627"/>
      <c r="G123" s="3627"/>
      <c r="H123" s="3627"/>
      <c r="I123" s="3626"/>
      <c r="AA123" s="723"/>
    </row>
    <row r="124" spans="1:27" ht="18.75" customHeight="1">
      <c r="A124" s="3631" t="str">
        <f>IF(项目基本情况!B9="房地产市场价值","",MID(E109,3,LEN(E109)-2))</f>
        <v/>
      </c>
      <c r="B124" s="3631"/>
      <c r="C124" s="3631"/>
      <c r="D124" s="3620" t="str">
        <f>H109</f>
        <v>——</v>
      </c>
      <c r="E124" s="3621"/>
      <c r="F124" s="3621"/>
      <c r="G124" s="3621"/>
      <c r="H124" s="3621"/>
      <c r="I124" s="3622"/>
      <c r="AA124" s="723"/>
    </row>
    <row r="125" spans="1:27" ht="18.75" customHeight="1">
      <c r="A125" s="3619" t="s">
        <v>1450</v>
      </c>
      <c r="B125" s="3619"/>
      <c r="C125" s="3619"/>
      <c r="D125" s="3625" t="e">
        <f>NUMBERSTRING(INT(D124*10000),2)&amp;"元整"</f>
        <v>#VALUE!</v>
      </c>
      <c r="E125" s="3627"/>
      <c r="F125" s="3627"/>
      <c r="G125" s="3627"/>
      <c r="H125" s="3627"/>
      <c r="I125" s="3626"/>
      <c r="AA125" s="723"/>
    </row>
    <row r="126" spans="1:27" ht="18.75" customHeight="1">
      <c r="A126" s="3631" t="str">
        <f>IF(项目基本情况!B9="房地产市场价值","",MID(E111,3,LEN(E111)-2))</f>
        <v/>
      </c>
      <c r="B126" s="3631"/>
      <c r="C126" s="3631"/>
      <c r="D126" s="3620" t="str">
        <f>H111</f>
        <v>——</v>
      </c>
      <c r="E126" s="3621"/>
      <c r="F126" s="3621"/>
      <c r="G126" s="3621"/>
      <c r="H126" s="3621"/>
      <c r="I126" s="3622"/>
      <c r="AA126" s="723"/>
    </row>
    <row r="127" spans="1:27" ht="18.75" customHeight="1">
      <c r="A127" s="3619" t="s">
        <v>1450</v>
      </c>
      <c r="B127" s="3619"/>
      <c r="C127" s="3619"/>
      <c r="D127" s="3625" t="e">
        <f>NUMBERSTRING(INT(D126*10000),2)&amp;"元整"</f>
        <v>#VALUE!</v>
      </c>
      <c r="E127" s="3627"/>
      <c r="F127" s="3627"/>
      <c r="G127" s="3627"/>
      <c r="H127" s="3627"/>
      <c r="I127" s="3626"/>
      <c r="AA127" s="723"/>
    </row>
    <row r="128" spans="1:27" ht="21.75" customHeight="1">
      <c r="A128" s="3628" t="s">
        <v>1451</v>
      </c>
      <c r="B128" s="3628"/>
      <c r="C128" s="3628"/>
      <c r="D128" s="3628"/>
      <c r="E128" s="3628"/>
      <c r="F128" s="3628"/>
      <c r="G128" s="3628"/>
      <c r="H128" s="3628"/>
      <c r="I128" s="3628"/>
      <c r="AA128" s="723"/>
    </row>
    <row r="129" spans="1:35" ht="21.75" customHeight="1">
      <c r="A129" s="1829" t="s">
        <v>1452</v>
      </c>
      <c r="B129" s="1830"/>
      <c r="C129" s="1831" t="s">
        <v>1453</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1454</v>
      </c>
      <c r="G135" s="1846"/>
      <c r="H135" s="1846"/>
      <c r="I135" s="1847" t="s">
        <v>1455</v>
      </c>
    </row>
    <row r="136" spans="1:35" ht="21.75" customHeight="1">
      <c r="A136" s="723"/>
      <c r="B136" s="1848" t="s">
        <v>1456</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1457</v>
      </c>
    </row>
    <row r="139" spans="1:35" ht="21.75" customHeight="1">
      <c r="A139" s="723"/>
      <c r="B139" s="1848" t="s">
        <v>1458</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1457</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53" priority="10" stopIfTrue="1" operator="equal">
      <formula>25</formula>
    </cfRule>
  </conditionalFormatting>
  <conditionalFormatting sqref="C8:C9">
    <cfRule type="cellIs" dxfId="152" priority="9" stopIfTrue="1" operator="equal">
      <formula>15</formula>
    </cfRule>
  </conditionalFormatting>
  <conditionalFormatting sqref="C14:C16">
    <cfRule type="cellIs" dxfId="151" priority="8" stopIfTrue="1" operator="equal">
      <formula>30</formula>
    </cfRule>
  </conditionalFormatting>
  <conditionalFormatting sqref="D5:D7">
    <cfRule type="cellIs" dxfId="150" priority="7" stopIfTrue="1" operator="equal">
      <formula>25</formula>
    </cfRule>
  </conditionalFormatting>
  <conditionalFormatting sqref="D8:D9">
    <cfRule type="cellIs" dxfId="149" priority="6" stopIfTrue="1" operator="equal">
      <formula>15</formula>
    </cfRule>
  </conditionalFormatting>
  <conditionalFormatting sqref="C10:D13">
    <cfRule type="cellIs" dxfId="148" priority="5" stopIfTrue="1" operator="equal">
      <formula>15</formula>
    </cfRule>
  </conditionalFormatting>
  <conditionalFormatting sqref="D14:D16">
    <cfRule type="cellIs" dxfId="147" priority="4"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N13" sqref="N1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875</v>
      </c>
      <c r="B1" s="711"/>
      <c r="C1" s="1377">
        <v>104</v>
      </c>
      <c r="D1" s="1360" t="s">
        <v>43</v>
      </c>
      <c r="E1" s="1361" t="s">
        <v>676</v>
      </c>
      <c r="F1" s="1060">
        <f ca="1">J53</f>
        <v>30</v>
      </c>
      <c r="G1" s="1376">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802</v>
      </c>
      <c r="B2" s="3422">
        <f ca="1">ROUND(D2/10000,4)</f>
        <v>569.29809999999998</v>
      </c>
      <c r="C2" s="1385" t="s">
        <v>803</v>
      </c>
      <c r="D2" s="1469">
        <f ca="1">C40+J29+L46</f>
        <v>5692981</v>
      </c>
      <c r="E2" s="1386" t="s">
        <v>878</v>
      </c>
      <c r="F2" s="1387"/>
      <c r="G2" s="2703"/>
      <c r="H2" s="2692"/>
      <c r="I2" s="2692"/>
      <c r="J2" s="2692"/>
      <c r="K2" s="2693"/>
      <c r="L2" s="2692"/>
      <c r="M2" s="2692"/>
    </row>
    <row r="3" spans="1:37" ht="18" customHeight="1" thickBot="1">
      <c r="A3" s="1388" t="s">
        <v>804</v>
      </c>
      <c r="B3" s="1389">
        <f ca="1">IF(ISERROR(D2/F43),0,ROUND(D2/F43,0))</f>
        <v>22497</v>
      </c>
      <c r="C3" s="1385" t="s">
        <v>805</v>
      </c>
      <c r="D3" s="1385"/>
      <c r="E3" s="1386"/>
      <c r="F3" s="1387"/>
      <c r="G3" s="2703"/>
      <c r="H3" s="681" t="s">
        <v>874</v>
      </c>
      <c r="I3" s="1380"/>
      <c r="J3" s="1380"/>
      <c r="K3" s="1381"/>
      <c r="L3" s="1380"/>
      <c r="M3" s="1380"/>
    </row>
    <row r="4" spans="1:37" ht="18" customHeight="1">
      <c r="A4" s="295" t="s">
        <v>881</v>
      </c>
      <c r="B4" s="296" t="s">
        <v>686</v>
      </c>
      <c r="C4" s="296" t="s">
        <v>687</v>
      </c>
      <c r="D4" s="296" t="s">
        <v>688</v>
      </c>
      <c r="E4" s="297" t="s">
        <v>885</v>
      </c>
      <c r="F4" s="298"/>
      <c r="G4" s="1382"/>
      <c r="H4" s="295" t="s">
        <v>881</v>
      </c>
      <c r="I4" s="296" t="s">
        <v>686</v>
      </c>
      <c r="J4" s="296" t="s">
        <v>687</v>
      </c>
      <c r="K4" s="296" t="s">
        <v>688</v>
      </c>
      <c r="L4" s="297" t="s">
        <v>885</v>
      </c>
      <c r="M4" s="298"/>
    </row>
    <row r="5" spans="1:37" ht="18" customHeight="1">
      <c r="A5" s="299">
        <v>1</v>
      </c>
      <c r="B5" s="300" t="s">
        <v>886</v>
      </c>
      <c r="C5" s="1068">
        <f ca="1">C6+C10+C12</f>
        <v>386746</v>
      </c>
      <c r="D5" s="1362" t="s">
        <v>887</v>
      </c>
      <c r="E5" s="1069"/>
      <c r="F5" s="1070"/>
      <c r="G5" s="1382"/>
      <c r="H5" s="299">
        <v>1</v>
      </c>
      <c r="I5" s="300" t="s">
        <v>886</v>
      </c>
      <c r="J5" s="1068">
        <f ca="1">J6+J10+J12</f>
        <v>0</v>
      </c>
      <c r="K5" s="1362" t="s">
        <v>887</v>
      </c>
      <c r="L5" s="1069"/>
      <c r="M5" s="1070"/>
    </row>
    <row r="6" spans="1:37" ht="18" customHeight="1">
      <c r="A6" s="1067" t="s">
        <v>398</v>
      </c>
      <c r="B6" s="3703" t="s">
        <v>692</v>
      </c>
      <c r="C6" s="1072">
        <f ca="1">ROUND(F6*F8*F7*(1-F9),0)</f>
        <v>386263</v>
      </c>
      <c r="D6" s="155" t="s">
        <v>2101</v>
      </c>
      <c r="E6" s="302" t="s">
        <v>694</v>
      </c>
      <c r="F6" s="303">
        <f ca="1">INDIRECT("'数据-取费表'!u"&amp;$G$1)</f>
        <v>4.92</v>
      </c>
      <c r="G6" s="1382"/>
      <c r="H6" s="1067" t="s">
        <v>398</v>
      </c>
      <c r="I6" s="3703" t="s">
        <v>692</v>
      </c>
      <c r="J6" s="301">
        <f ca="1">ROUND(M6*M8*M7*(1-M9),0)</f>
        <v>0</v>
      </c>
      <c r="K6" s="1374" t="s">
        <v>2102</v>
      </c>
      <c r="L6" s="302" t="s">
        <v>694</v>
      </c>
      <c r="M6" s="303">
        <f ca="1">INDIRECT("'数据-取费表'!z"&amp;$G$1)</f>
        <v>0</v>
      </c>
    </row>
    <row r="7" spans="1:37" ht="18" customHeight="1">
      <c r="A7" s="1071"/>
      <c r="B7" s="3704"/>
      <c r="C7" s="1073"/>
      <c r="D7" s="307"/>
      <c r="E7" s="3472" t="s">
        <v>695</v>
      </c>
      <c r="F7" s="303">
        <f ca="1">IF(INDIRECT("'数据-取费表'!ah"&amp;$G$1)="",INDIRECT("'数据-取费表'!k"&amp;$G$1),INDIRECT("'数据-取费表'!ah"&amp;$G$1))</f>
        <v>253.05</v>
      </c>
      <c r="G7" s="1382"/>
      <c r="H7" s="304"/>
      <c r="I7" s="3704"/>
      <c r="J7" s="306"/>
      <c r="K7" s="307"/>
      <c r="L7" s="302" t="s">
        <v>695</v>
      </c>
      <c r="M7" s="303">
        <f ca="1">F7</f>
        <v>253.05</v>
      </c>
    </row>
    <row r="8" spans="1:37" ht="18" customHeight="1">
      <c r="A8" s="304"/>
      <c r="B8" s="3704"/>
      <c r="C8" s="306"/>
      <c r="D8" s="307"/>
      <c r="E8" s="302" t="s">
        <v>696</v>
      </c>
      <c r="F8" s="303">
        <f ca="1">INDIRECT("'数据-取费表'!ai"&amp;$G$1)</f>
        <v>365</v>
      </c>
      <c r="G8" s="1382"/>
      <c r="H8" s="304"/>
      <c r="I8" s="3704"/>
      <c r="J8" s="306"/>
      <c r="K8" s="307"/>
      <c r="L8" s="302" t="s">
        <v>696</v>
      </c>
      <c r="M8" s="303">
        <f ca="1">INDIRECT("'数据-取费表'!ai"&amp;$G$1)</f>
        <v>365</v>
      </c>
    </row>
    <row r="9" spans="1:37" ht="18" customHeight="1">
      <c r="A9" s="304"/>
      <c r="B9" s="3705"/>
      <c r="C9" s="306"/>
      <c r="D9" s="307"/>
      <c r="E9" s="302" t="s">
        <v>697</v>
      </c>
      <c r="F9" s="312">
        <f ca="1">INDIRECT("'数据-取费表'!w"&amp;$G$1)</f>
        <v>0.15</v>
      </c>
      <c r="G9" s="1382"/>
      <c r="H9" s="304"/>
      <c r="I9" s="3705"/>
      <c r="J9" s="306"/>
      <c r="K9" s="307"/>
      <c r="L9" s="313" t="s">
        <v>697</v>
      </c>
      <c r="M9" s="314">
        <f ca="1">INDIRECT("'数据-取费表'!ab"&amp;$G$1)</f>
        <v>0</v>
      </c>
    </row>
    <row r="10" spans="1:37" ht="18" customHeight="1">
      <c r="A10" s="1067" t="s">
        <v>402</v>
      </c>
      <c r="B10" s="1363" t="s">
        <v>698</v>
      </c>
      <c r="C10" s="316">
        <f ca="1">ROUND(IF(F10="押一",C6/12*F11,IF(F10="押二",C6/12*2*F11,IF(F10="押三",C6/12*3*F11,C11*F11))),0)</f>
        <v>483</v>
      </c>
      <c r="D10" s="1364" t="s">
        <v>2111</v>
      </c>
      <c r="E10" s="313" t="s">
        <v>699</v>
      </c>
      <c r="F10" s="1114" t="s">
        <v>3394</v>
      </c>
      <c r="G10" s="1382"/>
      <c r="H10" s="1067" t="s">
        <v>402</v>
      </c>
      <c r="I10" s="1363" t="s">
        <v>698</v>
      </c>
      <c r="J10" s="301">
        <f ca="1">ROUND(IF(M10="押一",J6/12*M11,IF(M10="押二",J6/12*2*M11,IF(M10="押三",J6/12*3*M11,J11*M11))),0)</f>
        <v>0</v>
      </c>
      <c r="K10" s="1375" t="s">
        <v>2113</v>
      </c>
      <c r="L10" s="313" t="s">
        <v>699</v>
      </c>
      <c r="M10" s="1114" t="s">
        <v>3394</v>
      </c>
    </row>
    <row r="11" spans="1:37" ht="18" customHeight="1">
      <c r="A11" s="308"/>
      <c r="B11" s="1365" t="s">
        <v>888</v>
      </c>
      <c r="C11" s="957"/>
      <c r="D11" s="307"/>
      <c r="E11" s="313" t="s">
        <v>700</v>
      </c>
      <c r="F11" s="314">
        <f ca="1">'数据-取费表'!B39</f>
        <v>1.4999999999999999E-2</v>
      </c>
      <c r="G11" s="1382"/>
      <c r="H11" s="1075"/>
      <c r="I11" s="1365" t="s">
        <v>889</v>
      </c>
      <c r="J11" s="957"/>
      <c r="K11" s="682"/>
      <c r="L11" s="313" t="s">
        <v>700</v>
      </c>
      <c r="M11" s="860">
        <f ca="1">'数据-取费表'!B39</f>
        <v>1.4999999999999999E-2</v>
      </c>
    </row>
    <row r="12" spans="1:37" ht="18" customHeight="1" thickBot="1">
      <c r="A12" s="1081" t="s">
        <v>437</v>
      </c>
      <c r="B12" s="1367" t="s">
        <v>701</v>
      </c>
      <c r="C12" s="1082"/>
      <c r="D12" s="1083"/>
      <c r="E12" s="1088"/>
      <c r="F12" s="1084"/>
      <c r="G12" s="1382"/>
      <c r="H12" s="1081" t="s">
        <v>437</v>
      </c>
      <c r="I12" s="1367" t="s">
        <v>701</v>
      </c>
      <c r="J12" s="1082"/>
      <c r="K12" s="1096"/>
      <c r="L12" s="1088"/>
      <c r="M12" s="1097"/>
    </row>
    <row r="13" spans="1:37" ht="18" customHeight="1" thickTop="1">
      <c r="A13" s="1077">
        <v>2</v>
      </c>
      <c r="B13" s="1078" t="s">
        <v>702</v>
      </c>
      <c r="C13" s="310">
        <f ca="1">ROUND(C29*F13,0)</f>
        <v>1337058</v>
      </c>
      <c r="D13" s="3462" t="s">
        <v>703</v>
      </c>
      <c r="E13" s="3462" t="s">
        <v>704</v>
      </c>
      <c r="F13" s="1080">
        <f ca="1">INDIRECT("'数据-取费表'!y"&amp;$G$1)</f>
        <v>0.88</v>
      </c>
      <c r="G13" s="1382"/>
      <c r="H13" s="1077">
        <v>2</v>
      </c>
      <c r="I13" s="1078" t="s">
        <v>702</v>
      </c>
      <c r="J13" s="1066">
        <f ca="1">ROUND(J14*J15,0)</f>
        <v>0</v>
      </c>
      <c r="K13" s="1085" t="s">
        <v>703</v>
      </c>
      <c r="L13" s="1390"/>
      <c r="M13" s="1391"/>
    </row>
    <row r="14" spans="1:37" ht="18" customHeight="1">
      <c r="A14" s="980" t="s">
        <v>397</v>
      </c>
      <c r="B14" s="302" t="s">
        <v>705</v>
      </c>
      <c r="C14" s="318">
        <f ca="1">ROUND(INDIRECT("'数据-取费表'!l"&amp;$G$1)*F43+'数据-取费表'!L14*INDIRECT("'数据-取费表'!S"&amp;$G$1),0)</f>
        <v>1012200</v>
      </c>
      <c r="D14" s="3468" t="s">
        <v>706</v>
      </c>
      <c r="E14" s="3465"/>
      <c r="F14" s="319"/>
      <c r="G14" s="1382"/>
      <c r="H14" s="980" t="s">
        <v>398</v>
      </c>
      <c r="I14" s="302" t="s">
        <v>707</v>
      </c>
      <c r="J14" s="21">
        <f ca="1">C29</f>
        <v>1519384</v>
      </c>
      <c r="K14" s="3471"/>
      <c r="L14" s="805"/>
      <c r="M14" s="806"/>
    </row>
    <row r="15" spans="1:37" s="1395" customFormat="1" ht="18" customHeight="1" thickBot="1">
      <c r="A15" s="980" t="s">
        <v>399</v>
      </c>
      <c r="B15" s="302" t="s">
        <v>708</v>
      </c>
      <c r="C15" s="21">
        <f ca="1">ROUND(C14*F15,0)</f>
        <v>30366</v>
      </c>
      <c r="D15" s="3463" t="s">
        <v>709</v>
      </c>
      <c r="E15" s="3463" t="s">
        <v>710</v>
      </c>
      <c r="F15" s="321">
        <f>'数据-取费表'!B33</f>
        <v>0.03</v>
      </c>
      <c r="G15" s="1394"/>
      <c r="H15" s="1087" t="s">
        <v>402</v>
      </c>
      <c r="I15" s="1088" t="s">
        <v>704</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678</v>
      </c>
      <c r="B16" s="302" t="s">
        <v>711</v>
      </c>
      <c r="C16" s="21">
        <f ca="1">ROUND(INDIRECT("'数据-取费表'!l"&amp;$G$1)*F43*F16,0)</f>
        <v>0</v>
      </c>
      <c r="D16" s="302" t="s">
        <v>709</v>
      </c>
      <c r="E16" s="302" t="s">
        <v>710</v>
      </c>
      <c r="F16" s="322">
        <f ca="1">IF(INDIRECT("'数据-取费表'!c"&amp;$G$1)="住宅",'数据-取费表'!B34,0)</f>
        <v>0</v>
      </c>
      <c r="G16" s="1382"/>
      <c r="H16" s="1077" t="s">
        <v>393</v>
      </c>
      <c r="I16" s="1078" t="s">
        <v>712</v>
      </c>
      <c r="J16" s="310">
        <f ca="1">ROUND(J17+J22+J23+J24,0)</f>
        <v>7597</v>
      </c>
      <c r="K16" s="1085" t="s">
        <v>713</v>
      </c>
      <c r="L16" s="3469"/>
      <c r="M16" s="1070"/>
    </row>
    <row r="17" spans="1:37" s="1395" customFormat="1" ht="18" customHeight="1">
      <c r="A17" s="980" t="s">
        <v>679</v>
      </c>
      <c r="B17" s="302" t="s">
        <v>714</v>
      </c>
      <c r="C17" s="21">
        <f ca="1">ROUND(F17*(F43+INDIRECT("'数据-取费表'!S"&amp;$G$1)),0)</f>
        <v>50610</v>
      </c>
      <c r="D17" s="302" t="s">
        <v>715</v>
      </c>
      <c r="E17" s="302" t="s">
        <v>716</v>
      </c>
      <c r="F17" s="23">
        <f>'数据-取费表'!B35</f>
        <v>200</v>
      </c>
      <c r="G17" s="1394"/>
      <c r="H17" s="980" t="s">
        <v>398</v>
      </c>
      <c r="I17" s="302" t="s">
        <v>717</v>
      </c>
      <c r="J17" s="2314">
        <f ca="1">ROUND(IF(AND(项目基本情况!B11="自然人",项目基本情况!B10="北京市"),J6*M17/(1+'数据-取费表'!C42),J18+J19+J20),0)</f>
        <v>0</v>
      </c>
      <c r="K17" s="3468" t="s">
        <v>718</v>
      </c>
      <c r="L17" s="3467" t="s">
        <v>719</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680</v>
      </c>
      <c r="B18" s="302" t="s">
        <v>720</v>
      </c>
      <c r="C18" s="21">
        <f ca="1">ROUND(C14*F18,0)</f>
        <v>20244</v>
      </c>
      <c r="D18" s="302" t="s">
        <v>709</v>
      </c>
      <c r="E18" s="302" t="s">
        <v>710</v>
      </c>
      <c r="F18" s="322">
        <f>'数据-取费表'!B36</f>
        <v>0.02</v>
      </c>
      <c r="G18" s="1394"/>
      <c r="H18" s="980" t="s">
        <v>397</v>
      </c>
      <c r="I18" s="302" t="s">
        <v>721</v>
      </c>
      <c r="J18" s="21">
        <f ca="1">ROUND(J6*M18/(1+'数据-取费表'!C42),0)</f>
        <v>0</v>
      </c>
      <c r="K18" s="3467" t="s">
        <v>722</v>
      </c>
      <c r="L18" s="302" t="s">
        <v>710</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723</v>
      </c>
      <c r="C19" s="21">
        <f ca="1">SUM(C14:C18)</f>
        <v>1113420</v>
      </c>
      <c r="D19" s="131" t="s">
        <v>724</v>
      </c>
      <c r="E19" s="3479"/>
      <c r="F19" s="23"/>
      <c r="G19" s="1382"/>
      <c r="H19" s="980" t="s">
        <v>399</v>
      </c>
      <c r="I19" s="302" t="s">
        <v>725</v>
      </c>
      <c r="J19" s="21">
        <f ca="1">IF(K19="按租金收入计税",ROUND(J6*M19/(1+'数据-取费表'!C42),0),ROUND(C29*M19*0.7,0))</f>
        <v>0</v>
      </c>
      <c r="K19" s="1368" t="s">
        <v>3334</v>
      </c>
      <c r="L19" s="302" t="s">
        <v>710</v>
      </c>
      <c r="M19" s="322">
        <f>IF(K19="按租金收入计税",'数据-取费表'!B51,'数据-取费表'!B50)</f>
        <v>0.12</v>
      </c>
    </row>
    <row r="20" spans="1:37" s="1395" customFormat="1" ht="18" customHeight="1">
      <c r="A20" s="980" t="s">
        <v>402</v>
      </c>
      <c r="B20" s="302" t="s">
        <v>726</v>
      </c>
      <c r="C20" s="21">
        <f ca="1">ROUND(C19*F20,0)</f>
        <v>22268</v>
      </c>
      <c r="D20" s="2425" t="s">
        <v>727</v>
      </c>
      <c r="E20" s="302" t="s">
        <v>710</v>
      </c>
      <c r="F20" s="322">
        <f>'数据-取费表'!B37</f>
        <v>0.02</v>
      </c>
      <c r="G20" s="1394"/>
      <c r="H20" s="980" t="s">
        <v>678</v>
      </c>
      <c r="I20" s="155" t="s">
        <v>728</v>
      </c>
      <c r="J20" s="22">
        <f ca="1">ROUND(M20*M21,0)</f>
        <v>0</v>
      </c>
      <c r="K20" s="324" t="s">
        <v>729</v>
      </c>
      <c r="L20" s="302" t="s">
        <v>730</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731</v>
      </c>
      <c r="C21" s="21" t="s">
        <v>0</v>
      </c>
      <c r="D21" s="2425" t="s">
        <v>732</v>
      </c>
      <c r="E21" s="302" t="s">
        <v>733</v>
      </c>
      <c r="F21" s="322">
        <f>'数据-取费表'!B38</f>
        <v>0.02</v>
      </c>
      <c r="G21" s="1394"/>
      <c r="H21" s="326"/>
      <c r="I21" s="311"/>
      <c r="J21" s="26"/>
      <c r="K21" s="327"/>
      <c r="L21" s="302" t="s">
        <v>734</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681</v>
      </c>
      <c r="B22" s="302" t="s">
        <v>735</v>
      </c>
      <c r="C22" s="21"/>
      <c r="D22" s="131" t="str">
        <f>IF(F23&lt;=1,"单利计息。","复利计息。")&amp;"建造成本、管理费用、销售费用产生的利息。"</f>
        <v>复利计息。建造成本、管理费用、销售费用产生的利息。</v>
      </c>
      <c r="E22" s="3479"/>
      <c r="F22" s="23"/>
      <c r="G22" s="1382"/>
      <c r="H22" s="980" t="s">
        <v>402</v>
      </c>
      <c r="I22" s="302" t="s">
        <v>736</v>
      </c>
      <c r="J22" s="21">
        <f ca="1">ROUND(J14*M22,0)</f>
        <v>7597</v>
      </c>
      <c r="K22" s="3467" t="s">
        <v>737</v>
      </c>
      <c r="L22" s="302" t="s">
        <v>710</v>
      </c>
      <c r="M22" s="328">
        <f ca="1">INDIRECT("'数据-取费表'!Ak"&amp;$G$1)</f>
        <v>5.0000000000000001E-3</v>
      </c>
    </row>
    <row r="23" spans="1:37" s="1395" customFormat="1" ht="18" customHeight="1">
      <c r="A23" s="980" t="s">
        <v>397</v>
      </c>
      <c r="B23" s="302" t="s">
        <v>738</v>
      </c>
      <c r="C23" s="21">
        <f ca="1">IF('数据-取费表'!B22&lt;=1,ROUND(C19*F24*F23/2,0)+ROUND(C20*F24*F23/2,0),ROUND(C19*(POWER((1+F24),F23/2)-1),0)+ROUND(C20*(POWER((1+F24),F23/2)-1),0))</f>
        <v>38046</v>
      </c>
      <c r="D23" s="329" t="str">
        <f>IF(F23&lt;=1,"(建造成本+管理费用)×利率×(建设周期÷2)","(建造成本+管理费用)×((1+利率)^(建设周期÷2)-1)")</f>
        <v>(建造成本+管理费用)×((1+利率)^(建设周期÷2)-1)</v>
      </c>
      <c r="E23" s="302" t="s">
        <v>739</v>
      </c>
      <c r="F23" s="325">
        <f>'数据-取费表'!B20</f>
        <v>2</v>
      </c>
      <c r="G23" s="1394"/>
      <c r="H23" s="980" t="s">
        <v>437</v>
      </c>
      <c r="I23" s="302" t="s">
        <v>740</v>
      </c>
      <c r="J23" s="21">
        <f ca="1">ROUND(J13*M23,0)</f>
        <v>0</v>
      </c>
      <c r="K23" s="3467" t="s">
        <v>741</v>
      </c>
      <c r="L23" s="302" t="s">
        <v>710</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399</v>
      </c>
      <c r="B24" s="302" t="s">
        <v>744</v>
      </c>
      <c r="C24" s="21">
        <f>ROUND(IF('数据-取费表'!B22&lt;=1,F21*F24*F23/2,F21*(POWER((1+F24),F23/2)-1)),4)</f>
        <v>6.9999999999999999E-4</v>
      </c>
      <c r="D24" s="329" t="str">
        <f>IF(F23&lt;=1,"销售费用×利率×(建设周期÷2)","销售费用×((1+利率)^(建设周期÷2)-1)")</f>
        <v>销售费用×((1+利率)^(建设周期÷2)-1)</v>
      </c>
      <c r="E24" s="302" t="s">
        <v>745</v>
      </c>
      <c r="F24" s="331">
        <f>'数据-取费表'!B40</f>
        <v>3.3500000000000002E-2</v>
      </c>
      <c r="G24" s="1394"/>
      <c r="H24" s="1087" t="s">
        <v>681</v>
      </c>
      <c r="I24" s="1088" t="s">
        <v>726</v>
      </c>
      <c r="J24" s="1089">
        <f ca="1">ROUND(J5*M24,0)</f>
        <v>0</v>
      </c>
      <c r="K24" s="1090" t="s">
        <v>746</v>
      </c>
      <c r="L24" s="1088" t="s">
        <v>710</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747</v>
      </c>
      <c r="B25" s="302" t="s">
        <v>748</v>
      </c>
      <c r="C25" s="21"/>
      <c r="D25" s="131" t="s">
        <v>749</v>
      </c>
      <c r="E25" s="3479"/>
      <c r="F25" s="23"/>
      <c r="G25" s="1382"/>
      <c r="H25" s="1077" t="s">
        <v>394</v>
      </c>
      <c r="I25" s="1092" t="s">
        <v>750</v>
      </c>
      <c r="J25" s="310">
        <f ca="1">J5-J16</f>
        <v>-7597</v>
      </c>
      <c r="K25" s="1093" t="s">
        <v>751</v>
      </c>
      <c r="L25" s="1094"/>
      <c r="M25" s="1095"/>
      <c r="N25" s="1382" t="e">
        <f ca="1">J25/J5</f>
        <v>#DIV/0!</v>
      </c>
    </row>
    <row r="26" spans="1:37" ht="18" customHeight="1">
      <c r="A26" s="980" t="s">
        <v>397</v>
      </c>
      <c r="B26" s="302" t="s">
        <v>752</v>
      </c>
      <c r="C26" s="21">
        <f ca="1">ROUND((C19+C20)*F26,0)</f>
        <v>227138</v>
      </c>
      <c r="D26" s="2425" t="s">
        <v>753</v>
      </c>
      <c r="E26" s="313" t="s">
        <v>754</v>
      </c>
      <c r="F26" s="312">
        <f ca="1">INDIRECT("'数据-取费表'!q"&amp;$G$1)</f>
        <v>0.2</v>
      </c>
      <c r="G26" s="1382"/>
      <c r="H26" s="299" t="s">
        <v>395</v>
      </c>
      <c r="I26" s="300" t="s">
        <v>755</v>
      </c>
      <c r="J26" s="301">
        <f ca="1">IF(J5&lt;&gt;0,ROUND(J25*(1-((1+M28)/(1+M26))^M27)/(M26-M28),0),0)</f>
        <v>0</v>
      </c>
      <c r="K26" s="324" t="s">
        <v>756</v>
      </c>
      <c r="L26" s="302" t="s">
        <v>757</v>
      </c>
      <c r="M26" s="312">
        <f ca="1">INDIRECT("'数据-取费表'!I"&amp;$G$1)</f>
        <v>5.5E-2</v>
      </c>
    </row>
    <row r="27" spans="1:37" ht="18" customHeight="1">
      <c r="A27" s="980" t="s">
        <v>399</v>
      </c>
      <c r="B27" s="302" t="s">
        <v>758</v>
      </c>
      <c r="C27" s="21">
        <f ca="1">ROUND(F21*F26,4)</f>
        <v>4.0000000000000001E-3</v>
      </c>
      <c r="D27" s="2425" t="s">
        <v>759</v>
      </c>
      <c r="E27" s="3463"/>
      <c r="F27" s="321"/>
      <c r="G27" s="1382"/>
      <c r="H27" s="304"/>
      <c r="I27" s="305"/>
      <c r="J27" s="306"/>
      <c r="K27" s="332" t="s">
        <v>760</v>
      </c>
      <c r="L27" s="302" t="s">
        <v>761</v>
      </c>
      <c r="M27" s="333">
        <f ca="1">INDIRECT("'数据-取费表'!ag"&amp;$G$1)</f>
        <v>0</v>
      </c>
    </row>
    <row r="28" spans="1:37" s="1395" customFormat="1" ht="18" customHeight="1">
      <c r="A28" s="980" t="s">
        <v>400</v>
      </c>
      <c r="B28" s="302" t="s">
        <v>762</v>
      </c>
      <c r="C28" s="21">
        <f>ROUND(F28/(1+'数据-取费表'!C42),4)</f>
        <v>5.33E-2</v>
      </c>
      <c r="D28" s="2425" t="s">
        <v>763</v>
      </c>
      <c r="E28" s="302" t="s">
        <v>710</v>
      </c>
      <c r="F28" s="322">
        <f>'数据-取费表'!B41</f>
        <v>5.6000000000000001E-2</v>
      </c>
      <c r="G28" s="1394"/>
      <c r="H28" s="308"/>
      <c r="I28" s="309"/>
      <c r="J28" s="310"/>
      <c r="K28" s="327"/>
      <c r="L28" s="302" t="s">
        <v>764</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765</v>
      </c>
      <c r="C29" s="1089">
        <f ca="1">ROUND((C19+C20+C23+C26)/(1-F21-C24-C27-C28),0)</f>
        <v>1519384</v>
      </c>
      <c r="D29" s="1090"/>
      <c r="E29" s="1088"/>
      <c r="F29" s="1091"/>
      <c r="G29" s="1394"/>
      <c r="H29" s="334" t="s">
        <v>396</v>
      </c>
      <c r="I29" s="335" t="s">
        <v>766</v>
      </c>
      <c r="J29" s="336">
        <f ca="1">ROUND(J26/(1+F40)^F41,0)</f>
        <v>0</v>
      </c>
      <c r="K29" s="337" t="s">
        <v>767</v>
      </c>
      <c r="L29" s="338"/>
      <c r="M29" s="339">
        <f ca="1">INDIRECT("'数据-取费表'!k"&amp;$G$1)</f>
        <v>253.05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712</v>
      </c>
      <c r="C30" s="310">
        <f ca="1">ROUND(C31+C36+C37+C38,0)</f>
        <v>77546</v>
      </c>
      <c r="D30" s="1085" t="s">
        <v>713</v>
      </c>
      <c r="E30" s="3469"/>
      <c r="F30" s="1070"/>
      <c r="G30" s="1382"/>
      <c r="H30" s="2694"/>
      <c r="I30" s="1396"/>
      <c r="J30" s="1397"/>
      <c r="K30" s="2472"/>
      <c r="L30" s="2695"/>
      <c r="M30" s="2696"/>
    </row>
    <row r="31" spans="1:37" ht="18" customHeight="1">
      <c r="A31" s="980" t="s">
        <v>398</v>
      </c>
      <c r="B31" s="302" t="s">
        <v>717</v>
      </c>
      <c r="C31" s="2314">
        <f ca="1">ROUND(IF(AND(项目基本情况!B11="自然人",项目基本情况!B10="北京市"),C6*F31/(1+'数据-取费表'!C42),C32+C33+C34),0)</f>
        <v>64745</v>
      </c>
      <c r="D31" s="3468" t="s">
        <v>718</v>
      </c>
      <c r="E31" s="3467" t="s">
        <v>768</v>
      </c>
      <c r="F31" s="2313" t="str">
        <f>IF(项目基本情况!B11="企业","——",IF(M47="住宅",IF(F6*F7*F8/12/(1+'数据-取费表'!F30)&gt;100000,4%,2.5%),IF(F6*F7*F8/12/(1+'数据-取费表'!F30)&gt;100000,12%,7%)))</f>
        <v>——</v>
      </c>
      <c r="G31" s="1382"/>
      <c r="H31" s="2805" t="s">
        <v>2305</v>
      </c>
      <c r="I31" s="1396"/>
      <c r="J31" s="1397"/>
      <c r="K31" s="2472"/>
      <c r="L31" s="2695"/>
      <c r="M31" s="2696"/>
    </row>
    <row r="32" spans="1:37" ht="18" customHeight="1">
      <c r="A32" s="980" t="s">
        <v>397</v>
      </c>
      <c r="B32" s="302" t="s">
        <v>721</v>
      </c>
      <c r="C32" s="21">
        <f ca="1">IF(项目基本情况!B11="自然人","——",ROUND(C6*F32/(1+'数据-取费表'!C42),0))</f>
        <v>20601</v>
      </c>
      <c r="D32" s="3467" t="s">
        <v>722</v>
      </c>
      <c r="E32" s="302" t="s">
        <v>710</v>
      </c>
      <c r="F32" s="331">
        <f>'数据-取费表'!B41</f>
        <v>5.6000000000000001E-2</v>
      </c>
      <c r="G32" s="1382"/>
      <c r="H32" s="2694"/>
      <c r="I32" s="1396"/>
      <c r="J32" s="1397"/>
      <c r="K32" s="2472"/>
      <c r="L32" s="2695"/>
      <c r="M32" s="2696"/>
    </row>
    <row r="33" spans="1:18" ht="18" customHeight="1">
      <c r="A33" s="980" t="s">
        <v>399</v>
      </c>
      <c r="B33" s="302" t="s">
        <v>725</v>
      </c>
      <c r="C33" s="21">
        <f ca="1">IF(项目基本情况!B11="自然人","——",IF(D33="按租金收入计税",ROUND(C6*F33/(1+'数据-取费表'!C42),0),IF(D33="按房产原值计税",ROUND(C29*F33*0.7,0),INDIRECT("'数据-取费表'!Aj"&amp;$G$1))))</f>
        <v>44144</v>
      </c>
      <c r="D33" s="1368" t="s">
        <v>3334</v>
      </c>
      <c r="E33" s="302" t="s">
        <v>710</v>
      </c>
      <c r="F33" s="322">
        <f>IF(D33="按票据","——",IF(D33="按租金收入计税",'数据-取费表'!B51,'数据-取费表'!B50))</f>
        <v>0.12</v>
      </c>
      <c r="G33" s="1382"/>
      <c r="H33" s="2697"/>
      <c r="I33" s="1396"/>
      <c r="J33" s="1397"/>
      <c r="K33" s="2698"/>
      <c r="L33" s="2697"/>
      <c r="M33" s="2697"/>
    </row>
    <row r="34" spans="1:18" ht="18" customHeight="1">
      <c r="A34" s="1067" t="s">
        <v>678</v>
      </c>
      <c r="B34" s="155" t="s">
        <v>728</v>
      </c>
      <c r="C34" s="22">
        <f ca="1">IF(项目基本情况!B11="自然人","——",ROUND(F34*F35,0))</f>
        <v>0</v>
      </c>
      <c r="D34" s="324" t="s">
        <v>729</v>
      </c>
      <c r="E34" s="302" t="s">
        <v>730</v>
      </c>
      <c r="F34" s="325">
        <f>'数据-取费表'!B52</f>
        <v>1.5</v>
      </c>
      <c r="G34" s="1382"/>
      <c r="H34" s="2694"/>
      <c r="I34" s="1396"/>
      <c r="J34" s="1397"/>
      <c r="K34" s="2699"/>
      <c r="L34" s="2700"/>
      <c r="M34" s="2700"/>
    </row>
    <row r="35" spans="1:18" ht="18" customHeight="1">
      <c r="A35" s="1101"/>
      <c r="B35" s="1099"/>
      <c r="C35" s="26"/>
      <c r="D35" s="327"/>
      <c r="E35" s="302" t="s">
        <v>734</v>
      </c>
      <c r="F35" s="303">
        <f ca="1">INDIRECT("'数据-取费表'!r"&amp;$G$1)</f>
        <v>0</v>
      </c>
      <c r="G35" s="1382"/>
      <c r="H35" s="2694"/>
      <c r="I35" s="1396"/>
      <c r="J35" s="1397"/>
      <c r="K35" s="2698"/>
      <c r="L35" s="2697"/>
      <c r="M35" s="2697"/>
    </row>
    <row r="36" spans="1:18" ht="18" customHeight="1">
      <c r="A36" s="1100" t="s">
        <v>402</v>
      </c>
      <c r="B36" s="302" t="s">
        <v>736</v>
      </c>
      <c r="C36" s="21">
        <f ca="1">ROUND(C29*F36,0)</f>
        <v>7597</v>
      </c>
      <c r="D36" s="3467" t="s">
        <v>769</v>
      </c>
      <c r="E36" s="302" t="s">
        <v>710</v>
      </c>
      <c r="F36" s="328">
        <f ca="1">INDIRECT("'数据-取费表'!Ak"&amp;$G$1)</f>
        <v>5.0000000000000001E-3</v>
      </c>
      <c r="G36" s="1382"/>
      <c r="H36" s="2697"/>
      <c r="I36" s="1396"/>
      <c r="J36" s="1397"/>
      <c r="K36" s="2541"/>
      <c r="L36" s="2697"/>
      <c r="M36" s="2697"/>
    </row>
    <row r="37" spans="1:18" ht="18" customHeight="1">
      <c r="A37" s="980" t="s">
        <v>437</v>
      </c>
      <c r="B37" s="302" t="s">
        <v>740</v>
      </c>
      <c r="C37" s="21">
        <f ca="1">ROUND(C13*F37,0)</f>
        <v>1337</v>
      </c>
      <c r="D37" s="3467" t="s">
        <v>741</v>
      </c>
      <c r="E37" s="302" t="s">
        <v>710</v>
      </c>
      <c r="F37" s="330">
        <f ca="1">INDIRECT("'数据-取费表'!Al"&amp;$G$1)</f>
        <v>1E-3</v>
      </c>
      <c r="G37" s="1382"/>
      <c r="H37" s="2697"/>
      <c r="I37" s="1396"/>
      <c r="J37" s="1397"/>
      <c r="K37" s="2541"/>
      <c r="L37" s="2697"/>
      <c r="M37" s="2697"/>
    </row>
    <row r="38" spans="1:18" ht="18" customHeight="1" thickBot="1">
      <c r="A38" s="1087" t="s">
        <v>681</v>
      </c>
      <c r="B38" s="1088" t="s">
        <v>726</v>
      </c>
      <c r="C38" s="1089">
        <f ca="1">ROUND(C5*F38,0)</f>
        <v>3867</v>
      </c>
      <c r="D38" s="1090" t="s">
        <v>746</v>
      </c>
      <c r="E38" s="1088" t="s">
        <v>710</v>
      </c>
      <c r="F38" s="1084">
        <f ca="1">INDIRECT("'数据-取费表'!Am"&amp;$G$1)</f>
        <v>0.01</v>
      </c>
      <c r="G38" s="1382"/>
      <c r="H38" s="2697"/>
      <c r="I38" s="1396"/>
      <c r="J38" s="1397"/>
      <c r="K38" s="2701"/>
      <c r="L38" s="2697"/>
      <c r="M38" s="2697"/>
    </row>
    <row r="39" spans="1:18" ht="24.6" customHeight="1" thickTop="1">
      <c r="A39" s="1077" t="s">
        <v>394</v>
      </c>
      <c r="B39" s="1092" t="s">
        <v>770</v>
      </c>
      <c r="C39" s="310">
        <f ca="1">C5-C30</f>
        <v>309200</v>
      </c>
      <c r="D39" s="1093" t="s">
        <v>771</v>
      </c>
      <c r="E39" s="1094"/>
      <c r="F39" s="1095"/>
      <c r="G39" s="1382"/>
      <c r="H39" s="2697"/>
      <c r="I39" s="1396"/>
      <c r="J39" s="1397"/>
      <c r="K39" s="2701"/>
      <c r="L39" s="2697"/>
      <c r="M39" s="2697"/>
    </row>
    <row r="40" spans="1:18" ht="18" customHeight="1">
      <c r="A40" s="299" t="s">
        <v>395</v>
      </c>
      <c r="B40" s="300" t="s">
        <v>772</v>
      </c>
      <c r="C40" s="301">
        <f ca="1">ROUND(C39*(1-((1+F42)/(1+F40))^F41)/(F40-F42),0)</f>
        <v>5623563</v>
      </c>
      <c r="D40" s="324" t="s">
        <v>756</v>
      </c>
      <c r="E40" s="302" t="s">
        <v>757</v>
      </c>
      <c r="F40" s="312">
        <f ca="1">INDIRECT("'数据-取费表'!I"&amp;$G$1)</f>
        <v>5.5E-2</v>
      </c>
      <c r="G40" s="1382"/>
      <c r="H40" s="1459"/>
      <c r="I40" s="1396"/>
      <c r="J40" s="1397"/>
      <c r="K40" s="2701"/>
      <c r="L40" s="1459"/>
      <c r="M40" s="1459"/>
    </row>
    <row r="41" spans="1:18" ht="18" customHeight="1">
      <c r="A41" s="304"/>
      <c r="B41" s="305"/>
      <c r="C41" s="306"/>
      <c r="D41" s="332" t="s">
        <v>773</v>
      </c>
      <c r="E41" s="302" t="s">
        <v>761</v>
      </c>
      <c r="F41" s="333">
        <f ca="1">IF(INDIRECT("'数据-取费表'!af"&amp;$G$1)=0,INDIRECT("'数据-取费表'!ae"&amp;$G$1),INDIRECT("'数据-取费表'!af"&amp;$G$1))</f>
        <v>30</v>
      </c>
      <c r="G41" s="1382"/>
      <c r="H41" s="1189">
        <f ca="1">C39/C5</f>
        <v>0.7994911388870215</v>
      </c>
      <c r="I41" s="1396"/>
      <c r="J41" s="1397"/>
      <c r="K41" s="2541"/>
      <c r="L41" s="1189"/>
      <c r="M41" s="1189"/>
    </row>
    <row r="42" spans="1:18" ht="18" customHeight="1">
      <c r="A42" s="308"/>
      <c r="B42" s="309"/>
      <c r="C42" s="310"/>
      <c r="D42" s="327"/>
      <c r="E42" s="302" t="s">
        <v>764</v>
      </c>
      <c r="F42" s="312">
        <f ca="1">INDIRECT("'数据-取费表'!v"&amp;$G$1)</f>
        <v>0.02</v>
      </c>
      <c r="G42" s="1382"/>
      <c r="H42" s="1189"/>
      <c r="I42" s="1396"/>
      <c r="J42" s="1397"/>
      <c r="K42" s="2541"/>
      <c r="L42" s="1189"/>
      <c r="M42" s="1189"/>
    </row>
    <row r="43" spans="1:18" ht="18" customHeight="1" thickBot="1">
      <c r="A43" s="334" t="s">
        <v>396</v>
      </c>
      <c r="B43" s="335" t="s">
        <v>774</v>
      </c>
      <c r="C43" s="336">
        <f ca="1">ROUND(C40/F43,0)</f>
        <v>22223</v>
      </c>
      <c r="D43" s="337" t="s">
        <v>775</v>
      </c>
      <c r="E43" s="338" t="s">
        <v>776</v>
      </c>
      <c r="F43" s="339">
        <f ca="1">INDIRECT("'数据-取费表'!k"&amp;$G$1)</f>
        <v>253.05</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8" t="s">
        <v>3350</v>
      </c>
      <c r="B45" s="1398"/>
      <c r="C45" s="1470">
        <f ca="1">ROUND((C68-C40)/10000,4)</f>
        <v>-575.34069999999997</v>
      </c>
      <c r="D45" s="3429" t="s">
        <v>3351</v>
      </c>
      <c r="E45" s="1398"/>
      <c r="F45" s="1398"/>
      <c r="O45" s="1401" t="s">
        <v>806</v>
      </c>
      <c r="P45" s="1459"/>
      <c r="Q45" s="1459"/>
      <c r="R45" s="1459"/>
    </row>
    <row r="46" spans="1:18" s="1382" customFormat="1" ht="13.8" thickBot="1">
      <c r="A46" s="1402" t="s">
        <v>807</v>
      </c>
      <c r="C46" s="1403">
        <f ca="1">ROUND(C45,0)</f>
        <v>-575</v>
      </c>
      <c r="D46" s="1404" t="str">
        <f>C2</f>
        <v>万元</v>
      </c>
      <c r="I46" s="1405" t="s">
        <v>808</v>
      </c>
      <c r="J46" s="1406"/>
      <c r="K46" s="1407"/>
      <c r="L46" s="1408">
        <f ca="1">IF(M47="住宅",0,IF(L48&gt;J51,L60,J60))</f>
        <v>69418</v>
      </c>
      <c r="O46" s="1409" t="s">
        <v>809</v>
      </c>
      <c r="P46" s="1410" t="s">
        <v>810</v>
      </c>
      <c r="Q46" s="1411" t="s">
        <v>811</v>
      </c>
      <c r="R46" s="1411" t="s">
        <v>812</v>
      </c>
    </row>
    <row r="47" spans="1:18" s="1382" customFormat="1" ht="13.8" thickBot="1">
      <c r="A47" s="944" t="s">
        <v>685</v>
      </c>
      <c r="B47" s="976" t="s">
        <v>686</v>
      </c>
      <c r="C47" s="976" t="s">
        <v>687</v>
      </c>
      <c r="D47" s="976" t="s">
        <v>688</v>
      </c>
      <c r="E47" s="1056" t="s">
        <v>689</v>
      </c>
      <c r="F47" s="1057"/>
      <c r="G47" s="720"/>
      <c r="I47" s="1412" t="s">
        <v>813</v>
      </c>
      <c r="J47" s="1413" t="s">
        <v>3395</v>
      </c>
      <c r="K47" s="1414" t="s">
        <v>814</v>
      </c>
      <c r="L47" s="1415">
        <f ca="1">INDIRECT("'数据-取费表'!d"&amp;$G$1)</f>
        <v>40</v>
      </c>
      <c r="M47" s="1378" t="str">
        <f>IF(ISNUMBER(FIND("住宅",C1)),"住宅","非住宅")</f>
        <v>非住宅</v>
      </c>
      <c r="O47" s="1416" t="s">
        <v>403</v>
      </c>
      <c r="P47" s="1417" t="s">
        <v>815</v>
      </c>
      <c r="Q47" s="1418">
        <f ca="1">C40+J29</f>
        <v>5623563</v>
      </c>
      <c r="R47" s="1418" t="s">
        <v>816</v>
      </c>
    </row>
    <row r="48" spans="1:18" s="1382" customFormat="1" ht="40.200000000000003" thickBot="1">
      <c r="A48" s="1108" t="s">
        <v>438</v>
      </c>
      <c r="B48" s="300" t="s">
        <v>690</v>
      </c>
      <c r="C48" s="3478">
        <f ca="1">C49+C53+C55</f>
        <v>0</v>
      </c>
      <c r="D48" s="1110"/>
      <c r="E48" s="1111"/>
      <c r="F48" s="960"/>
      <c r="G48" s="720"/>
      <c r="H48" s="721"/>
      <c r="I48" s="1419" t="s">
        <v>817</v>
      </c>
      <c r="J48" s="1420" t="s">
        <v>3396</v>
      </c>
      <c r="K48" s="1421" t="s">
        <v>818</v>
      </c>
      <c r="L48" s="1422">
        <f ca="1">INDIRECT("'数据-取费表'!f"&amp;$G$1)</f>
        <v>30</v>
      </c>
      <c r="O48" s="1416" t="s">
        <v>404</v>
      </c>
      <c r="P48" s="1417" t="s">
        <v>819</v>
      </c>
      <c r="Q48" s="1418">
        <f ca="1">J60</f>
        <v>69418</v>
      </c>
      <c r="R48" s="1418" t="s">
        <v>820</v>
      </c>
    </row>
    <row r="49" spans="1:18" s="1382" customFormat="1" ht="13.8" thickBot="1">
      <c r="A49" s="973" t="s">
        <v>439</v>
      </c>
      <c r="B49" s="1369" t="s">
        <v>777</v>
      </c>
      <c r="C49" s="1112">
        <f ca="1">ROUND(F49*F51*F50*(1-F52),0)</f>
        <v>0</v>
      </c>
      <c r="D49" s="1053" t="s">
        <v>693</v>
      </c>
      <c r="E49" s="1370" t="s">
        <v>778</v>
      </c>
      <c r="F49" s="1058"/>
      <c r="G49" s="1423"/>
      <c r="H49" s="721"/>
      <c r="I49" s="1419" t="s">
        <v>821</v>
      </c>
      <c r="J49" s="1424">
        <f>'数据-取费表'!L21</f>
        <v>2017</v>
      </c>
      <c r="K49" s="1421" t="s">
        <v>822</v>
      </c>
      <c r="L49" s="1425"/>
      <c r="O49" s="1426" t="s">
        <v>405</v>
      </c>
      <c r="P49" s="1417" t="s">
        <v>823</v>
      </c>
      <c r="Q49" s="1418">
        <f ca="1">C29</f>
        <v>1519384</v>
      </c>
      <c r="R49" s="1418" t="s">
        <v>816</v>
      </c>
    </row>
    <row r="50" spans="1:18" s="1382" customFormat="1" ht="13.8" thickBot="1">
      <c r="A50" s="974"/>
      <c r="B50" s="977"/>
      <c r="C50" s="978"/>
      <c r="D50" s="951"/>
      <c r="E50" s="1054" t="s">
        <v>695</v>
      </c>
      <c r="F50" s="1055">
        <f ca="1">F7</f>
        <v>253.05</v>
      </c>
      <c r="H50" s="721"/>
      <c r="I50" s="1419" t="s">
        <v>824</v>
      </c>
      <c r="J50" s="1427">
        <f>SUMPRODUCT((I63:I65=J47)*(J62:L62=J48)*(J63:L65))</f>
        <v>60</v>
      </c>
      <c r="K50" s="1421" t="s">
        <v>825</v>
      </c>
      <c r="L50" s="1425"/>
      <c r="M50" s="1428"/>
      <c r="O50" s="1426" t="s">
        <v>406</v>
      </c>
      <c r="P50" s="1417" t="s">
        <v>826</v>
      </c>
      <c r="Q50" s="1429">
        <f ca="1">J58</f>
        <v>0.4</v>
      </c>
      <c r="R50" s="1418"/>
    </row>
    <row r="51" spans="1:18" s="1382" customFormat="1" ht="13.8" thickBot="1">
      <c r="A51" s="975"/>
      <c r="B51" s="977"/>
      <c r="C51" s="978"/>
      <c r="D51" s="951"/>
      <c r="E51" s="979" t="s">
        <v>696</v>
      </c>
      <c r="F51" s="303">
        <f ca="1">F8</f>
        <v>365</v>
      </c>
      <c r="I51" s="1430" t="s">
        <v>827</v>
      </c>
      <c r="J51" s="1431">
        <f>IF(J49="",J50,J49+J50-YEAR('数据-取费表'!B2))</f>
        <v>53</v>
      </c>
      <c r="K51" s="1432" t="s">
        <v>828</v>
      </c>
      <c r="L51" s="1433">
        <f ca="1">ROUND(-PV(INDIRECT("'数据-取费表'!h"&amp;$G$1),J51,(C39-C13*C76),0),0)</f>
        <v>3987288</v>
      </c>
      <c r="M51" s="1434"/>
      <c r="O51" s="1426" t="s">
        <v>407</v>
      </c>
      <c r="P51" s="1417" t="s">
        <v>829</v>
      </c>
      <c r="Q51" s="1429">
        <f>J52</f>
        <v>7.4999999999999997E-2</v>
      </c>
      <c r="R51" s="1418"/>
    </row>
    <row r="52" spans="1:18" s="1382" customFormat="1" ht="13.8" thickBot="1">
      <c r="A52" s="975"/>
      <c r="B52" s="977"/>
      <c r="C52" s="978"/>
      <c r="D52" s="951"/>
      <c r="E52" s="979" t="s">
        <v>697</v>
      </c>
      <c r="F52" s="1052"/>
      <c r="I52" s="1435" t="s">
        <v>830</v>
      </c>
      <c r="J52" s="1436">
        <v>7.4999999999999997E-2</v>
      </c>
      <c r="K52" s="1435" t="s">
        <v>831</v>
      </c>
      <c r="L52" s="1436"/>
      <c r="O52" s="1426" t="s">
        <v>408</v>
      </c>
      <c r="P52" s="1417" t="s">
        <v>832</v>
      </c>
      <c r="Q52" s="1418">
        <f ca="1">J53</f>
        <v>30</v>
      </c>
      <c r="R52" s="1418" t="s">
        <v>833</v>
      </c>
    </row>
    <row r="53" spans="1:18" s="1382" customFormat="1" ht="30.75" customHeight="1" thickBot="1">
      <c r="A53" s="1109" t="s">
        <v>440</v>
      </c>
      <c r="B53" s="2425" t="s">
        <v>698</v>
      </c>
      <c r="C53" s="316">
        <f ca="1">ROUND(IF(F53="押一",C49/12*F11,IF(F53="押二",C49/12*2*F11,IF(F53="押三",C49/12*3*F11,C54*F11))),0)</f>
        <v>0</v>
      </c>
      <c r="D53" s="1364" t="s">
        <v>2114</v>
      </c>
      <c r="E53" s="313" t="s">
        <v>699</v>
      </c>
      <c r="F53" s="1114"/>
      <c r="I53" s="1437" t="s">
        <v>834</v>
      </c>
      <c r="J53" s="2166">
        <f ca="1">IF(M47="住宅",IF(D1="——",MAX(J51,L48),MAX(J51,L48-'数据-取费表'!B24)),IF(D1="——",MIN(J51,L48),MIN(J51,L48-'数据-取费表'!B24)))</f>
        <v>30</v>
      </c>
      <c r="K53" s="3701" t="s">
        <v>835</v>
      </c>
      <c r="L53" s="3702"/>
      <c r="O53" s="1416" t="s">
        <v>409</v>
      </c>
      <c r="P53" s="1417" t="s">
        <v>836</v>
      </c>
      <c r="Q53" s="1418">
        <f ca="1">Q47+Q48</f>
        <v>5692981</v>
      </c>
      <c r="R53" s="1418" t="s">
        <v>410</v>
      </c>
    </row>
    <row r="54" spans="1:18" s="1382" customFormat="1" ht="13.8" thickBot="1">
      <c r="A54" s="973"/>
      <c r="B54" s="1471" t="s">
        <v>889</v>
      </c>
      <c r="C54" s="957"/>
      <c r="D54" s="1364"/>
      <c r="E54" s="3470"/>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837</v>
      </c>
      <c r="P54" s="1379"/>
      <c r="Q54" s="1379"/>
      <c r="R54" s="1379"/>
    </row>
    <row r="55" spans="1:18" s="1382" customFormat="1" ht="13.8" thickBot="1">
      <c r="A55" s="1081" t="s">
        <v>437</v>
      </c>
      <c r="B55" s="1367" t="s">
        <v>701</v>
      </c>
      <c r="C55" s="1082"/>
      <c r="D55" s="1364"/>
      <c r="E55" s="3470"/>
      <c r="F55" s="1438"/>
      <c r="I55" s="1441" t="s">
        <v>838</v>
      </c>
      <c r="J55" s="1442">
        <f ca="1">ROUND(IF(J47="钢混",J57/J50,1-(1-2%)*(J50-J57)/J50),3)</f>
        <v>0.38300000000000001</v>
      </c>
      <c r="K55" s="1443" t="s">
        <v>839</v>
      </c>
      <c r="L55" s="1444"/>
      <c r="O55" s="1409" t="s">
        <v>809</v>
      </c>
      <c r="P55" s="1410" t="s">
        <v>810</v>
      </c>
      <c r="Q55" s="1411" t="s">
        <v>811</v>
      </c>
      <c r="R55" s="1411" t="s">
        <v>812</v>
      </c>
    </row>
    <row r="56" spans="1:18" s="1382" customFormat="1" ht="36" customHeight="1" thickTop="1" thickBot="1">
      <c r="A56" s="955">
        <v>2</v>
      </c>
      <c r="B56" s="956" t="s">
        <v>702</v>
      </c>
      <c r="C56" s="232">
        <f ca="1">C13</f>
        <v>1337058</v>
      </c>
      <c r="D56" s="1445"/>
      <c r="E56" s="1446"/>
      <c r="F56" s="1438"/>
      <c r="I56" s="1447" t="s">
        <v>840</v>
      </c>
      <c r="J56" s="1448" t="s">
        <v>3397</v>
      </c>
      <c r="K56" s="1419" t="s">
        <v>841</v>
      </c>
      <c r="L56" s="1422" t="str">
        <f ca="1">IF(L48&lt;J51,"——",L48-J51)</f>
        <v>——</v>
      </c>
      <c r="O56" s="1416" t="s">
        <v>403</v>
      </c>
      <c r="P56" s="1417" t="s">
        <v>815</v>
      </c>
      <c r="Q56" s="1418">
        <f ca="1">C40+J29</f>
        <v>5623563</v>
      </c>
      <c r="R56" s="1418" t="s">
        <v>816</v>
      </c>
    </row>
    <row r="57" spans="1:18" s="1382" customFormat="1" ht="24.6" thickBot="1">
      <c r="A57" s="1449"/>
      <c r="B57" s="948" t="s">
        <v>765</v>
      </c>
      <c r="C57" s="238">
        <f ca="1">C29</f>
        <v>1519384</v>
      </c>
      <c r="D57" s="1450"/>
      <c r="E57" s="1451"/>
      <c r="F57" s="1452"/>
      <c r="I57" s="1453" t="s">
        <v>842</v>
      </c>
      <c r="J57" s="1454">
        <f ca="1">IF(OR(M47="住宅",J51&lt;L48,J56="是"),"——",J51-L48)</f>
        <v>23</v>
      </c>
      <c r="K57" s="1419" t="s">
        <v>890</v>
      </c>
      <c r="L57" s="1422" t="str">
        <f ca="1">IF(L48&lt;J51,"——",IF(L55="比较法",L49,IF(L55="基准地价",L50,L51)))</f>
        <v>——</v>
      </c>
      <c r="O57" s="1416" t="s">
        <v>404</v>
      </c>
      <c r="P57" s="1417" t="s">
        <v>844</v>
      </c>
      <c r="Q57" s="1418">
        <f ca="1">L60</f>
        <v>0</v>
      </c>
      <c r="R57" s="1418" t="s">
        <v>845</v>
      </c>
    </row>
    <row r="58" spans="1:18" s="1382" customFormat="1" ht="24.6" thickBot="1">
      <c r="A58" s="315" t="s">
        <v>393</v>
      </c>
      <c r="B58" s="956" t="s">
        <v>712</v>
      </c>
      <c r="C58" s="316">
        <f ca="1">ROUND(C59+C64+C65+C66,0)</f>
        <v>8934</v>
      </c>
      <c r="D58" s="958" t="s">
        <v>713</v>
      </c>
      <c r="E58" s="959"/>
      <c r="F58" s="960"/>
      <c r="I58" s="1453" t="s">
        <v>846</v>
      </c>
      <c r="J58" s="1455">
        <f ca="1">IF(J55&lt;0.4,0.4,J55)</f>
        <v>0.4</v>
      </c>
      <c r="K58" s="1432" t="s">
        <v>893</v>
      </c>
      <c r="L58" s="1422" t="e">
        <f ca="1">ROUND(POWER(1+L52,L47-L48)*(POWER(1+L52,L48)-1)/(POWER(1+L52,L47)-1),4)</f>
        <v>#DIV/0!</v>
      </c>
      <c r="O58" s="1426" t="s">
        <v>405</v>
      </c>
      <c r="P58" s="1417" t="s">
        <v>848</v>
      </c>
      <c r="Q58" s="1418">
        <f>IF(L55="比较法",L49,IF(L55="基准地价",L50,0))</f>
        <v>0</v>
      </c>
      <c r="R58" s="1418" t="s">
        <v>816</v>
      </c>
    </row>
    <row r="59" spans="1:18" s="1382" customFormat="1" ht="24.6" thickBot="1">
      <c r="A59" s="980" t="s">
        <v>398</v>
      </c>
      <c r="B59" s="948" t="s">
        <v>717</v>
      </c>
      <c r="C59" s="2314">
        <f ca="1">ROUND(IF(AND(项目基本情况!B11="自然人",项目基本情况!B10="北京市"),C49*F59/(1+'数据-取费表'!C42),C60+C61+C62),0)</f>
        <v>0</v>
      </c>
      <c r="D59" s="961" t="s">
        <v>718</v>
      </c>
      <c r="E59" s="962" t="s">
        <v>719</v>
      </c>
      <c r="F59" s="2313" t="str">
        <f>IF(项目基本情况!B11="企业","——",IF('数据-取费表'!B10="住宅",IF(F49*F50*F51/12/(1+'数据-取费表'!F30)&gt;100000,4%,2.5%),IF(F49*F50*F51/12/(1+'数据-取费表'!F30)&gt;100000,12%,7%)))</f>
        <v>——</v>
      </c>
      <c r="I59" s="1453" t="s">
        <v>849</v>
      </c>
      <c r="J59" s="1454">
        <f ca="1">IF(OR(M47="住宅",J51&lt;L48,J56="是"),"——",ROUND(C29*J58,0))</f>
        <v>607754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850</v>
      </c>
      <c r="Q59" s="1429">
        <f>L52</f>
        <v>0</v>
      </c>
      <c r="R59" s="1418"/>
    </row>
    <row r="60" spans="1:18" s="1382" customFormat="1" ht="16.2" thickBot="1">
      <c r="A60" s="980" t="s">
        <v>397</v>
      </c>
      <c r="B60" s="948" t="s">
        <v>721</v>
      </c>
      <c r="C60" s="21">
        <f ca="1">IF(项目基本情况!B11="自然人","——",ROUND(C48*F60/(1+'数据-取费表'!C42),0))</f>
        <v>0</v>
      </c>
      <c r="D60" s="962" t="s">
        <v>722</v>
      </c>
      <c r="E60" s="948" t="s">
        <v>710</v>
      </c>
      <c r="F60" s="331">
        <f t="shared" ref="F60:F66" si="0">F32</f>
        <v>5.6000000000000001E-2</v>
      </c>
      <c r="I60" s="1456" t="s">
        <v>851</v>
      </c>
      <c r="J60" s="1457">
        <f ca="1">IF(OR(M47="住宅",J51&lt;L48,J56="是"),"0",ROUND(J59/(1+J52)^J53,0))</f>
        <v>69418</v>
      </c>
      <c r="K60" s="1458" t="s">
        <v>852</v>
      </c>
      <c r="L60" s="1457">
        <f ca="1">IF(OR(M47="住宅",L48&lt;J51),0,ROUND(L57*(L58/L59-1),0))</f>
        <v>0</v>
      </c>
      <c r="O60" s="1426" t="s">
        <v>407</v>
      </c>
      <c r="P60" s="1417" t="s">
        <v>853</v>
      </c>
      <c r="Q60" s="1418" t="e">
        <f ca="1">L58</f>
        <v>#DIV/0!</v>
      </c>
      <c r="R60" s="1418" t="s">
        <v>854</v>
      </c>
    </row>
    <row r="61" spans="1:18" s="1382" customFormat="1" ht="13.8" thickBot="1">
      <c r="A61" s="980" t="s">
        <v>779</v>
      </c>
      <c r="B61" s="948" t="s">
        <v>780</v>
      </c>
      <c r="C61" s="21">
        <f ca="1">IF(项目基本情况!B11="自然人","——",IF(D61="按租金收入计税",ROUND(C49*F61/(1+'数据-取费表'!C42),0),IF(D61="按房产原值计税",ROUND(C57*F61*0.7,0),INDIRECT("'数据-取费表'!Aj"&amp;$G$1))))</f>
        <v>0</v>
      </c>
      <c r="D61" s="1368" t="s">
        <v>3334</v>
      </c>
      <c r="E61" s="948" t="s">
        <v>710</v>
      </c>
      <c r="F61" s="322">
        <f t="shared" si="0"/>
        <v>0.12</v>
      </c>
      <c r="I61" s="1459"/>
      <c r="J61" s="1459"/>
      <c r="K61" s="1459"/>
      <c r="L61" s="1459"/>
      <c r="O61" s="1426" t="s">
        <v>408</v>
      </c>
      <c r="P61" s="1417" t="str">
        <f>K59</f>
        <v>建筑物剩余耐用年限下的土地年期修正系数Kn</v>
      </c>
      <c r="Q61" s="1418" t="e">
        <f ca="1">L59</f>
        <v>#DIV/0!</v>
      </c>
      <c r="R61" s="1418" t="s">
        <v>855</v>
      </c>
    </row>
    <row r="62" spans="1:18" s="1382" customFormat="1" ht="13.8" thickBot="1">
      <c r="A62" s="980" t="s">
        <v>782</v>
      </c>
      <c r="B62" s="947" t="s">
        <v>783</v>
      </c>
      <c r="C62" s="22">
        <f ca="1">IF(项目基本情况!B11="自然人","——",ROUND(F62*F63,0))</f>
        <v>0</v>
      </c>
      <c r="D62" s="963" t="s">
        <v>729</v>
      </c>
      <c r="E62" s="948" t="s">
        <v>730</v>
      </c>
      <c r="F62" s="325">
        <f t="shared" si="0"/>
        <v>1.5</v>
      </c>
      <c r="I62" s="1460" t="s">
        <v>856</v>
      </c>
      <c r="J62" s="1461" t="s">
        <v>857</v>
      </c>
      <c r="K62" s="1461" t="s">
        <v>858</v>
      </c>
      <c r="L62" s="1461" t="s">
        <v>859</v>
      </c>
      <c r="M62" s="1462" t="s">
        <v>860</v>
      </c>
      <c r="O62" s="1416" t="s">
        <v>409</v>
      </c>
      <c r="P62" s="1417" t="s">
        <v>836</v>
      </c>
      <c r="Q62" s="1418">
        <f ca="1">Q56+Q57</f>
        <v>5623563</v>
      </c>
      <c r="R62" s="1418" t="s">
        <v>410</v>
      </c>
    </row>
    <row r="63" spans="1:18" s="1382" customFormat="1" ht="13.8" thickBot="1">
      <c r="A63" s="326"/>
      <c r="B63" s="954"/>
      <c r="C63" s="26"/>
      <c r="D63" s="964"/>
      <c r="E63" s="948" t="s">
        <v>734</v>
      </c>
      <c r="F63" s="303">
        <f t="shared" ca="1" si="0"/>
        <v>0</v>
      </c>
      <c r="I63" s="1460" t="s">
        <v>862</v>
      </c>
      <c r="J63" s="1461">
        <v>70</v>
      </c>
      <c r="K63" s="1461">
        <v>50</v>
      </c>
      <c r="L63" s="1461">
        <v>80</v>
      </c>
      <c r="M63" s="1463">
        <v>0.02</v>
      </c>
      <c r="O63" s="1401" t="s">
        <v>863</v>
      </c>
      <c r="P63" s="1379"/>
      <c r="Q63" s="1379"/>
      <c r="R63" s="1379"/>
    </row>
    <row r="64" spans="1:18" s="1382" customFormat="1" ht="13.8" thickBot="1">
      <c r="A64" s="980" t="s">
        <v>402</v>
      </c>
      <c r="B64" s="948" t="s">
        <v>788</v>
      </c>
      <c r="C64" s="21">
        <f ca="1">ROUND(C57*F64,0)</f>
        <v>7597</v>
      </c>
      <c r="D64" s="962" t="s">
        <v>769</v>
      </c>
      <c r="E64" s="948" t="s">
        <v>710</v>
      </c>
      <c r="F64" s="328">
        <f t="shared" ca="1" si="0"/>
        <v>5.0000000000000001E-3</v>
      </c>
      <c r="I64" s="1460" t="s">
        <v>864</v>
      </c>
      <c r="J64" s="1461">
        <v>50</v>
      </c>
      <c r="K64" s="1461">
        <v>35</v>
      </c>
      <c r="L64" s="1461">
        <v>60</v>
      </c>
      <c r="M64" s="1462">
        <v>0</v>
      </c>
      <c r="O64" s="1409" t="s">
        <v>809</v>
      </c>
      <c r="P64" s="1410" t="s">
        <v>810</v>
      </c>
      <c r="Q64" s="1411" t="s">
        <v>811</v>
      </c>
      <c r="R64" s="1411" t="s">
        <v>812</v>
      </c>
    </row>
    <row r="65" spans="1:18" s="1382" customFormat="1" ht="13.8" thickBot="1">
      <c r="A65" s="980" t="s">
        <v>790</v>
      </c>
      <c r="B65" s="948" t="s">
        <v>740</v>
      </c>
      <c r="C65" s="21">
        <f ca="1">ROUND(C56*F65,0)</f>
        <v>1337</v>
      </c>
      <c r="D65" s="962" t="s">
        <v>741</v>
      </c>
      <c r="E65" s="948" t="s">
        <v>710</v>
      </c>
      <c r="F65" s="330">
        <f t="shared" ca="1" si="0"/>
        <v>1E-3</v>
      </c>
      <c r="I65" s="1460" t="s">
        <v>865</v>
      </c>
      <c r="J65" s="1461">
        <v>40</v>
      </c>
      <c r="K65" s="1461">
        <v>30</v>
      </c>
      <c r="L65" s="1461">
        <v>50</v>
      </c>
      <c r="M65" s="1463">
        <v>0.02</v>
      </c>
      <c r="O65" s="1416" t="s">
        <v>403</v>
      </c>
      <c r="P65" s="1417" t="s">
        <v>815</v>
      </c>
      <c r="Q65" s="1418">
        <f ca="1">C40+J29</f>
        <v>5623563</v>
      </c>
      <c r="R65" s="1418" t="s">
        <v>816</v>
      </c>
    </row>
    <row r="66" spans="1:18" s="1382" customFormat="1" ht="16.2" thickBot="1">
      <c r="A66" s="980" t="s">
        <v>791</v>
      </c>
      <c r="B66" s="948" t="s">
        <v>726</v>
      </c>
      <c r="C66" s="21">
        <f ca="1">ROUND(C48*F66,0)</f>
        <v>0</v>
      </c>
      <c r="D66" s="962" t="s">
        <v>746</v>
      </c>
      <c r="E66" s="948" t="s">
        <v>710</v>
      </c>
      <c r="F66" s="312">
        <f t="shared" ca="1" si="0"/>
        <v>0.01</v>
      </c>
      <c r="O66" s="1416" t="s">
        <v>404</v>
      </c>
      <c r="P66" s="1417" t="s">
        <v>844</v>
      </c>
      <c r="Q66" s="1418">
        <f ca="1">L60</f>
        <v>0</v>
      </c>
      <c r="R66" s="1418" t="s">
        <v>867</v>
      </c>
    </row>
    <row r="67" spans="1:18" s="1382" customFormat="1" ht="24.6" thickBot="1">
      <c r="A67" s="955" t="s">
        <v>394</v>
      </c>
      <c r="B67" s="965" t="s">
        <v>750</v>
      </c>
      <c r="C67" s="316">
        <f ca="1">C48-C58</f>
        <v>-8934</v>
      </c>
      <c r="D67" s="961" t="s">
        <v>751</v>
      </c>
      <c r="E67" s="966"/>
      <c r="F67" s="967"/>
      <c r="O67" s="1426" t="s">
        <v>405</v>
      </c>
      <c r="P67" s="1417" t="s">
        <v>848</v>
      </c>
      <c r="Q67" s="1464">
        <f ca="1">L51</f>
        <v>3987288</v>
      </c>
      <c r="R67" s="1418" t="s">
        <v>868</v>
      </c>
    </row>
    <row r="68" spans="1:18" s="1382" customFormat="1" ht="16.2" thickBot="1">
      <c r="A68" s="945" t="s">
        <v>395</v>
      </c>
      <c r="B68" s="946" t="s">
        <v>772</v>
      </c>
      <c r="C68" s="301">
        <f ca="1">ROUND(C67*(1-((1+F70)/(1+F68))^F69)/(F68-F70),0)</f>
        <v>-129844</v>
      </c>
      <c r="D68" s="963" t="s">
        <v>756</v>
      </c>
      <c r="E68" s="948" t="s">
        <v>757</v>
      </c>
      <c r="F68" s="312">
        <f ca="1">F40</f>
        <v>5.5E-2</v>
      </c>
      <c r="O68" s="1426" t="s">
        <v>406</v>
      </c>
      <c r="P68" s="1465" t="s">
        <v>869</v>
      </c>
      <c r="Q68" s="1418">
        <f ca="1">ROUND(Q69-Q70*Q71,0)</f>
        <v>215606</v>
      </c>
      <c r="R68" s="1418" t="s">
        <v>414</v>
      </c>
    </row>
    <row r="69" spans="1:18" s="1382" customFormat="1" ht="13.8" thickBot="1">
      <c r="A69" s="949"/>
      <c r="B69" s="950"/>
      <c r="C69" s="306"/>
      <c r="D69" s="968" t="s">
        <v>760</v>
      </c>
      <c r="E69" s="948" t="s">
        <v>761</v>
      </c>
      <c r="F69" s="333">
        <f ca="1">F41</f>
        <v>30</v>
      </c>
      <c r="O69" s="1426" t="s">
        <v>411</v>
      </c>
      <c r="P69" s="1465" t="s">
        <v>870</v>
      </c>
      <c r="Q69" s="1418">
        <f ca="1">C39</f>
        <v>309200</v>
      </c>
      <c r="R69" s="1418" t="s">
        <v>816</v>
      </c>
    </row>
    <row r="70" spans="1:18" s="1382" customFormat="1" ht="13.8" thickBot="1">
      <c r="A70" s="952"/>
      <c r="B70" s="953"/>
      <c r="C70" s="310"/>
      <c r="D70" s="964"/>
      <c r="E70" s="948" t="s">
        <v>764</v>
      </c>
      <c r="F70" s="1052"/>
      <c r="O70" s="1426" t="s">
        <v>412</v>
      </c>
      <c r="P70" s="1465" t="s">
        <v>871</v>
      </c>
      <c r="Q70" s="1418">
        <f ca="1">C13</f>
        <v>1337058</v>
      </c>
      <c r="R70" s="1418" t="s">
        <v>816</v>
      </c>
    </row>
    <row r="71" spans="1:18" s="1382" customFormat="1" ht="13.8" thickBot="1">
      <c r="A71" s="969" t="s">
        <v>396</v>
      </c>
      <c r="B71" s="970" t="s">
        <v>774</v>
      </c>
      <c r="C71" s="336">
        <f ca="1">ROUND(C68/F71,0)</f>
        <v>-513</v>
      </c>
      <c r="D71" s="971" t="s">
        <v>775</v>
      </c>
      <c r="E71" s="972" t="s">
        <v>776</v>
      </c>
      <c r="F71" s="339">
        <f ca="1">F43</f>
        <v>253.05</v>
      </c>
      <c r="O71" s="1426" t="s">
        <v>413</v>
      </c>
      <c r="P71" s="1465" t="s">
        <v>872</v>
      </c>
      <c r="Q71" s="1429">
        <f ca="1">C76</f>
        <v>7.0000000000000007E-2</v>
      </c>
      <c r="R71" s="1418"/>
    </row>
    <row r="72" spans="1:18" s="1382" customFormat="1" ht="13.8" thickBot="1">
      <c r="B72" s="724"/>
      <c r="C72" s="724"/>
      <c r="O72" s="1426" t="s">
        <v>407</v>
      </c>
      <c r="P72" s="1417" t="s">
        <v>850</v>
      </c>
      <c r="Q72" s="1429">
        <f>L52</f>
        <v>0</v>
      </c>
      <c r="R72" s="1418"/>
    </row>
    <row r="73" spans="1:18" ht="16.2" thickBot="1">
      <c r="A73" s="1382"/>
      <c r="B73" s="724"/>
      <c r="C73" s="724"/>
      <c r="D73" s="1382"/>
      <c r="E73" s="1382"/>
      <c r="F73" s="1382"/>
      <c r="O73" s="1426" t="s">
        <v>408</v>
      </c>
      <c r="P73" s="1417" t="s">
        <v>853</v>
      </c>
      <c r="Q73" s="1418" t="e">
        <f ca="1">L58</f>
        <v>#DIV/0!</v>
      </c>
      <c r="R73" s="1418" t="s">
        <v>854</v>
      </c>
    </row>
    <row r="74" spans="1:18" ht="13.8" thickBot="1">
      <c r="A74" s="1382"/>
      <c r="B74" s="273" t="s">
        <v>873</v>
      </c>
      <c r="C74" s="1467"/>
      <c r="D74" s="1382"/>
      <c r="E74" s="1382"/>
      <c r="F74" s="1382"/>
      <c r="O74" s="1426" t="s">
        <v>415</v>
      </c>
      <c r="P74" s="1417" t="str">
        <f>K59</f>
        <v>建筑物剩余耐用年限下的土地年期修正系数Kn</v>
      </c>
      <c r="Q74" s="1418" t="e">
        <f ca="1">L59</f>
        <v>#DIV/0!</v>
      </c>
      <c r="R74" s="1418" t="s">
        <v>855</v>
      </c>
    </row>
    <row r="75" spans="1:18" ht="13.8" thickBot="1">
      <c r="A75" s="1382"/>
      <c r="B75" s="340" t="s">
        <v>793</v>
      </c>
      <c r="C75" s="341">
        <f ca="1">ROUND(C13*C76,0)</f>
        <v>93594</v>
      </c>
      <c r="D75" s="1382"/>
      <c r="E75" s="1382"/>
      <c r="F75" s="1382"/>
      <c r="K75" s="1400"/>
      <c r="L75" s="1382"/>
      <c r="O75" s="1416" t="s">
        <v>409</v>
      </c>
      <c r="P75" s="1417" t="s">
        <v>836</v>
      </c>
      <c r="Q75" s="1418">
        <f ca="1">Q65+Q66</f>
        <v>5623563</v>
      </c>
      <c r="R75" s="1418" t="s">
        <v>410</v>
      </c>
    </row>
    <row r="76" spans="1:18">
      <c r="B76" s="342" t="s">
        <v>794</v>
      </c>
      <c r="C76" s="343">
        <f ca="1">INDIRECT("'数据-取费表'!j"&amp;$G$1)</f>
        <v>7.0000000000000007E-2</v>
      </c>
      <c r="I76" s="1382"/>
      <c r="J76" s="1382"/>
      <c r="K76" s="1400"/>
      <c r="L76" s="1382"/>
    </row>
    <row r="77" spans="1:18">
      <c r="B77" s="344" t="s">
        <v>795</v>
      </c>
      <c r="C77" s="345"/>
      <c r="I77" s="1382"/>
      <c r="J77" s="1382"/>
      <c r="K77" s="1400"/>
      <c r="L77" s="1382"/>
    </row>
    <row r="78" spans="1:18">
      <c r="B78" s="270" t="s">
        <v>796</v>
      </c>
      <c r="C78" s="346"/>
    </row>
    <row r="79" spans="1:18">
      <c r="B79" s="340" t="s">
        <v>797</v>
      </c>
      <c r="C79" s="274">
        <f ca="1">1-C80</f>
        <v>0.69700000000000006</v>
      </c>
    </row>
    <row r="80" spans="1:18">
      <c r="B80" s="340" t="s">
        <v>798</v>
      </c>
      <c r="C80" s="274">
        <f ca="1">ROUND(C75/C39,3)</f>
        <v>0.30299999999999999</v>
      </c>
    </row>
    <row r="81" spans="2:3">
      <c r="B81" s="270" t="s">
        <v>799</v>
      </c>
      <c r="C81" s="238"/>
    </row>
    <row r="82" spans="2:3">
      <c r="B82" s="273" t="s">
        <v>800</v>
      </c>
      <c r="C82" s="275">
        <f ca="1">1-C83</f>
        <v>0.76200000000000001</v>
      </c>
    </row>
    <row r="83" spans="2:3">
      <c r="B83" s="273" t="s">
        <v>801</v>
      </c>
      <c r="C83" s="274">
        <f ca="1">ROUND(C13/C40,3)</f>
        <v>0.23799999999999999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view="pageBreakPreview" topLeftCell="A86" zoomScale="85" zoomScaleNormal="70" zoomScaleSheetLayoutView="85" workbookViewId="0">
      <selection activeCell="M33" sqref="M33"/>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1658</v>
      </c>
      <c r="B1" s="1876" t="s">
        <v>1764</v>
      </c>
      <c r="C1" s="1236" t="s">
        <v>1660</v>
      </c>
      <c r="D1" s="1223">
        <v>104</v>
      </c>
      <c r="E1" s="3423" t="s">
        <v>3464</v>
      </c>
      <c r="F1" s="1877" t="s">
        <v>3465</v>
      </c>
      <c r="G1" s="1233" t="s">
        <v>1661</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2">
        <f>IF(E1="项目模式",IF(C2="——",ROUND(C49*D3/10000,0),ROUND(C49*D3/10000,0)-D2),IF(E1="单套模式",IF(C2="——",ROUND(C49*D3/10000,4),ROUND(C49*D3/10000,4)-D2)))</f>
        <v>995.95420000000001</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2" customFormat="1" ht="28.5" customHeight="1" thickBot="1">
      <c r="A3" s="203" t="s">
        <v>684</v>
      </c>
      <c r="B3" s="558">
        <f>IF(C2="——",C49,ROUND(B2*10000/D3,0))</f>
        <v>39358</v>
      </c>
      <c r="C3" s="354" t="s">
        <v>1663</v>
      </c>
      <c r="D3" s="353">
        <f>IF(D1="",'数据-汇总表'!E3,SUMIF('数据-汇总表'!$C19:$C33,D1,'数据-汇总表'!$E19:$E33))</f>
        <v>253.05</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4.4">
      <c r="A4" s="355" t="s">
        <v>1664</v>
      </c>
      <c r="B4" s="356"/>
      <c r="C4" s="3745" t="s">
        <v>1665</v>
      </c>
      <c r="D4" s="3746"/>
      <c r="E4" s="3747" t="s">
        <v>1666</v>
      </c>
      <c r="F4" s="3748"/>
      <c r="G4" s="3745" t="s">
        <v>1667</v>
      </c>
      <c r="H4" s="3746"/>
      <c r="I4" s="3745" t="s">
        <v>1668</v>
      </c>
      <c r="J4" s="3746"/>
      <c r="K4" s="559" t="s">
        <v>1669</v>
      </c>
      <c r="L4" s="2712"/>
      <c r="M4" s="2713"/>
      <c r="N4" s="2713"/>
      <c r="O4" s="2713"/>
      <c r="P4" s="3749" t="s">
        <v>1670</v>
      </c>
      <c r="Q4" s="3750"/>
      <c r="R4" s="3732" t="s">
        <v>1666</v>
      </c>
      <c r="S4" s="3733"/>
      <c r="T4" s="3732" t="s">
        <v>1667</v>
      </c>
      <c r="U4" s="3733"/>
      <c r="V4" s="3757" t="s">
        <v>1668</v>
      </c>
      <c r="W4" s="3757"/>
      <c r="X4" s="3476"/>
      <c r="Y4" s="3732" t="s">
        <v>1670</v>
      </c>
      <c r="Z4" s="3733"/>
      <c r="AA4" s="3727" t="s">
        <v>1666</v>
      </c>
      <c r="AB4" s="3757" t="s">
        <v>1667</v>
      </c>
      <c r="AC4" s="3727" t="s">
        <v>1668</v>
      </c>
    </row>
    <row r="5" spans="1:29">
      <c r="A5" s="358"/>
      <c r="B5" s="359"/>
      <c r="C5" s="3773" t="s">
        <v>3420</v>
      </c>
      <c r="D5" s="3739"/>
      <c r="E5" s="3736" t="str">
        <f>C5</f>
        <v>海淀绿地中央广场</v>
      </c>
      <c r="F5" s="3737"/>
      <c r="G5" s="3773" t="s">
        <v>3542</v>
      </c>
      <c r="H5" s="3739"/>
      <c r="I5" s="3773" t="s">
        <v>3502</v>
      </c>
      <c r="J5" s="3739"/>
      <c r="K5" s="559"/>
      <c r="L5" s="2712"/>
      <c r="M5" s="2713"/>
      <c r="N5" s="2713"/>
      <c r="O5" s="2713"/>
      <c r="P5" s="3751"/>
      <c r="Q5" s="3752"/>
      <c r="R5" s="3734"/>
      <c r="S5" s="3735"/>
      <c r="T5" s="3734"/>
      <c r="U5" s="3735"/>
      <c r="V5" s="3757"/>
      <c r="W5" s="3757"/>
      <c r="X5" s="3476"/>
      <c r="Y5" s="3734"/>
      <c r="Z5" s="3735"/>
      <c r="AA5" s="3728"/>
      <c r="AB5" s="3757"/>
      <c r="AC5" s="3728"/>
    </row>
    <row r="6" spans="1:29" ht="15" thickBot="1">
      <c r="A6" s="360"/>
      <c r="B6" s="361"/>
      <c r="C6" s="3740" t="s">
        <v>1675</v>
      </c>
      <c r="D6" s="3741"/>
      <c r="E6" s="3742" t="s">
        <v>1675</v>
      </c>
      <c r="F6" s="3743"/>
      <c r="G6" s="3740" t="s">
        <v>1675</v>
      </c>
      <c r="H6" s="3741"/>
      <c r="I6" s="3740" t="s">
        <v>1675</v>
      </c>
      <c r="J6" s="3741"/>
      <c r="K6" s="559" t="s">
        <v>1676</v>
      </c>
      <c r="L6" s="2712"/>
      <c r="M6" s="2713"/>
      <c r="N6" s="2713"/>
      <c r="O6" s="2713"/>
      <c r="P6" s="3753"/>
      <c r="Q6" s="3754"/>
      <c r="R6" s="3734"/>
      <c r="S6" s="3735"/>
      <c r="T6" s="3755"/>
      <c r="U6" s="3756"/>
      <c r="V6" s="3757"/>
      <c r="W6" s="3757"/>
      <c r="X6" s="3476"/>
      <c r="Y6" s="3755"/>
      <c r="Z6" s="3756"/>
      <c r="AA6" s="3729"/>
      <c r="AB6" s="3757"/>
      <c r="AC6" s="3729"/>
    </row>
    <row r="7" spans="1:29" s="108" customFormat="1" ht="15" thickBot="1">
      <c r="A7" s="362" t="s">
        <v>1677</v>
      </c>
      <c r="B7" s="363"/>
      <c r="C7" s="364">
        <f>'数据-取费表'!B2</f>
        <v>45504</v>
      </c>
      <c r="D7" s="365">
        <v>100</v>
      </c>
      <c r="E7" s="366">
        <f>C7</f>
        <v>45504</v>
      </c>
      <c r="F7" s="367">
        <f>SUMIF(58:58,YEAR(E7)&amp;"-"&amp;MONTH(E7),59:59)</f>
        <v>100</v>
      </c>
      <c r="G7" s="366">
        <f>C7</f>
        <v>45504</v>
      </c>
      <c r="H7" s="365">
        <f>SUMIF(58:58,YEAR(G7)&amp;"-"&amp;MONTH(G7),59:59)</f>
        <v>100</v>
      </c>
      <c r="I7" s="366">
        <f>G7</f>
        <v>45504</v>
      </c>
      <c r="J7" s="365">
        <f>SUMIF(58:58,YEAR(I7)&amp;"-"&amp;MONTH(I7),59:59)</f>
        <v>100</v>
      </c>
      <c r="K7" s="560"/>
      <c r="L7" s="2714"/>
      <c r="M7" s="2715"/>
      <c r="N7" s="2715"/>
      <c r="O7" s="2715"/>
      <c r="P7" s="3730" t="s">
        <v>1678</v>
      </c>
      <c r="Q7" s="3758"/>
      <c r="R7" s="699" t="s">
        <v>14</v>
      </c>
      <c r="S7" s="700">
        <f t="shared" ref="S7:S15" si="0">F7</f>
        <v>100</v>
      </c>
      <c r="T7" s="699" t="s">
        <v>14</v>
      </c>
      <c r="U7" s="700">
        <f t="shared" ref="U7:U15" si="1">H7</f>
        <v>100</v>
      </c>
      <c r="V7" s="699" t="s">
        <v>14</v>
      </c>
      <c r="W7" s="700">
        <f t="shared" ref="W7:W15" si="2">J7</f>
        <v>100</v>
      </c>
      <c r="X7" s="701"/>
      <c r="Y7" s="3730" t="s">
        <v>1678</v>
      </c>
      <c r="Z7" s="3731"/>
      <c r="AA7" s="702">
        <f>D7/F7</f>
        <v>1</v>
      </c>
      <c r="AB7" s="702">
        <f>D7/H7</f>
        <v>1</v>
      </c>
      <c r="AC7" s="702">
        <f>D7/J7</f>
        <v>1</v>
      </c>
    </row>
    <row r="8" spans="1:29" s="108" customFormat="1" ht="15" thickBot="1">
      <c r="A8" s="362" t="s">
        <v>1679</v>
      </c>
      <c r="B8" s="363"/>
      <c r="C8" s="368" t="s">
        <v>3421</v>
      </c>
      <c r="D8" s="365">
        <v>100</v>
      </c>
      <c r="E8" s="368" t="s">
        <v>3423</v>
      </c>
      <c r="F8" s="367">
        <f>SUMIF(61:61,E8,62:62)-SUMIF(61:61,C8,62:62)+100</f>
        <v>110</v>
      </c>
      <c r="G8" s="368" t="s">
        <v>3423</v>
      </c>
      <c r="H8" s="365">
        <f>SUMIF(61:61,G8,62:62)-SUMIF(61:61,C8,62:62)+100</f>
        <v>110</v>
      </c>
      <c r="I8" s="368" t="s">
        <v>3423</v>
      </c>
      <c r="J8" s="365">
        <f>SUMIF(61:61,I8,62:62)-SUMIF(61:61,C8,62:62)+100</f>
        <v>110</v>
      </c>
      <c r="K8" s="560"/>
      <c r="L8" s="2714"/>
      <c r="M8" s="2715"/>
      <c r="N8" s="2715"/>
      <c r="O8" s="2715"/>
      <c r="P8" s="3730" t="s">
        <v>1681</v>
      </c>
      <c r="Q8" s="3731"/>
      <c r="R8" s="699" t="s">
        <v>14</v>
      </c>
      <c r="S8" s="700">
        <f t="shared" si="0"/>
        <v>110</v>
      </c>
      <c r="T8" s="699" t="s">
        <v>14</v>
      </c>
      <c r="U8" s="700">
        <f t="shared" si="1"/>
        <v>110</v>
      </c>
      <c r="V8" s="699" t="s">
        <v>14</v>
      </c>
      <c r="W8" s="700">
        <f t="shared" si="2"/>
        <v>110</v>
      </c>
      <c r="X8" s="701"/>
      <c r="Y8" s="3730" t="s">
        <v>1681</v>
      </c>
      <c r="Z8" s="3731"/>
      <c r="AA8" s="702">
        <f t="shared" ref="AA8:AA46" si="3">D8/F8</f>
        <v>0.90909090909090906</v>
      </c>
      <c r="AB8" s="702">
        <f t="shared" ref="AB8:AB46" si="4">D8/H8</f>
        <v>0.90909090909090906</v>
      </c>
      <c r="AC8" s="702">
        <f t="shared" ref="AC8:AC46" si="5">D8/J8</f>
        <v>0.90909090909090906</v>
      </c>
    </row>
    <row r="9" spans="1:29" s="108" customFormat="1" ht="14.4">
      <c r="A9" s="369" t="s">
        <v>1682</v>
      </c>
      <c r="B9" s="63" t="s">
        <v>1683</v>
      </c>
      <c r="C9" s="3449" t="s">
        <v>3422</v>
      </c>
      <c r="D9" s="126">
        <v>100</v>
      </c>
      <c r="E9" s="371" t="s">
        <v>671</v>
      </c>
      <c r="F9" s="372">
        <f>SUMIF(63:63,E9,64:64)-SUMIF(63:63,C9,64:64)+100</f>
        <v>100</v>
      </c>
      <c r="G9" s="371" t="s">
        <v>671</v>
      </c>
      <c r="H9" s="126">
        <f>SUMIF(63:63,G9,64:64)-SUMIF(63:63,C9,64:64)+100</f>
        <v>100</v>
      </c>
      <c r="I9" s="371" t="s">
        <v>671</v>
      </c>
      <c r="J9" s="126">
        <f>SUMIF(63:63,I9,64:64)-SUMIF(63:63,C9,64:64)+100</f>
        <v>100</v>
      </c>
      <c r="K9" s="560"/>
      <c r="L9" s="2714"/>
      <c r="M9" s="2715"/>
      <c r="N9" s="2715"/>
      <c r="O9" s="2715"/>
      <c r="P9" s="3744" t="s">
        <v>1684</v>
      </c>
      <c r="Q9" s="3466" t="str">
        <f t="shared" ref="Q9:Q15" si="6">B9</f>
        <v>用途</v>
      </c>
      <c r="R9" s="699" t="s">
        <v>14</v>
      </c>
      <c r="S9" s="700">
        <f t="shared" si="0"/>
        <v>100</v>
      </c>
      <c r="T9" s="699" t="s">
        <v>14</v>
      </c>
      <c r="U9" s="700">
        <f t="shared" si="1"/>
        <v>100</v>
      </c>
      <c r="V9" s="699" t="s">
        <v>14</v>
      </c>
      <c r="W9" s="700">
        <f t="shared" si="2"/>
        <v>100</v>
      </c>
      <c r="X9" s="701"/>
      <c r="Y9" s="3674" t="s">
        <v>1685</v>
      </c>
      <c r="Z9" s="3464" t="str">
        <f t="shared" ref="Z9:Z15" si="7">Q9</f>
        <v>用途</v>
      </c>
      <c r="AA9" s="702">
        <f t="shared" si="3"/>
        <v>1</v>
      </c>
      <c r="AB9" s="702">
        <f t="shared" si="4"/>
        <v>1</v>
      </c>
      <c r="AC9" s="702">
        <f t="shared" si="5"/>
        <v>1</v>
      </c>
    </row>
    <row r="10" spans="1:29" s="378" customFormat="1" ht="28.8">
      <c r="A10" s="374"/>
      <c r="B10" s="375" t="s">
        <v>1686</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44"/>
      <c r="Q10" s="3466" t="str">
        <f t="shared" si="6"/>
        <v>土地使用年限（年）</v>
      </c>
      <c r="R10" s="699" t="s">
        <v>14</v>
      </c>
      <c r="S10" s="700">
        <f t="shared" si="0"/>
        <v>100</v>
      </c>
      <c r="T10" s="699" t="s">
        <v>14</v>
      </c>
      <c r="U10" s="700">
        <f t="shared" si="1"/>
        <v>100</v>
      </c>
      <c r="V10" s="699" t="s">
        <v>14</v>
      </c>
      <c r="W10" s="700">
        <f t="shared" si="2"/>
        <v>100</v>
      </c>
      <c r="X10" s="701"/>
      <c r="Y10" s="3674"/>
      <c r="Z10" s="3464" t="str">
        <f t="shared" si="7"/>
        <v>土地使用年限（年）</v>
      </c>
      <c r="AA10" s="702">
        <f t="shared" si="3"/>
        <v>1</v>
      </c>
      <c r="AB10" s="702">
        <f t="shared" si="4"/>
        <v>1</v>
      </c>
      <c r="AC10" s="702">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44"/>
      <c r="Q11" s="3466" t="str">
        <f t="shared" si="6"/>
        <v>容积率</v>
      </c>
      <c r="R11" s="699" t="s">
        <v>14</v>
      </c>
      <c r="S11" s="700">
        <f t="shared" si="0"/>
        <v>100</v>
      </c>
      <c r="T11" s="699" t="s">
        <v>14</v>
      </c>
      <c r="U11" s="700">
        <f t="shared" si="1"/>
        <v>100</v>
      </c>
      <c r="V11" s="699" t="s">
        <v>14</v>
      </c>
      <c r="W11" s="700">
        <f t="shared" si="2"/>
        <v>100</v>
      </c>
      <c r="X11" s="701"/>
      <c r="Y11" s="3674"/>
      <c r="Z11" s="3464"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44"/>
      <c r="Q12" s="3466">
        <f t="shared" si="6"/>
        <v>111</v>
      </c>
      <c r="R12" s="699" t="s">
        <v>14</v>
      </c>
      <c r="S12" s="700">
        <f t="shared" si="0"/>
        <v>100</v>
      </c>
      <c r="T12" s="699" t="s">
        <v>14</v>
      </c>
      <c r="U12" s="700">
        <f t="shared" si="1"/>
        <v>100</v>
      </c>
      <c r="V12" s="699" t="s">
        <v>14</v>
      </c>
      <c r="W12" s="700">
        <f t="shared" si="2"/>
        <v>100</v>
      </c>
      <c r="X12" s="701"/>
      <c r="Y12" s="3674"/>
      <c r="Z12" s="3464">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44"/>
      <c r="Q13" s="3466">
        <f t="shared" si="6"/>
        <v>111</v>
      </c>
      <c r="R13" s="699" t="s">
        <v>14</v>
      </c>
      <c r="S13" s="700">
        <f t="shared" si="0"/>
        <v>100</v>
      </c>
      <c r="T13" s="699" t="s">
        <v>14</v>
      </c>
      <c r="U13" s="700">
        <f t="shared" si="1"/>
        <v>100</v>
      </c>
      <c r="V13" s="699" t="s">
        <v>14</v>
      </c>
      <c r="W13" s="700">
        <f t="shared" si="2"/>
        <v>100</v>
      </c>
      <c r="X13" s="701"/>
      <c r="Y13" s="3674"/>
      <c r="Z13" s="3464">
        <f t="shared" si="7"/>
        <v>111</v>
      </c>
      <c r="AA13" s="702">
        <f t="shared" si="3"/>
        <v>1</v>
      </c>
      <c r="AB13" s="702">
        <f t="shared" si="4"/>
        <v>1</v>
      </c>
      <c r="AC13" s="702">
        <f t="shared" si="5"/>
        <v>1</v>
      </c>
    </row>
    <row r="14" spans="1:29" ht="15.6"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44"/>
      <c r="Q14" s="3466">
        <f t="shared" si="6"/>
        <v>111</v>
      </c>
      <c r="R14" s="699" t="s">
        <v>14</v>
      </c>
      <c r="S14" s="700">
        <f t="shared" si="0"/>
        <v>100</v>
      </c>
      <c r="T14" s="699" t="s">
        <v>14</v>
      </c>
      <c r="U14" s="700">
        <f t="shared" si="1"/>
        <v>100</v>
      </c>
      <c r="V14" s="699" t="s">
        <v>14</v>
      </c>
      <c r="W14" s="700">
        <f t="shared" si="2"/>
        <v>100</v>
      </c>
      <c r="X14" s="701"/>
      <c r="Y14" s="3674"/>
      <c r="Z14" s="3464">
        <f t="shared" si="7"/>
        <v>111</v>
      </c>
      <c r="AA14" s="702">
        <f t="shared" si="3"/>
        <v>1</v>
      </c>
      <c r="AB14" s="702">
        <f t="shared" si="4"/>
        <v>1</v>
      </c>
      <c r="AC14" s="702">
        <f t="shared" si="5"/>
        <v>1</v>
      </c>
    </row>
    <row r="15" spans="1:29" ht="69">
      <c r="A15" s="391" t="s">
        <v>1688</v>
      </c>
      <c r="B15" s="61" t="s">
        <v>1775</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102</v>
      </c>
      <c r="I15" s="393"/>
      <c r="J15" s="392">
        <f>SUMIF(76:76,I16,77:77)-SUMIF(76:76,C16,77:77)+100</f>
        <v>100</v>
      </c>
      <c r="K15" s="563">
        <f>'比较法-商业110'!K15</f>
        <v>2</v>
      </c>
      <c r="L15" s="2719"/>
      <c r="M15" s="2713"/>
      <c r="N15" s="2713"/>
      <c r="O15" s="2713"/>
      <c r="P15" s="3771" t="s">
        <v>1689</v>
      </c>
      <c r="Q15" s="3474" t="str">
        <f t="shared" si="6"/>
        <v>商业繁华度</v>
      </c>
      <c r="R15" s="703" t="s">
        <v>14</v>
      </c>
      <c r="S15" s="704">
        <f t="shared" si="0"/>
        <v>100</v>
      </c>
      <c r="T15" s="703" t="s">
        <v>14</v>
      </c>
      <c r="U15" s="704">
        <f t="shared" si="1"/>
        <v>102</v>
      </c>
      <c r="V15" s="703" t="s">
        <v>14</v>
      </c>
      <c r="W15" s="704">
        <f t="shared" si="2"/>
        <v>100</v>
      </c>
      <c r="X15" s="3476"/>
      <c r="Y15" s="3764" t="s">
        <v>1689</v>
      </c>
      <c r="Z15" s="3477" t="str">
        <f t="shared" si="7"/>
        <v>商业繁华度</v>
      </c>
      <c r="AA15" s="3475">
        <f t="shared" si="3"/>
        <v>1</v>
      </c>
      <c r="AB15" s="3475">
        <f t="shared" si="4"/>
        <v>0.98039215686274506</v>
      </c>
      <c r="AC15" s="3475">
        <f t="shared" si="5"/>
        <v>1</v>
      </c>
    </row>
    <row r="16" spans="1:29" ht="15">
      <c r="A16" s="379"/>
      <c r="B16" s="397"/>
      <c r="C16" s="398" t="s">
        <v>3447</v>
      </c>
      <c r="D16" s="399"/>
      <c r="E16" s="398" t="s">
        <v>3447</v>
      </c>
      <c r="F16" s="400"/>
      <c r="G16" s="398" t="s">
        <v>3448</v>
      </c>
      <c r="H16" s="401"/>
      <c r="I16" s="398" t="s">
        <v>3447</v>
      </c>
      <c r="J16" s="399"/>
      <c r="K16" s="564"/>
      <c r="L16" s="2719"/>
      <c r="M16" s="2713"/>
      <c r="N16" s="2713"/>
      <c r="O16" s="2713"/>
      <c r="P16" s="3772"/>
      <c r="Q16" s="3474"/>
      <c r="R16" s="703"/>
      <c r="S16" s="704"/>
      <c r="T16" s="703"/>
      <c r="U16" s="704"/>
      <c r="V16" s="703"/>
      <c r="W16" s="704"/>
      <c r="X16" s="3476"/>
      <c r="Y16" s="3765"/>
      <c r="Z16" s="3477"/>
      <c r="AA16" s="3475">
        <v>1</v>
      </c>
      <c r="AB16" s="3475">
        <v>1</v>
      </c>
      <c r="AC16" s="3475">
        <v>1</v>
      </c>
    </row>
    <row r="17" spans="1:29" ht="82.8">
      <c r="A17" s="379"/>
      <c r="B17" s="402" t="s">
        <v>1257</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98</v>
      </c>
      <c r="K17" s="563">
        <f>'比较法-商业110'!K17</f>
        <v>2</v>
      </c>
      <c r="L17" s="2719"/>
      <c r="M17" s="2713"/>
      <c r="N17" s="2713"/>
      <c r="O17" s="2713"/>
      <c r="P17" s="3772"/>
      <c r="Q17" s="3474" t="str">
        <f>B17</f>
        <v>交通便捷度</v>
      </c>
      <c r="R17" s="703" t="s">
        <v>14</v>
      </c>
      <c r="S17" s="704">
        <f>F17</f>
        <v>100</v>
      </c>
      <c r="T17" s="703" t="s">
        <v>14</v>
      </c>
      <c r="U17" s="704">
        <f>H17</f>
        <v>100</v>
      </c>
      <c r="V17" s="703" t="s">
        <v>14</v>
      </c>
      <c r="W17" s="704">
        <f>J17</f>
        <v>98</v>
      </c>
      <c r="X17" s="3476"/>
      <c r="Y17" s="3765"/>
      <c r="Z17" s="3477" t="str">
        <f>Q17</f>
        <v>交通便捷度</v>
      </c>
      <c r="AA17" s="3475">
        <f t="shared" si="3"/>
        <v>1</v>
      </c>
      <c r="AB17" s="3475">
        <f t="shared" si="4"/>
        <v>1</v>
      </c>
      <c r="AC17" s="3475">
        <f t="shared" si="5"/>
        <v>1.0204081632653061</v>
      </c>
    </row>
    <row r="18" spans="1:29" ht="15">
      <c r="A18" s="379"/>
      <c r="B18" s="407"/>
      <c r="C18" s="1899" t="s">
        <v>3447</v>
      </c>
      <c r="D18" s="401"/>
      <c r="E18" s="1899" t="s">
        <v>3447</v>
      </c>
      <c r="F18" s="404"/>
      <c r="G18" s="1900" t="s">
        <v>3447</v>
      </c>
      <c r="H18" s="399"/>
      <c r="I18" s="1901" t="s">
        <v>3487</v>
      </c>
      <c r="J18" s="399"/>
      <c r="K18" s="564"/>
      <c r="L18" s="2719"/>
      <c r="M18" s="2713"/>
      <c r="N18" s="2713"/>
      <c r="O18" s="2713"/>
      <c r="P18" s="3772"/>
      <c r="Q18" s="3474"/>
      <c r="R18" s="703"/>
      <c r="S18" s="704"/>
      <c r="T18" s="703"/>
      <c r="U18" s="704"/>
      <c r="V18" s="703"/>
      <c r="W18" s="704"/>
      <c r="X18" s="3476"/>
      <c r="Y18" s="3765"/>
      <c r="Z18" s="3477"/>
      <c r="AA18" s="3475">
        <v>1</v>
      </c>
      <c r="AB18" s="3475">
        <v>1</v>
      </c>
      <c r="AC18" s="3475">
        <v>1</v>
      </c>
    </row>
    <row r="19" spans="1:29" ht="41.4">
      <c r="A19" s="379"/>
      <c r="B19" s="402" t="s">
        <v>1776</v>
      </c>
      <c r="C19" s="1898" t="str">
        <f>估价对象房地状况!C7</f>
        <v>估价对象所在区域公共配套设施齐备情况</v>
      </c>
      <c r="D19" s="406">
        <v>100</v>
      </c>
      <c r="E19" s="408"/>
      <c r="F19" s="409">
        <f>SUMIF(80:80,E20,81:81)-SUMIF(80:80,C20,81:81)+100</f>
        <v>100</v>
      </c>
      <c r="G19" s="410"/>
      <c r="H19" s="401">
        <f>SUMIF(80:80,G20,81:81)-SUMIF(80:80,C20,81:81)+100</f>
        <v>102</v>
      </c>
      <c r="I19" s="408"/>
      <c r="J19" s="401">
        <f>SUMIF(80:80,I20,81:81)-SUMIF(80:80,C20,81:81)+100</f>
        <v>100</v>
      </c>
      <c r="K19" s="563">
        <f>'比较法-商业110'!K19</f>
        <v>2</v>
      </c>
      <c r="L19" s="2719"/>
      <c r="M19" s="2713"/>
      <c r="N19" s="2713"/>
      <c r="O19" s="2713"/>
      <c r="P19" s="3772"/>
      <c r="Q19" s="3474" t="str">
        <f>B19</f>
        <v>公共配套设施</v>
      </c>
      <c r="R19" s="703" t="s">
        <v>14</v>
      </c>
      <c r="S19" s="704">
        <f>F19</f>
        <v>100</v>
      </c>
      <c r="T19" s="703" t="s">
        <v>14</v>
      </c>
      <c r="U19" s="704">
        <f>H19</f>
        <v>102</v>
      </c>
      <c r="V19" s="703" t="s">
        <v>14</v>
      </c>
      <c r="W19" s="704">
        <f>J19</f>
        <v>100</v>
      </c>
      <c r="X19" s="3476"/>
      <c r="Y19" s="3765"/>
      <c r="Z19" s="3477" t="str">
        <f>Q19</f>
        <v>公共配套设施</v>
      </c>
      <c r="AA19" s="3475">
        <f t="shared" si="3"/>
        <v>1</v>
      </c>
      <c r="AB19" s="3475">
        <f t="shared" si="4"/>
        <v>0.98039215686274506</v>
      </c>
      <c r="AC19" s="3475">
        <f t="shared" si="5"/>
        <v>1</v>
      </c>
    </row>
    <row r="20" spans="1:29" ht="15">
      <c r="A20" s="379"/>
      <c r="B20" s="407"/>
      <c r="C20" s="398" t="s">
        <v>3447</v>
      </c>
      <c r="D20" s="399"/>
      <c r="E20" s="1896" t="s">
        <v>3447</v>
      </c>
      <c r="F20" s="400"/>
      <c r="G20" s="1895" t="s">
        <v>3448</v>
      </c>
      <c r="H20" s="399"/>
      <c r="I20" s="1896" t="s">
        <v>3447</v>
      </c>
      <c r="J20" s="399"/>
      <c r="K20" s="564"/>
      <c r="L20" s="2719"/>
      <c r="M20" s="2713"/>
      <c r="N20" s="2713"/>
      <c r="O20" s="2713"/>
      <c r="P20" s="3772"/>
      <c r="Q20" s="3474"/>
      <c r="R20" s="703"/>
      <c r="S20" s="704"/>
      <c r="T20" s="703"/>
      <c r="U20" s="704"/>
      <c r="V20" s="703"/>
      <c r="W20" s="704"/>
      <c r="X20" s="3476"/>
      <c r="Y20" s="3765"/>
      <c r="Z20" s="3477"/>
      <c r="AA20" s="3475">
        <v>1</v>
      </c>
      <c r="AB20" s="3475">
        <v>1</v>
      </c>
      <c r="AC20" s="3475">
        <v>1</v>
      </c>
    </row>
    <row r="21" spans="1:29" ht="27.6">
      <c r="A21" s="379"/>
      <c r="B21" s="1129" t="s">
        <v>1777</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f>'比较法-商业110'!K21</f>
        <v>1</v>
      </c>
      <c r="L21" s="2719"/>
      <c r="M21" s="2713"/>
      <c r="N21" s="2713"/>
      <c r="O21" s="2713"/>
      <c r="P21" s="3772"/>
      <c r="Q21" s="3474" t="str">
        <f>B21</f>
        <v>基础设施水平</v>
      </c>
      <c r="R21" s="703" t="s">
        <v>14</v>
      </c>
      <c r="S21" s="704">
        <f>F21</f>
        <v>100</v>
      </c>
      <c r="T21" s="703" t="s">
        <v>14</v>
      </c>
      <c r="U21" s="704">
        <f>H21</f>
        <v>100</v>
      </c>
      <c r="V21" s="703" t="s">
        <v>14</v>
      </c>
      <c r="W21" s="704">
        <f>J21</f>
        <v>100</v>
      </c>
      <c r="X21" s="3476"/>
      <c r="Y21" s="3765"/>
      <c r="Z21" s="3477" t="str">
        <f>Q21</f>
        <v>基础设施水平</v>
      </c>
      <c r="AA21" s="3475">
        <f t="shared" ref="AA21" si="8">D21/F21</f>
        <v>1</v>
      </c>
      <c r="AB21" s="3475">
        <f t="shared" ref="AB21" si="9">D21/H21</f>
        <v>1</v>
      </c>
      <c r="AC21" s="3475">
        <f t="shared" ref="AC21" si="10">D21/J21</f>
        <v>1</v>
      </c>
    </row>
    <row r="22" spans="1:29" ht="15">
      <c r="A22" s="379"/>
      <c r="B22" s="1129"/>
      <c r="C22" s="1899" t="s">
        <v>3449</v>
      </c>
      <c r="D22" s="399"/>
      <c r="E22" s="398" t="str">
        <f>C22</f>
        <v>七通</v>
      </c>
      <c r="F22" s="400"/>
      <c r="G22" s="398" t="str">
        <f>C22</f>
        <v>七通</v>
      </c>
      <c r="H22" s="399"/>
      <c r="I22" s="398" t="str">
        <f>C22</f>
        <v>七通</v>
      </c>
      <c r="J22" s="399"/>
      <c r="K22" s="1128"/>
      <c r="L22" s="2719"/>
      <c r="M22" s="2713"/>
      <c r="N22" s="2713"/>
      <c r="O22" s="2713"/>
      <c r="P22" s="3772"/>
      <c r="Q22" s="3474"/>
      <c r="R22" s="703"/>
      <c r="S22" s="704"/>
      <c r="T22" s="703"/>
      <c r="U22" s="704"/>
      <c r="V22" s="703"/>
      <c r="W22" s="704"/>
      <c r="X22" s="3476"/>
      <c r="Y22" s="3765"/>
      <c r="Z22" s="3477"/>
      <c r="AA22" s="3475">
        <v>1</v>
      </c>
      <c r="AB22" s="3475">
        <v>1</v>
      </c>
      <c r="AC22" s="3475">
        <v>1</v>
      </c>
    </row>
    <row r="23" spans="1:29" ht="55.2">
      <c r="A23" s="379"/>
      <c r="B23" s="402" t="s">
        <v>1259</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f>'比较法-商业110'!K23</f>
        <v>2</v>
      </c>
      <c r="L23" s="2719"/>
      <c r="M23" s="2713"/>
      <c r="N23" s="2713"/>
      <c r="O23" s="2713"/>
      <c r="P23" s="3772"/>
      <c r="Q23" s="3474" t="str">
        <f>B23</f>
        <v>自然及人文环境</v>
      </c>
      <c r="R23" s="703" t="s">
        <v>14</v>
      </c>
      <c r="S23" s="704">
        <f>F23</f>
        <v>100</v>
      </c>
      <c r="T23" s="703" t="s">
        <v>14</v>
      </c>
      <c r="U23" s="704">
        <f>H23</f>
        <v>100</v>
      </c>
      <c r="V23" s="703" t="s">
        <v>14</v>
      </c>
      <c r="W23" s="704">
        <f>J23</f>
        <v>100</v>
      </c>
      <c r="X23" s="3476"/>
      <c r="Y23" s="3765"/>
      <c r="Z23" s="3477" t="str">
        <f>Q23</f>
        <v>自然及人文环境</v>
      </c>
      <c r="AA23" s="3475">
        <f t="shared" si="3"/>
        <v>1</v>
      </c>
      <c r="AB23" s="3475">
        <f t="shared" si="4"/>
        <v>1</v>
      </c>
      <c r="AC23" s="3475">
        <f t="shared" si="5"/>
        <v>1</v>
      </c>
    </row>
    <row r="24" spans="1:29" ht="15">
      <c r="A24" s="379"/>
      <c r="B24" s="407"/>
      <c r="C24" s="398" t="s">
        <v>3448</v>
      </c>
      <c r="D24" s="399"/>
      <c r="E24" s="1896" t="s">
        <v>3448</v>
      </c>
      <c r="F24" s="400"/>
      <c r="G24" s="1895" t="s">
        <v>3448</v>
      </c>
      <c r="H24" s="399"/>
      <c r="I24" s="1896" t="s">
        <v>3448</v>
      </c>
      <c r="J24" s="399"/>
      <c r="K24" s="564"/>
      <c r="L24" s="2719"/>
      <c r="M24" s="2713"/>
      <c r="N24" s="2713"/>
      <c r="O24" s="2713"/>
      <c r="P24" s="3772"/>
      <c r="Q24" s="3474"/>
      <c r="R24" s="703"/>
      <c r="S24" s="704"/>
      <c r="T24" s="703"/>
      <c r="U24" s="704"/>
      <c r="V24" s="703"/>
      <c r="W24" s="704"/>
      <c r="X24" s="3476"/>
      <c r="Y24" s="3765"/>
      <c r="Z24" s="3477"/>
      <c r="AA24" s="3475">
        <v>1</v>
      </c>
      <c r="AB24" s="3475">
        <v>1</v>
      </c>
      <c r="AC24" s="3475">
        <v>1</v>
      </c>
    </row>
    <row r="25" spans="1:29" ht="15">
      <c r="A25" s="379"/>
      <c r="B25" s="375" t="s">
        <v>1778</v>
      </c>
      <c r="C25" s="565" t="s">
        <v>3555</v>
      </c>
      <c r="D25" s="386">
        <v>100</v>
      </c>
      <c r="E25" s="565" t="s">
        <v>3553</v>
      </c>
      <c r="F25" s="412">
        <f>SUMIF(86:86,E25,87:87)-SUMIF(86:86,C25,87:87)+100</f>
        <v>101</v>
      </c>
      <c r="G25" s="565" t="s">
        <v>3555</v>
      </c>
      <c r="H25" s="386">
        <f>SUMIF(86:86,G25,87:87)-SUMIF(86:86,C25,87:87)+100</f>
        <v>100</v>
      </c>
      <c r="I25" s="565" t="s">
        <v>3557</v>
      </c>
      <c r="J25" s="386">
        <f>SUMIF(86:86,I25,87:87)-SUMIF(86:86,C25,87:87)+100</f>
        <v>99</v>
      </c>
      <c r="K25" s="561">
        <f>'比较法-商业110'!K25</f>
        <v>1</v>
      </c>
      <c r="L25" s="2719"/>
      <c r="M25" s="2713"/>
      <c r="N25" s="2713"/>
      <c r="O25" s="2713"/>
      <c r="P25" s="3772"/>
      <c r="Q25" s="3474" t="str">
        <f t="shared" ref="Q25:Q46" si="11">B25</f>
        <v>临街状况</v>
      </c>
      <c r="R25" s="703" t="s">
        <v>14</v>
      </c>
      <c r="S25" s="704">
        <f>F25</f>
        <v>101</v>
      </c>
      <c r="T25" s="703" t="s">
        <v>14</v>
      </c>
      <c r="U25" s="704">
        <f>H25</f>
        <v>100</v>
      </c>
      <c r="V25" s="703" t="s">
        <v>14</v>
      </c>
      <c r="W25" s="704">
        <f>J25</f>
        <v>99</v>
      </c>
      <c r="X25" s="3476"/>
      <c r="Y25" s="3765"/>
      <c r="Z25" s="3477" t="str">
        <f>Q25</f>
        <v>临街状况</v>
      </c>
      <c r="AA25" s="3475">
        <f t="shared" si="3"/>
        <v>0.99009900990099009</v>
      </c>
      <c r="AB25" s="3475">
        <f t="shared" si="4"/>
        <v>1</v>
      </c>
      <c r="AC25" s="3475">
        <f t="shared" si="5"/>
        <v>1.0101010101010102</v>
      </c>
    </row>
    <row r="26" spans="1:29" ht="15">
      <c r="A26" s="379"/>
      <c r="B26" s="1131" t="s">
        <v>1779</v>
      </c>
      <c r="C26" s="3481" t="s">
        <v>3530</v>
      </c>
      <c r="D26" s="386">
        <v>100</v>
      </c>
      <c r="E26" s="3481" t="s">
        <v>3493</v>
      </c>
      <c r="F26" s="412">
        <f>SUMIF(88:88,E26,89:89)-SUMIF(88:88,C26,89:89)+100</f>
        <v>103</v>
      </c>
      <c r="G26" s="3481" t="s">
        <v>3493</v>
      </c>
      <c r="H26" s="386">
        <f>SUMIF(88:88,G26,89:89)-SUMIF(88:88,C26,89:89)+100</f>
        <v>103</v>
      </c>
      <c r="I26" s="3481" t="s">
        <v>3493</v>
      </c>
      <c r="J26" s="386">
        <f>SUMIF(88:88,I26,89:89)-SUMIF(88:88,C26,89:89)+100</f>
        <v>103</v>
      </c>
      <c r="K26" s="562"/>
      <c r="L26" s="2719"/>
      <c r="M26" s="2713"/>
      <c r="N26" s="2713"/>
      <c r="O26" s="2713"/>
      <c r="P26" s="3772"/>
      <c r="Q26" s="3474" t="str">
        <f t="shared" si="11"/>
        <v>平面位置/可视性</v>
      </c>
      <c r="R26" s="703" t="s">
        <v>14</v>
      </c>
      <c r="S26" s="704">
        <f>F26</f>
        <v>103</v>
      </c>
      <c r="T26" s="703" t="s">
        <v>14</v>
      </c>
      <c r="U26" s="704">
        <f>H26</f>
        <v>103</v>
      </c>
      <c r="V26" s="703" t="s">
        <v>14</v>
      </c>
      <c r="W26" s="704">
        <f>J26</f>
        <v>103</v>
      </c>
      <c r="X26" s="3476"/>
      <c r="Y26" s="3765"/>
      <c r="Z26" s="3477" t="str">
        <f>Q26</f>
        <v>平面位置/可视性</v>
      </c>
      <c r="AA26" s="3475">
        <f t="shared" si="3"/>
        <v>0.970873786407767</v>
      </c>
      <c r="AB26" s="3475">
        <f t="shared" si="4"/>
        <v>0.970873786407767</v>
      </c>
      <c r="AC26" s="3475">
        <f t="shared" si="5"/>
        <v>0.970873786407767</v>
      </c>
    </row>
    <row r="27" spans="1:29" s="108" customFormat="1" ht="15">
      <c r="A27" s="382"/>
      <c r="B27" s="402" t="s">
        <v>1780</v>
      </c>
      <c r="C27" s="1954" t="s">
        <v>3447</v>
      </c>
      <c r="D27" s="413">
        <v>100</v>
      </c>
      <c r="E27" s="1954" t="s">
        <v>3447</v>
      </c>
      <c r="F27" s="415">
        <f>SUMIF(90:90,E27,91:91)-SUMIF(90:90,C27,91:91)+100</f>
        <v>100</v>
      </c>
      <c r="G27" s="1954" t="s">
        <v>3447</v>
      </c>
      <c r="H27" s="413">
        <f>SUMIF(90:90,G27,91:91)-SUMIF(90:90,C27,91:91)+100</f>
        <v>100</v>
      </c>
      <c r="I27" s="1954" t="s">
        <v>3447</v>
      </c>
      <c r="J27" s="413">
        <f>SUMIF(90:90,I27,91:91)-SUMIF(90:90,C27,91:91)+100</f>
        <v>100</v>
      </c>
      <c r="K27" s="561">
        <f>'比较法-商业110'!K27</f>
        <v>2</v>
      </c>
      <c r="L27" s="2714"/>
      <c r="M27" s="2715"/>
      <c r="N27" s="2715"/>
      <c r="O27" s="2715"/>
      <c r="P27" s="3772"/>
      <c r="Q27" s="3466" t="str">
        <f t="shared" si="11"/>
        <v>人流量</v>
      </c>
      <c r="R27" s="699" t="s">
        <v>14</v>
      </c>
      <c r="S27" s="700">
        <f>F27</f>
        <v>100</v>
      </c>
      <c r="T27" s="699" t="s">
        <v>14</v>
      </c>
      <c r="U27" s="700">
        <f>H27</f>
        <v>100</v>
      </c>
      <c r="V27" s="699" t="s">
        <v>14</v>
      </c>
      <c r="W27" s="700">
        <f>J27</f>
        <v>100</v>
      </c>
      <c r="X27" s="701"/>
      <c r="Y27" s="3765"/>
      <c r="Z27" s="3464" t="str">
        <f>Q27</f>
        <v>人流量</v>
      </c>
      <c r="AA27" s="3475">
        <f>D27/F27</f>
        <v>1</v>
      </c>
      <c r="AB27" s="3475">
        <f>D27/H27</f>
        <v>1</v>
      </c>
      <c r="AC27" s="3475">
        <f>D27/J27</f>
        <v>1</v>
      </c>
    </row>
    <row r="28" spans="1:29" ht="15.6" thickBot="1">
      <c r="A28" s="379"/>
      <c r="B28" s="375" t="s">
        <v>1781</v>
      </c>
      <c r="C28" s="565" t="s">
        <v>3552</v>
      </c>
      <c r="D28" s="386">
        <v>100</v>
      </c>
      <c r="E28" s="565" t="s">
        <v>3552</v>
      </c>
      <c r="F28" s="412">
        <f>SUMIF(92:92,E28,93:93)-SUMIF(92:92,C28,93:93)+100</f>
        <v>100</v>
      </c>
      <c r="G28" s="565" t="s">
        <v>3552</v>
      </c>
      <c r="H28" s="386">
        <f>SUMIF(92:92,G28,93:93)-SUMIF(92:92,C28,93:93)+100</f>
        <v>100</v>
      </c>
      <c r="I28" s="565" t="s">
        <v>3552</v>
      </c>
      <c r="J28" s="386">
        <f>SUMIF(92:92,I28,93:93)-SUMIF(92:92,C28,93:93)+100</f>
        <v>100</v>
      </c>
      <c r="K28" s="562"/>
      <c r="L28" s="2719"/>
      <c r="M28" s="2713"/>
      <c r="N28" s="2713"/>
      <c r="O28" s="2713"/>
      <c r="P28" s="3772"/>
      <c r="Q28" s="3474" t="str">
        <f t="shared" si="11"/>
        <v>楼层</v>
      </c>
      <c r="R28" s="703" t="s">
        <v>14</v>
      </c>
      <c r="S28" s="704">
        <f t="shared" ref="S28:S46" si="12">F28</f>
        <v>100</v>
      </c>
      <c r="T28" s="703" t="s">
        <v>14</v>
      </c>
      <c r="U28" s="704">
        <f t="shared" ref="U28:U46" si="13">H28</f>
        <v>100</v>
      </c>
      <c r="V28" s="703" t="s">
        <v>14</v>
      </c>
      <c r="W28" s="704">
        <f t="shared" ref="W28:W46" si="14">J28</f>
        <v>100</v>
      </c>
      <c r="X28" s="3476"/>
      <c r="Y28" s="3765"/>
      <c r="Z28" s="3477" t="str">
        <f t="shared" ref="Z28:Z46" si="15">Q28</f>
        <v>楼层</v>
      </c>
      <c r="AA28" s="3475">
        <f t="shared" si="3"/>
        <v>1</v>
      </c>
      <c r="AB28" s="3475">
        <f t="shared" si="4"/>
        <v>1</v>
      </c>
      <c r="AC28" s="3475">
        <f t="shared" si="5"/>
        <v>1</v>
      </c>
    </row>
    <row r="29" spans="1:29" ht="15.6" hidden="1" thickBot="1">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72"/>
      <c r="Q29" s="3474">
        <f t="shared" si="11"/>
        <v>111</v>
      </c>
      <c r="R29" s="703" t="s">
        <v>14</v>
      </c>
      <c r="S29" s="704">
        <f t="shared" si="12"/>
        <v>100</v>
      </c>
      <c r="T29" s="703" t="s">
        <v>14</v>
      </c>
      <c r="U29" s="704">
        <f t="shared" si="13"/>
        <v>100</v>
      </c>
      <c r="V29" s="703" t="s">
        <v>14</v>
      </c>
      <c r="W29" s="704">
        <f t="shared" si="14"/>
        <v>100</v>
      </c>
      <c r="X29" s="3476"/>
      <c r="Y29" s="3765"/>
      <c r="Z29" s="3477">
        <f t="shared" si="15"/>
        <v>111</v>
      </c>
      <c r="AA29" s="3475">
        <f t="shared" si="3"/>
        <v>1</v>
      </c>
      <c r="AB29" s="3475">
        <f t="shared" si="4"/>
        <v>1</v>
      </c>
      <c r="AC29" s="3475">
        <f t="shared" si="5"/>
        <v>1</v>
      </c>
    </row>
    <row r="30" spans="1:29" ht="15.6" hidden="1" thickBot="1">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72"/>
      <c r="Q30" s="3474">
        <f t="shared" si="11"/>
        <v>111</v>
      </c>
      <c r="R30" s="703" t="s">
        <v>14</v>
      </c>
      <c r="S30" s="704">
        <f t="shared" si="12"/>
        <v>100</v>
      </c>
      <c r="T30" s="703" t="s">
        <v>14</v>
      </c>
      <c r="U30" s="704">
        <f t="shared" si="13"/>
        <v>100</v>
      </c>
      <c r="V30" s="703" t="s">
        <v>14</v>
      </c>
      <c r="W30" s="704">
        <f t="shared" si="14"/>
        <v>100</v>
      </c>
      <c r="X30" s="3476"/>
      <c r="Y30" s="3765"/>
      <c r="Z30" s="3477">
        <f t="shared" si="15"/>
        <v>111</v>
      </c>
      <c r="AA30" s="3475">
        <f t="shared" si="3"/>
        <v>1</v>
      </c>
      <c r="AB30" s="3475">
        <f t="shared" si="4"/>
        <v>1</v>
      </c>
      <c r="AC30" s="3475">
        <f t="shared" si="5"/>
        <v>1</v>
      </c>
    </row>
    <row r="31" spans="1:29" ht="15.6" hidden="1"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72"/>
      <c r="Q31" s="3474">
        <f t="shared" si="11"/>
        <v>111</v>
      </c>
      <c r="R31" s="703" t="s">
        <v>14</v>
      </c>
      <c r="S31" s="704">
        <f t="shared" si="12"/>
        <v>100</v>
      </c>
      <c r="T31" s="703" t="s">
        <v>14</v>
      </c>
      <c r="U31" s="704">
        <f t="shared" si="13"/>
        <v>100</v>
      </c>
      <c r="V31" s="703" t="s">
        <v>14</v>
      </c>
      <c r="W31" s="704">
        <f t="shared" si="14"/>
        <v>100</v>
      </c>
      <c r="X31" s="3476"/>
      <c r="Y31" s="3765"/>
      <c r="Z31" s="3477">
        <f t="shared" si="15"/>
        <v>111</v>
      </c>
      <c r="AA31" s="3475">
        <f t="shared" si="3"/>
        <v>1</v>
      </c>
      <c r="AB31" s="3475">
        <f t="shared" si="4"/>
        <v>1</v>
      </c>
      <c r="AC31" s="3475">
        <f t="shared" si="5"/>
        <v>1</v>
      </c>
    </row>
    <row r="32" spans="1:29" ht="15">
      <c r="A32" s="391" t="s">
        <v>1692</v>
      </c>
      <c r="B32" s="63" t="s">
        <v>1782</v>
      </c>
      <c r="C32" s="1908" t="s">
        <v>3450</v>
      </c>
      <c r="D32" s="418">
        <v>100</v>
      </c>
      <c r="E32" s="1908" t="s">
        <v>3450</v>
      </c>
      <c r="F32" s="412">
        <f>SUMIF(100:100,E32,101:101)-SUMIF(100:100,C32,101:101)+100</f>
        <v>100</v>
      </c>
      <c r="G32" s="1908" t="s">
        <v>3450</v>
      </c>
      <c r="H32" s="386">
        <f>SUMIF(100:100,G32,101:101)-SUMIF(100:100,C32,101:101)+100</f>
        <v>100</v>
      </c>
      <c r="I32" s="1908" t="s">
        <v>3450</v>
      </c>
      <c r="J32" s="418">
        <f>SUMIF(100:100,I32,101:101)-SUMIF(100:100,C32,101:101)+100</f>
        <v>100</v>
      </c>
      <c r="K32" s="561">
        <f>'比较法-商业110'!K32</f>
        <v>2</v>
      </c>
      <c r="L32" s="2719"/>
      <c r="M32" s="2713"/>
      <c r="N32" s="2713"/>
      <c r="O32" s="2713"/>
      <c r="P32" s="3766" t="s">
        <v>1694</v>
      </c>
      <c r="Q32" s="3474" t="str">
        <f t="shared" si="11"/>
        <v>商业类型</v>
      </c>
      <c r="R32" s="703" t="s">
        <v>14</v>
      </c>
      <c r="S32" s="704">
        <f t="shared" si="12"/>
        <v>100</v>
      </c>
      <c r="T32" s="703" t="s">
        <v>14</v>
      </c>
      <c r="U32" s="704">
        <f t="shared" si="13"/>
        <v>100</v>
      </c>
      <c r="V32" s="703" t="s">
        <v>14</v>
      </c>
      <c r="W32" s="704">
        <f t="shared" si="14"/>
        <v>100</v>
      </c>
      <c r="X32" s="3476"/>
      <c r="Y32" s="3769" t="s">
        <v>1694</v>
      </c>
      <c r="Z32" s="3477" t="str">
        <f t="shared" si="15"/>
        <v>商业类型</v>
      </c>
      <c r="AA32" s="3475">
        <f t="shared" si="3"/>
        <v>1</v>
      </c>
      <c r="AB32" s="3475">
        <f t="shared" si="4"/>
        <v>1</v>
      </c>
      <c r="AC32" s="3475">
        <f t="shared" si="5"/>
        <v>1</v>
      </c>
    </row>
    <row r="33" spans="1:29" s="422" customFormat="1" ht="15">
      <c r="A33" s="419"/>
      <c r="B33" s="375" t="s">
        <v>1695</v>
      </c>
      <c r="C33" s="420">
        <f>'数据-汇总表'!E20</f>
        <v>253.05</v>
      </c>
      <c r="D33" s="127">
        <v>100</v>
      </c>
      <c r="E33" s="381">
        <v>64.459999999999994</v>
      </c>
      <c r="F33" s="376">
        <f>LOOKUP(E33,103:103,104:104)-LOOKUP(C33,103:103,104:104)+100</f>
        <v>111</v>
      </c>
      <c r="G33" s="380">
        <f>'比较法-商业110'!G33</f>
        <v>108.36</v>
      </c>
      <c r="H33" s="127">
        <f>LOOKUP(G33,103:103,104:104)-LOOKUP(C33,103:103,104:104)+100</f>
        <v>106</v>
      </c>
      <c r="I33" s="380">
        <v>57.41</v>
      </c>
      <c r="J33" s="127">
        <f>LOOKUP(I33,103:103,104:104)-LOOKUP(C33,103:103,104:104)+100</f>
        <v>111</v>
      </c>
      <c r="K33" s="562"/>
      <c r="L33" s="2718"/>
      <c r="M33" s="2720"/>
      <c r="N33" s="2720"/>
      <c r="O33" s="2720"/>
      <c r="P33" s="3767"/>
      <c r="Q33" s="705" t="str">
        <f t="shared" si="11"/>
        <v>项目建筑规模</v>
      </c>
      <c r="R33" s="706" t="s">
        <v>14</v>
      </c>
      <c r="S33" s="707">
        <f t="shared" si="12"/>
        <v>111</v>
      </c>
      <c r="T33" s="706" t="s">
        <v>14</v>
      </c>
      <c r="U33" s="707">
        <f t="shared" si="13"/>
        <v>106</v>
      </c>
      <c r="V33" s="706" t="s">
        <v>14</v>
      </c>
      <c r="W33" s="707">
        <f t="shared" si="14"/>
        <v>111</v>
      </c>
      <c r="X33" s="708"/>
      <c r="Y33" s="3769"/>
      <c r="Z33" s="709" t="str">
        <f t="shared" si="15"/>
        <v>项目建筑规模</v>
      </c>
      <c r="AA33" s="3475">
        <f t="shared" si="3"/>
        <v>0.90090090090090091</v>
      </c>
      <c r="AB33" s="3475">
        <f t="shared" si="4"/>
        <v>0.94339622641509435</v>
      </c>
      <c r="AC33" s="3475">
        <f t="shared" si="5"/>
        <v>0.90090090090090091</v>
      </c>
    </row>
    <row r="34" spans="1:29" ht="15">
      <c r="A34" s="423"/>
      <c r="B34" s="375" t="s">
        <v>1696</v>
      </c>
      <c r="C34" s="1910" t="s">
        <v>3395</v>
      </c>
      <c r="D34" s="386">
        <v>100</v>
      </c>
      <c r="E34" s="1910" t="s">
        <v>3395</v>
      </c>
      <c r="F34" s="412">
        <f>SUMIF(105:105,E34,106:106)-SUMIF(105:105,C34,106:106)+100</f>
        <v>100</v>
      </c>
      <c r="G34" s="1910" t="s">
        <v>3395</v>
      </c>
      <c r="H34" s="386">
        <f>SUMIF(105:105,G34,106:106)-SUMIF(105:105,C34,106:106)+100</f>
        <v>100</v>
      </c>
      <c r="I34" s="1910" t="s">
        <v>3395</v>
      </c>
      <c r="J34" s="386">
        <f>SUMIF(105:105,I34,106:106)-SUMIF(105:105,C34,106:106)+100</f>
        <v>100</v>
      </c>
      <c r="K34" s="561">
        <f>'比较法-商业110'!K34</f>
        <v>2</v>
      </c>
      <c r="L34" s="2719"/>
      <c r="M34" s="2713"/>
      <c r="N34" s="2713"/>
      <c r="O34" s="2713"/>
      <c r="P34" s="3767"/>
      <c r="Q34" s="3474" t="str">
        <f t="shared" si="11"/>
        <v>建筑结构</v>
      </c>
      <c r="R34" s="703" t="s">
        <v>14</v>
      </c>
      <c r="S34" s="704">
        <f t="shared" si="12"/>
        <v>100</v>
      </c>
      <c r="T34" s="703" t="s">
        <v>14</v>
      </c>
      <c r="U34" s="704">
        <f t="shared" si="13"/>
        <v>100</v>
      </c>
      <c r="V34" s="703" t="s">
        <v>14</v>
      </c>
      <c r="W34" s="704">
        <f t="shared" si="14"/>
        <v>100</v>
      </c>
      <c r="X34" s="3476"/>
      <c r="Y34" s="3769"/>
      <c r="Z34" s="3477" t="str">
        <f t="shared" si="15"/>
        <v>建筑结构</v>
      </c>
      <c r="AA34" s="3475">
        <f t="shared" si="3"/>
        <v>1</v>
      </c>
      <c r="AB34" s="3475">
        <f t="shared" si="4"/>
        <v>1</v>
      </c>
      <c r="AC34" s="3475">
        <f t="shared" si="5"/>
        <v>1</v>
      </c>
    </row>
    <row r="35" spans="1:29" ht="15">
      <c r="A35" s="423"/>
      <c r="B35" s="375" t="s">
        <v>1783</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9"/>
      <c r="M35" s="2713"/>
      <c r="N35" s="2713"/>
      <c r="O35" s="2713"/>
      <c r="P35" s="3767"/>
      <c r="Q35" s="3474" t="str">
        <f t="shared" si="11"/>
        <v>公共部分装修</v>
      </c>
      <c r="R35" s="703" t="s">
        <v>14</v>
      </c>
      <c r="S35" s="704">
        <f t="shared" si="12"/>
        <v>100</v>
      </c>
      <c r="T35" s="703" t="s">
        <v>14</v>
      </c>
      <c r="U35" s="704">
        <f t="shared" si="13"/>
        <v>100</v>
      </c>
      <c r="V35" s="703" t="s">
        <v>14</v>
      </c>
      <c r="W35" s="704">
        <f t="shared" si="14"/>
        <v>100</v>
      </c>
      <c r="X35" s="3476"/>
      <c r="Y35" s="3769"/>
      <c r="Z35" s="3477" t="str">
        <f t="shared" si="15"/>
        <v>公共部分装修</v>
      </c>
      <c r="AA35" s="3475">
        <f t="shared" si="3"/>
        <v>1</v>
      </c>
      <c r="AB35" s="3475">
        <f t="shared" si="4"/>
        <v>1</v>
      </c>
      <c r="AC35" s="3475">
        <f t="shared" si="5"/>
        <v>1</v>
      </c>
    </row>
    <row r="36" spans="1:29" ht="15">
      <c r="A36" s="423"/>
      <c r="B36" s="375" t="s">
        <v>1784</v>
      </c>
      <c r="C36" s="425">
        <f>'数据-取费表'!N6</f>
        <v>0.88</v>
      </c>
      <c r="D36" s="386">
        <v>100</v>
      </c>
      <c r="E36" s="425">
        <f>C36</f>
        <v>0.88</v>
      </c>
      <c r="F36" s="412">
        <f>LOOKUP(E36,110:110,111:111)-LOOKUP(C36,110:110,111:111)+100</f>
        <v>100</v>
      </c>
      <c r="G36" s="425">
        <f>'比较法-商业110'!G36</f>
        <v>0.8</v>
      </c>
      <c r="H36" s="412">
        <f>LOOKUP(G36,110:110,111:111)-LOOKUP(C36,110:110,111:111)+100</f>
        <v>100</v>
      </c>
      <c r="I36" s="3492">
        <f>N38</f>
        <v>0.82</v>
      </c>
      <c r="J36" s="386">
        <f>LOOKUP(I36,110:110,111:111)-LOOKUP(C36,110:110,111:111)+100</f>
        <v>100</v>
      </c>
      <c r="K36" s="561"/>
      <c r="L36" s="2719"/>
      <c r="M36" s="3490" t="s">
        <v>3513</v>
      </c>
      <c r="N36" s="3490" t="s">
        <v>3514</v>
      </c>
      <c r="O36" s="2713"/>
      <c r="P36" s="3767"/>
      <c r="Q36" s="3474" t="str">
        <f t="shared" si="11"/>
        <v>成新度</v>
      </c>
      <c r="R36" s="703" t="s">
        <v>14</v>
      </c>
      <c r="S36" s="704">
        <f t="shared" si="12"/>
        <v>100</v>
      </c>
      <c r="T36" s="703" t="s">
        <v>14</v>
      </c>
      <c r="U36" s="704">
        <f t="shared" si="13"/>
        <v>100</v>
      </c>
      <c r="V36" s="703" t="s">
        <v>14</v>
      </c>
      <c r="W36" s="704">
        <f t="shared" si="14"/>
        <v>100</v>
      </c>
      <c r="X36" s="3476"/>
      <c r="Y36" s="3769"/>
      <c r="Z36" s="3477" t="str">
        <f t="shared" si="15"/>
        <v>成新度</v>
      </c>
      <c r="AA36" s="3475">
        <f t="shared" si="3"/>
        <v>1</v>
      </c>
      <c r="AB36" s="3475">
        <f t="shared" si="4"/>
        <v>1</v>
      </c>
      <c r="AC36" s="3475">
        <f t="shared" si="5"/>
        <v>1</v>
      </c>
    </row>
    <row r="37" spans="1:29" s="108" customFormat="1" ht="15">
      <c r="A37" s="424"/>
      <c r="B37" s="375" t="s">
        <v>1785</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v>2013</v>
      </c>
      <c r="O37" s="2715"/>
      <c r="P37" s="3767"/>
      <c r="Q37" s="3466" t="str">
        <f t="shared" si="11"/>
        <v>市政基础设施</v>
      </c>
      <c r="R37" s="699" t="s">
        <v>14</v>
      </c>
      <c r="S37" s="700">
        <f t="shared" si="12"/>
        <v>100</v>
      </c>
      <c r="T37" s="699" t="s">
        <v>14</v>
      </c>
      <c r="U37" s="700">
        <f t="shared" si="13"/>
        <v>100</v>
      </c>
      <c r="V37" s="699" t="s">
        <v>14</v>
      </c>
      <c r="W37" s="700">
        <f t="shared" si="14"/>
        <v>100</v>
      </c>
      <c r="X37" s="701"/>
      <c r="Y37" s="3769"/>
      <c r="Z37" s="3464" t="str">
        <f t="shared" si="15"/>
        <v>市政基础设施</v>
      </c>
      <c r="AA37" s="702">
        <f t="shared" si="3"/>
        <v>1</v>
      </c>
      <c r="AB37" s="702">
        <f t="shared" si="4"/>
        <v>1</v>
      </c>
      <c r="AC37" s="702">
        <f t="shared" si="5"/>
        <v>1</v>
      </c>
    </row>
    <row r="38" spans="1:29" ht="15">
      <c r="A38" s="423"/>
      <c r="B38" s="375" t="s">
        <v>1786</v>
      </c>
      <c r="C38" s="1904" t="s">
        <v>3457</v>
      </c>
      <c r="D38" s="386">
        <v>100</v>
      </c>
      <c r="E38" s="1904" t="s">
        <v>3457</v>
      </c>
      <c r="F38" s="412">
        <f>SUMIF(114:114,E38,115:115)-SUMIF(114:114,C38,115:115)+100</f>
        <v>100</v>
      </c>
      <c r="G38" s="1904" t="s">
        <v>3503</v>
      </c>
      <c r="H38" s="386">
        <f>SUMIF(114:114,G38,115:115)-SUMIF(114:114,C38,115:115)+100</f>
        <v>95</v>
      </c>
      <c r="I38" s="1904" t="s">
        <v>3503</v>
      </c>
      <c r="J38" s="386">
        <f>SUMIF(114:114,I38,115:115)-SUMIF(114:114,C38,115:115)+100</f>
        <v>95</v>
      </c>
      <c r="K38" s="561">
        <f>'比较法-商业110'!K38</f>
        <v>5</v>
      </c>
      <c r="L38" s="2719"/>
      <c r="M38" s="3490" t="s">
        <v>3515</v>
      </c>
      <c r="N38" s="2713">
        <f>ROUND(1-(1-0)*(2024-N37)/60,2)</f>
        <v>0.82</v>
      </c>
      <c r="O38" s="2713"/>
      <c r="P38" s="3767" t="s">
        <v>1694</v>
      </c>
      <c r="Q38" s="3474" t="str">
        <f t="shared" si="11"/>
        <v>业态</v>
      </c>
      <c r="R38" s="703" t="s">
        <v>14</v>
      </c>
      <c r="S38" s="704">
        <f t="shared" si="12"/>
        <v>100</v>
      </c>
      <c r="T38" s="703" t="s">
        <v>14</v>
      </c>
      <c r="U38" s="704">
        <f t="shared" si="13"/>
        <v>95</v>
      </c>
      <c r="V38" s="703" t="s">
        <v>14</v>
      </c>
      <c r="W38" s="704">
        <f t="shared" si="14"/>
        <v>95</v>
      </c>
      <c r="X38" s="3476"/>
      <c r="Y38" s="3769" t="s">
        <v>1694</v>
      </c>
      <c r="Z38" s="3477" t="str">
        <f t="shared" si="15"/>
        <v>业态</v>
      </c>
      <c r="AA38" s="3475">
        <f t="shared" si="3"/>
        <v>1</v>
      </c>
      <c r="AB38" s="3475">
        <f t="shared" si="4"/>
        <v>1.0526315789473684</v>
      </c>
      <c r="AC38" s="3475">
        <f t="shared" si="5"/>
        <v>1.0526315789473684</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9"/>
      <c r="M39" s="2713"/>
      <c r="N39" s="2713"/>
      <c r="O39" s="2713"/>
      <c r="P39" s="3767"/>
      <c r="Q39" s="3474" t="str">
        <f t="shared" si="11"/>
        <v>层高</v>
      </c>
      <c r="R39" s="703" t="s">
        <v>14</v>
      </c>
      <c r="S39" s="704">
        <f t="shared" si="12"/>
        <v>100</v>
      </c>
      <c r="T39" s="703" t="s">
        <v>14</v>
      </c>
      <c r="U39" s="704">
        <f t="shared" si="13"/>
        <v>100</v>
      </c>
      <c r="V39" s="703" t="s">
        <v>14</v>
      </c>
      <c r="W39" s="704">
        <f t="shared" si="14"/>
        <v>100</v>
      </c>
      <c r="X39" s="3476"/>
      <c r="Y39" s="3769"/>
      <c r="Z39" s="3477" t="str">
        <f t="shared" si="15"/>
        <v>层高</v>
      </c>
      <c r="AA39" s="3475">
        <f t="shared" si="3"/>
        <v>1</v>
      </c>
      <c r="AB39" s="3475">
        <f t="shared" si="4"/>
        <v>1</v>
      </c>
      <c r="AC39" s="3475">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67"/>
      <c r="Q40" s="3474" t="str">
        <f t="shared" si="11"/>
        <v>单套建筑面积</v>
      </c>
      <c r="R40" s="703" t="s">
        <v>14</v>
      </c>
      <c r="S40" s="704">
        <f t="shared" si="12"/>
        <v>100</v>
      </c>
      <c r="T40" s="703" t="s">
        <v>14</v>
      </c>
      <c r="U40" s="704">
        <f t="shared" si="13"/>
        <v>100</v>
      </c>
      <c r="V40" s="703" t="s">
        <v>14</v>
      </c>
      <c r="W40" s="704">
        <f t="shared" si="14"/>
        <v>100</v>
      </c>
      <c r="X40" s="3476"/>
      <c r="Y40" s="3769"/>
      <c r="Z40" s="3477" t="str">
        <f t="shared" si="15"/>
        <v>单套建筑面积</v>
      </c>
      <c r="AA40" s="3475">
        <f t="shared" si="3"/>
        <v>1</v>
      </c>
      <c r="AB40" s="3475">
        <f t="shared" si="4"/>
        <v>1</v>
      </c>
      <c r="AC40" s="3475">
        <f t="shared" si="5"/>
        <v>1</v>
      </c>
    </row>
    <row r="41" spans="1:29" s="422" customFormat="1" ht="15">
      <c r="A41" s="419"/>
      <c r="B41" s="3473"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67"/>
      <c r="Q41" s="705" t="str">
        <f t="shared" si="11"/>
        <v>进深比</v>
      </c>
      <c r="R41" s="706" t="s">
        <v>14</v>
      </c>
      <c r="S41" s="707">
        <f t="shared" si="12"/>
        <v>100</v>
      </c>
      <c r="T41" s="706" t="s">
        <v>14</v>
      </c>
      <c r="U41" s="707">
        <f t="shared" si="13"/>
        <v>100</v>
      </c>
      <c r="V41" s="706" t="s">
        <v>14</v>
      </c>
      <c r="W41" s="707">
        <f t="shared" si="14"/>
        <v>100</v>
      </c>
      <c r="X41" s="708"/>
      <c r="Y41" s="3769"/>
      <c r="Z41" s="709" t="str">
        <f t="shared" si="15"/>
        <v>进深比</v>
      </c>
      <c r="AA41" s="3475">
        <f t="shared" si="3"/>
        <v>1</v>
      </c>
      <c r="AB41" s="3475">
        <f t="shared" si="4"/>
        <v>1</v>
      </c>
      <c r="AC41" s="3475">
        <f t="shared" si="5"/>
        <v>1</v>
      </c>
    </row>
    <row r="42" spans="1:29" ht="15">
      <c r="A42" s="423"/>
      <c r="B42" s="375" t="s">
        <v>1790</v>
      </c>
      <c r="C42" s="1904" t="s">
        <v>3461</v>
      </c>
      <c r="D42" s="386">
        <v>100</v>
      </c>
      <c r="E42" s="1904" t="s">
        <v>3505</v>
      </c>
      <c r="F42" s="412">
        <f>SUMIF(122:122,E42,123:123)-SUMIF(122:122,C42,123:123)+100</f>
        <v>95</v>
      </c>
      <c r="G42" s="1904" t="s">
        <v>3461</v>
      </c>
      <c r="H42" s="386">
        <f>SUMIF(122:122,G42,123:123)-SUMIF(122:122,C42,123:123)+100</f>
        <v>100</v>
      </c>
      <c r="I42" s="1904" t="s">
        <v>3540</v>
      </c>
      <c r="J42" s="386">
        <f>SUMIF(122:122,I42,123:123)-SUMIF(122:122,C42,123:123)+100</f>
        <v>105</v>
      </c>
      <c r="K42" s="561">
        <f>'比较法-商业110'!K42</f>
        <v>5</v>
      </c>
      <c r="L42" s="2719"/>
      <c r="M42" s="2713"/>
      <c r="N42" s="2713"/>
      <c r="O42" s="2713"/>
      <c r="P42" s="3767"/>
      <c r="Q42" s="3474" t="str">
        <f t="shared" si="11"/>
        <v>内部装修</v>
      </c>
      <c r="R42" s="703" t="s">
        <v>14</v>
      </c>
      <c r="S42" s="704">
        <f t="shared" si="12"/>
        <v>95</v>
      </c>
      <c r="T42" s="703" t="s">
        <v>14</v>
      </c>
      <c r="U42" s="704">
        <f t="shared" si="13"/>
        <v>100</v>
      </c>
      <c r="V42" s="703" t="s">
        <v>14</v>
      </c>
      <c r="W42" s="704">
        <f t="shared" si="14"/>
        <v>105</v>
      </c>
      <c r="X42" s="3476"/>
      <c r="Y42" s="3769"/>
      <c r="Z42" s="3477" t="str">
        <f t="shared" si="15"/>
        <v>内部装修</v>
      </c>
      <c r="AA42" s="3475">
        <f t="shared" si="3"/>
        <v>1.0526315789473684</v>
      </c>
      <c r="AB42" s="3475">
        <f t="shared" si="4"/>
        <v>1</v>
      </c>
      <c r="AC42" s="3475">
        <f t="shared" si="5"/>
        <v>0.95238095238095233</v>
      </c>
    </row>
    <row r="43" spans="1:29" ht="28.8">
      <c r="A43" s="423"/>
      <c r="B43" s="375" t="s">
        <v>1705</v>
      </c>
      <c r="C43" s="1904" t="s">
        <v>3448</v>
      </c>
      <c r="D43" s="386">
        <v>100</v>
      </c>
      <c r="E43" s="1904" t="s">
        <v>3448</v>
      </c>
      <c r="F43" s="412">
        <f>SUMIF(124:124,E43,125:125)-SUMIF(124:124,C43,125:125)+100</f>
        <v>100</v>
      </c>
      <c r="G43" s="1904" t="s">
        <v>3448</v>
      </c>
      <c r="H43" s="386">
        <f>SUMIF(124:124,G43,125:125)-SUMIF(124:124,C43,125:125)+100</f>
        <v>100</v>
      </c>
      <c r="I43" s="1904" t="s">
        <v>3448</v>
      </c>
      <c r="J43" s="386">
        <f>SUMIF(124:124,I43,125:125)-SUMIF(124:124,C43,125:125)+100</f>
        <v>100</v>
      </c>
      <c r="K43" s="561">
        <f>'比较法-商业110'!K43</f>
        <v>2</v>
      </c>
      <c r="L43" s="2719"/>
      <c r="M43" s="2713"/>
      <c r="N43" s="2713"/>
      <c r="O43" s="2713"/>
      <c r="P43" s="3767"/>
      <c r="Q43" s="3474" t="str">
        <f t="shared" si="11"/>
        <v>内部装修维护情况</v>
      </c>
      <c r="R43" s="703" t="s">
        <v>14</v>
      </c>
      <c r="S43" s="704">
        <f t="shared" si="12"/>
        <v>100</v>
      </c>
      <c r="T43" s="703" t="s">
        <v>14</v>
      </c>
      <c r="U43" s="704">
        <f t="shared" si="13"/>
        <v>100</v>
      </c>
      <c r="V43" s="703" t="s">
        <v>14</v>
      </c>
      <c r="W43" s="704">
        <f t="shared" si="14"/>
        <v>100</v>
      </c>
      <c r="X43" s="3476"/>
      <c r="Y43" s="3769"/>
      <c r="Z43" s="3477" t="str">
        <f t="shared" si="15"/>
        <v>内部装修维护情况</v>
      </c>
      <c r="AA43" s="3475">
        <f t="shared" si="3"/>
        <v>1</v>
      </c>
      <c r="AB43" s="3475">
        <f t="shared" si="4"/>
        <v>1</v>
      </c>
      <c r="AC43" s="3475">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67"/>
      <c r="Q44" s="3466">
        <f t="shared" si="11"/>
        <v>111</v>
      </c>
      <c r="R44" s="699" t="s">
        <v>14</v>
      </c>
      <c r="S44" s="700">
        <f t="shared" si="12"/>
        <v>100</v>
      </c>
      <c r="T44" s="699" t="s">
        <v>14</v>
      </c>
      <c r="U44" s="700">
        <f t="shared" si="13"/>
        <v>100</v>
      </c>
      <c r="V44" s="699" t="s">
        <v>14</v>
      </c>
      <c r="W44" s="700">
        <f t="shared" si="14"/>
        <v>100</v>
      </c>
      <c r="X44" s="701"/>
      <c r="Y44" s="3769"/>
      <c r="Z44" s="3464">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67"/>
      <c r="Q45" s="3474">
        <f t="shared" si="11"/>
        <v>111</v>
      </c>
      <c r="R45" s="703" t="s">
        <v>14</v>
      </c>
      <c r="S45" s="704">
        <f t="shared" si="12"/>
        <v>100</v>
      </c>
      <c r="T45" s="703" t="s">
        <v>14</v>
      </c>
      <c r="U45" s="704">
        <f t="shared" si="13"/>
        <v>100</v>
      </c>
      <c r="V45" s="703" t="s">
        <v>14</v>
      </c>
      <c r="W45" s="704">
        <f t="shared" si="14"/>
        <v>100</v>
      </c>
      <c r="X45" s="3476"/>
      <c r="Y45" s="3769"/>
      <c r="Z45" s="3477">
        <f t="shared" si="15"/>
        <v>111</v>
      </c>
      <c r="AA45" s="3475">
        <f t="shared" si="3"/>
        <v>1</v>
      </c>
      <c r="AB45" s="3475">
        <f t="shared" si="4"/>
        <v>1</v>
      </c>
      <c r="AC45" s="3475">
        <f t="shared" si="5"/>
        <v>1</v>
      </c>
    </row>
    <row r="46" spans="1:29" ht="15.6"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68"/>
      <c r="Q46" s="3474">
        <f t="shared" si="11"/>
        <v>111</v>
      </c>
      <c r="R46" s="703" t="s">
        <v>14</v>
      </c>
      <c r="S46" s="704">
        <f t="shared" si="12"/>
        <v>100</v>
      </c>
      <c r="T46" s="703" t="s">
        <v>14</v>
      </c>
      <c r="U46" s="704">
        <f t="shared" si="13"/>
        <v>100</v>
      </c>
      <c r="V46" s="703" t="s">
        <v>14</v>
      </c>
      <c r="W46" s="704">
        <f t="shared" si="14"/>
        <v>100</v>
      </c>
      <c r="X46" s="3476"/>
      <c r="Y46" s="3770"/>
      <c r="Z46" s="3477">
        <f t="shared" si="15"/>
        <v>111</v>
      </c>
      <c r="AA46" s="3475">
        <f t="shared" si="3"/>
        <v>1</v>
      </c>
      <c r="AB46" s="3475">
        <f t="shared" si="4"/>
        <v>1</v>
      </c>
      <c r="AC46" s="3475">
        <f t="shared" si="5"/>
        <v>1</v>
      </c>
    </row>
    <row r="47" spans="1:29" ht="14.4">
      <c r="A47" s="430" t="s">
        <v>1706</v>
      </c>
      <c r="B47" s="431"/>
      <c r="C47" s="1152" t="s">
        <v>0</v>
      </c>
      <c r="D47" s="1153"/>
      <c r="E47" s="1154">
        <f>'比较法-商业110'!E47</f>
        <v>44127</v>
      </c>
      <c r="F47" s="1155"/>
      <c r="G47" s="1156">
        <f>'比较法-商业110'!G47</f>
        <v>49561</v>
      </c>
      <c r="H47" s="1157"/>
      <c r="I47" s="1154">
        <f>'比较法-商业110'!I47</f>
        <v>48385</v>
      </c>
      <c r="J47" s="1157"/>
      <c r="K47" s="712"/>
      <c r="L47" s="2721"/>
      <c r="M47" s="2722"/>
      <c r="N47" s="2713"/>
      <c r="O47" s="2722"/>
      <c r="P47" s="3762" t="str">
        <f>A47</f>
        <v>成交单价（元/平方米）</v>
      </c>
      <c r="Q47" s="3762"/>
      <c r="R47" s="3757">
        <f>E47</f>
        <v>44127</v>
      </c>
      <c r="S47" s="3757"/>
      <c r="T47" s="3757">
        <f>G47</f>
        <v>49561</v>
      </c>
      <c r="U47" s="3757"/>
      <c r="V47" s="3757">
        <f>I47</f>
        <v>48385</v>
      </c>
      <c r="W47" s="3757"/>
      <c r="X47" s="688"/>
      <c r="Y47" s="710"/>
      <c r="Z47" s="688"/>
      <c r="AA47" s="688"/>
      <c r="AB47" s="688"/>
      <c r="AC47" s="688"/>
    </row>
    <row r="48" spans="1:29" ht="15" thickBot="1">
      <c r="A48" s="437" t="s">
        <v>1707</v>
      </c>
      <c r="B48" s="438"/>
      <c r="C48" s="1158">
        <f>R49</f>
        <v>39358</v>
      </c>
      <c r="D48" s="2315" t="s">
        <v>2133</v>
      </c>
      <c r="E48" s="1159">
        <f>R48</f>
        <v>36568</v>
      </c>
      <c r="F48" s="2316"/>
      <c r="G48" s="1158">
        <f>T48</f>
        <v>41752</v>
      </c>
      <c r="H48" s="2316"/>
      <c r="I48" s="1159">
        <f>V48</f>
        <v>39754</v>
      </c>
      <c r="J48" s="2316"/>
      <c r="K48" s="2318">
        <f>F48+H48+J48</f>
        <v>0</v>
      </c>
      <c r="L48" s="2721"/>
      <c r="M48" s="2722"/>
      <c r="N48" s="2713"/>
      <c r="O48" s="2722"/>
      <c r="P48" s="3762" t="str">
        <f>A48</f>
        <v>比较价值（元/平方米）</v>
      </c>
      <c r="Q48" s="3762"/>
      <c r="R48" s="3763">
        <f>IF(F1="售价",ROUND(PRODUCT(R47,AA7:AA46),0),ROUND(PRODUCT(R47,AA7:AA46),1))</f>
        <v>36568</v>
      </c>
      <c r="S48" s="3763"/>
      <c r="T48" s="3763">
        <f>IF(F1="售价",ROUND(PRODUCT(T47,AB7:AB46),0),ROUND(PRODUCT(T47,AB7:AB46),1))</f>
        <v>41752</v>
      </c>
      <c r="U48" s="3763"/>
      <c r="V48" s="3763">
        <f>IF(F1="售价",ROUND(PRODUCT(V47,AC7:AC46),0),ROUND(PRODUCT(V47,AC7:AC46),1))</f>
        <v>39754</v>
      </c>
      <c r="W48" s="3763"/>
      <c r="X48" s="688"/>
      <c r="Y48" s="688"/>
      <c r="Z48" s="688"/>
      <c r="AA48" s="688"/>
      <c r="AB48" s="688"/>
      <c r="AC48" s="688"/>
    </row>
    <row r="49" spans="1:29" ht="15" thickBot="1">
      <c r="A49" s="441" t="s">
        <v>1708</v>
      </c>
      <c r="B49" s="442"/>
      <c r="C49" s="1161">
        <f>R49</f>
        <v>39358</v>
      </c>
      <c r="D49" s="1161"/>
      <c r="E49" s="1161"/>
      <c r="F49" s="1161"/>
      <c r="G49" s="1161"/>
      <c r="H49" s="1161"/>
      <c r="I49" s="1161"/>
      <c r="J49" s="1161"/>
      <c r="K49" s="713"/>
      <c r="L49" s="2721"/>
      <c r="M49" s="2722"/>
      <c r="N49" s="2713"/>
      <c r="O49" s="2722"/>
      <c r="P49" s="3759" t="str">
        <f>A49</f>
        <v>估价对象XX用房的比较价值（楼面单价，元/平方米）</v>
      </c>
      <c r="Q49" s="3760"/>
      <c r="R49" s="3761">
        <f>IF(F1="售价",ROUND(IF(D48="简单平均",AVERAGE(R48:V48),R48*F48+T48*H48+V48*J48),0),ROUND(IF(D48="简单平均",AVERAGE(R48:V48),R48*F48+T48*H48+V48*J48),1))</f>
        <v>39358</v>
      </c>
      <c r="S49" s="3761"/>
      <c r="T49" s="3761"/>
      <c r="U49" s="3761"/>
      <c r="V49" s="3761"/>
      <c r="W49" s="3761"/>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1709</v>
      </c>
      <c r="D52" s="447"/>
      <c r="E52" s="448">
        <f>IF(E47&lt;E48,E48/E47-1,E47/E48-1)</f>
        <v>0.20671078538612986</v>
      </c>
      <c r="F52" s="449" t="str">
        <f>IF(OR(E52&gt;=0.3,E52&lt;=-0.3),"超过30%","")</f>
        <v/>
      </c>
      <c r="G52" s="448">
        <f>IF(G47&lt;G48,G48/G47-1,G47/G48-1)</f>
        <v>0.18703295650507767</v>
      </c>
      <c r="H52" s="449" t="str">
        <f>IF(OR(G52&gt;=0.3,G52&lt;=-0.3),"超过30%","")</f>
        <v/>
      </c>
      <c r="I52" s="448">
        <f>IF(I47&lt;I48,I48/I47-1,I47/I48-1)</f>
        <v>0.21711022790159484</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1710</v>
      </c>
      <c r="D53" s="450"/>
      <c r="E53" s="448">
        <f>IF(E48&lt;G48,G48/E48-1,E48/G48-1)</f>
        <v>0.14176329030846646</v>
      </c>
      <c r="F53" s="449" t="str">
        <f>IF(OR(E53&gt;=0.2,E53&lt;=-0.2),"超过20%","")</f>
        <v/>
      </c>
      <c r="G53" s="448">
        <f>IF(G48&lt;I48,I48/G48-1,G48/I48-1)</f>
        <v>5.025909342456103E-2</v>
      </c>
      <c r="H53" s="449" t="str">
        <f>IF(OR(G53&gt;=0.2,G53&lt;=-0.2),"超过20%","")</f>
        <v/>
      </c>
      <c r="I53" s="448">
        <f>IF(I48&lt;E48,E48/I48-1,I48/E48-1)</f>
        <v>8.7125355502078339E-2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1711</v>
      </c>
      <c r="D54" s="450"/>
      <c r="E54" s="448">
        <f>IF(E47&lt;G47,G47/E47-1,E47/G47-1)</f>
        <v>0.12314456001994234</v>
      </c>
      <c r="F54" s="449" t="str">
        <f>IF(OR(E54&gt;=0.3,E54&lt;=-0.3),"超过30%","")</f>
        <v/>
      </c>
      <c r="G54" s="448">
        <f>IF(G47&lt;I47,I47/G47-1,G47/I47-1)</f>
        <v>2.4305053218972805E-2</v>
      </c>
      <c r="H54" s="449" t="str">
        <f>IF(OR(G54&gt;=0.3,G54&lt;=-0.3),"超过30%","")</f>
        <v/>
      </c>
      <c r="I54" s="448">
        <f>IF(I47&lt;E47,E47/I47-1,I47/E47-1)</f>
        <v>9.6494209894169014E-2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2" t="s">
        <v>1712</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4.4">
      <c r="A58" s="454" t="s">
        <v>1677</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7"/>
      <c r="Q58" s="2738"/>
      <c r="R58" s="2738"/>
      <c r="S58" s="2738"/>
      <c r="T58" s="2738"/>
      <c r="U58" s="2738"/>
      <c r="V58" s="2738"/>
      <c r="W58" s="2738"/>
      <c r="X58" s="2738"/>
      <c r="Y58" s="2738"/>
      <c r="Z58" s="2738"/>
      <c r="AA58" s="2738"/>
      <c r="AB58" s="2738"/>
      <c r="AC58" s="2738"/>
    </row>
    <row r="59" spans="1:29" s="108" customFormat="1">
      <c r="A59" s="458"/>
      <c r="B59" s="459"/>
      <c r="C59" s="1181">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 thickBot="1">
      <c r="A60" s="464" t="s">
        <v>1714</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4.4">
      <c r="A61" s="470" t="s">
        <v>1679</v>
      </c>
      <c r="B61" s="459"/>
      <c r="C61" s="471" t="s">
        <v>1716</v>
      </c>
      <c r="D61" s="3450" t="s">
        <v>3424</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4.4" thickBot="1">
      <c r="A62" s="470"/>
      <c r="B62" s="459"/>
      <c r="C62" s="460">
        <v>100</v>
      </c>
      <c r="D62" s="461">
        <v>110</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ht="14.4">
      <c r="A63" s="476" t="s">
        <v>1717</v>
      </c>
      <c r="B63" s="477" t="s">
        <v>1683</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4.4"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9.4" thickTop="1">
      <c r="A65" s="483"/>
      <c r="B65" s="487" t="s">
        <v>1686</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4.4"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 thickTop="1">
      <c r="A67" s="483"/>
      <c r="B67" s="495" t="s">
        <v>1687</v>
      </c>
      <c r="C67" s="496" t="str">
        <f>C68&amp;"（含）"&amp;"-"&amp;D68</f>
        <v>0（含）-2</v>
      </c>
      <c r="D67" s="496" t="str">
        <f t="shared" ref="D67:L67" si="17">D68&amp;"（含）"&amp;"-"&amp;E68</f>
        <v>2（含）-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c r="A68" s="483"/>
      <c r="B68" s="497"/>
      <c r="C68" s="498">
        <v>0</v>
      </c>
      <c r="D68" s="498">
        <v>2</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4.4"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4.4"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4.4"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4.4"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4.4"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4.4"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ht="14.4">
      <c r="A76" s="476" t="s">
        <v>1688</v>
      </c>
      <c r="B76" s="477" t="s">
        <v>1718</v>
      </c>
      <c r="C76" s="522" t="s">
        <v>1719</v>
      </c>
      <c r="D76" s="522" t="s">
        <v>1720</v>
      </c>
      <c r="E76" s="522" t="s">
        <v>1721</v>
      </c>
      <c r="F76" s="522" t="s">
        <v>1722</v>
      </c>
      <c r="G76" s="522" t="s">
        <v>1723</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4.4"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 thickTop="1">
      <c r="A78" s="483"/>
      <c r="B78" s="487" t="s">
        <v>1724</v>
      </c>
      <c r="C78" s="527" t="s">
        <v>1719</v>
      </c>
      <c r="D78" s="527" t="s">
        <v>1720</v>
      </c>
      <c r="E78" s="527" t="s">
        <v>1721</v>
      </c>
      <c r="F78" s="527" t="s">
        <v>1722</v>
      </c>
      <c r="G78" s="527" t="s">
        <v>1723</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4.4"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 thickTop="1">
      <c r="A80" s="483"/>
      <c r="B80" s="487" t="s">
        <v>1725</v>
      </c>
      <c r="C80" s="527" t="s">
        <v>1719</v>
      </c>
      <c r="D80" s="527" t="s">
        <v>1720</v>
      </c>
      <c r="E80" s="527" t="s">
        <v>1721</v>
      </c>
      <c r="F80" s="527" t="s">
        <v>1722</v>
      </c>
      <c r="G80" s="527" t="s">
        <v>1723</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4.4"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 thickTop="1">
      <c r="A82" s="483"/>
      <c r="B82" s="495" t="s">
        <v>1777</v>
      </c>
      <c r="C82" s="608" t="s">
        <v>1797</v>
      </c>
      <c r="D82" s="608" t="s">
        <v>1798</v>
      </c>
      <c r="E82" s="608" t="s">
        <v>1799</v>
      </c>
      <c r="F82" s="608" t="s">
        <v>1800</v>
      </c>
      <c r="G82" s="608" t="s">
        <v>1801</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4.4"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 thickTop="1">
      <c r="A84" s="483"/>
      <c r="B84" s="487" t="s">
        <v>1731</v>
      </c>
      <c r="C84" s="527" t="s">
        <v>1719</v>
      </c>
      <c r="D84" s="527" t="s">
        <v>1720</v>
      </c>
      <c r="E84" s="527" t="s">
        <v>1721</v>
      </c>
      <c r="F84" s="527" t="s">
        <v>1722</v>
      </c>
      <c r="G84" s="527" t="s">
        <v>1723</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4.4"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 thickTop="1">
      <c r="A86" s="528"/>
      <c r="B86" s="487" t="s">
        <v>1802</v>
      </c>
      <c r="C86" s="3455" t="str">
        <f>'比较法-商业110'!C86</f>
        <v>临次干道</v>
      </c>
      <c r="D86" s="3455" t="str">
        <f>'比较法-商业110'!D86</f>
        <v>临支路</v>
      </c>
      <c r="E86" s="3455" t="str">
        <f>'比较法-商业110'!E86</f>
        <v>不临路</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4.4" thickBot="1">
      <c r="A87" s="528"/>
      <c r="B87" s="492"/>
      <c r="C87" s="531">
        <v>100</v>
      </c>
      <c r="D87" s="493">
        <f t="shared" ref="D87:M87" si="20">C87-$K25</f>
        <v>99</v>
      </c>
      <c r="E87" s="493">
        <f t="shared" si="20"/>
        <v>98</v>
      </c>
      <c r="F87" s="493">
        <f t="shared" si="20"/>
        <v>97</v>
      </c>
      <c r="G87" s="493">
        <f t="shared" si="20"/>
        <v>96</v>
      </c>
      <c r="H87" s="493">
        <f t="shared" si="20"/>
        <v>95</v>
      </c>
      <c r="I87" s="493">
        <f t="shared" si="20"/>
        <v>94</v>
      </c>
      <c r="J87" s="493">
        <f t="shared" si="20"/>
        <v>93</v>
      </c>
      <c r="K87" s="493">
        <f t="shared" si="20"/>
        <v>92</v>
      </c>
      <c r="L87" s="493">
        <f t="shared" si="20"/>
        <v>91</v>
      </c>
      <c r="M87" s="493">
        <f t="shared" si="20"/>
        <v>90</v>
      </c>
      <c r="N87" s="2751"/>
      <c r="O87" s="2751"/>
      <c r="P87" s="2741"/>
      <c r="Q87" s="2736"/>
      <c r="R87" s="2658"/>
      <c r="S87" s="2658"/>
      <c r="T87" s="2658"/>
      <c r="U87" s="2658"/>
      <c r="V87" s="2658"/>
      <c r="W87" s="2658"/>
      <c r="X87" s="2658"/>
      <c r="Y87" s="2658"/>
      <c r="Z87" s="2658"/>
      <c r="AA87" s="2658"/>
      <c r="AB87" s="2658"/>
      <c r="AC87" s="2658"/>
    </row>
    <row r="88" spans="1:29" s="108" customFormat="1" ht="15" thickTop="1">
      <c r="A88" s="528"/>
      <c r="B88" s="487" t="str">
        <f>B26</f>
        <v>平面位置/可视性</v>
      </c>
      <c r="C88" s="3455" t="s">
        <v>3486</v>
      </c>
      <c r="D88" s="3455" t="s">
        <v>3448</v>
      </c>
      <c r="E88" s="3455" t="s">
        <v>3447</v>
      </c>
      <c r="F88" s="3457" t="s">
        <v>3487</v>
      </c>
      <c r="G88" s="3455" t="s">
        <v>3488</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4.4" thickBot="1">
      <c r="A89" s="528"/>
      <c r="B89" s="492"/>
      <c r="C89" s="509">
        <v>100</v>
      </c>
      <c r="D89" s="485">
        <f>'比较法-商业110'!D89</f>
        <v>97</v>
      </c>
      <c r="E89" s="485">
        <f>'比较法-商业110'!E89</f>
        <v>94</v>
      </c>
      <c r="F89" s="485">
        <f>'比较法-商业110'!F89</f>
        <v>91</v>
      </c>
      <c r="G89" s="485">
        <f>'比较法-商业110'!G89</f>
        <v>88</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 thickTop="1">
      <c r="A90" s="502"/>
      <c r="B90" s="487" t="str">
        <f>B27</f>
        <v>人流量</v>
      </c>
      <c r="C90" s="3480" t="s">
        <v>3489</v>
      </c>
      <c r="D90" s="3480" t="s">
        <v>3490</v>
      </c>
      <c r="E90" s="3480" t="s">
        <v>3447</v>
      </c>
      <c r="F90" s="3480" t="s">
        <v>3491</v>
      </c>
      <c r="G90" s="3480" t="s">
        <v>3492</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4.4"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2"/>
      <c r="O91" s="2752"/>
      <c r="P91" s="2742"/>
      <c r="Q91" s="2743"/>
      <c r="R91" s="2744"/>
      <c r="S91" s="2744"/>
      <c r="T91" s="2744"/>
      <c r="U91" s="2744"/>
      <c r="V91" s="2744"/>
      <c r="W91" s="2744"/>
      <c r="X91" s="2744"/>
      <c r="Y91" s="2744"/>
      <c r="Z91" s="2744"/>
      <c r="AA91" s="2744"/>
      <c r="AB91" s="2744"/>
      <c r="AC91" s="2744"/>
    </row>
    <row r="92" spans="1:29" ht="28.2" thickTop="1">
      <c r="A92" s="483"/>
      <c r="B92" s="487" t="str">
        <f>B28</f>
        <v>楼层</v>
      </c>
      <c r="C92" s="503" t="str">
        <f>'比较法-商业110'!C92</f>
        <v>1层（挑高）</v>
      </c>
      <c r="D92" s="503" t="str">
        <f>'比较法-商业110'!D92</f>
        <v>1层</v>
      </c>
      <c r="E92" s="503" t="str">
        <f>'比较法-商业110'!E92</f>
        <v>1-2层</v>
      </c>
      <c r="F92" s="503" t="str">
        <f>'比较法-商业110'!F92</f>
        <v>1-2层（挑高）</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4.4" thickBot="1">
      <c r="A93" s="483"/>
      <c r="B93" s="492"/>
      <c r="C93" s="485">
        <f>'比较法-商业110'!C93</f>
        <v>100</v>
      </c>
      <c r="D93" s="485">
        <f>'比较法-商业110'!D93</f>
        <v>100</v>
      </c>
      <c r="E93" s="485">
        <f>'比较法-商业110'!E93</f>
        <v>100</v>
      </c>
      <c r="F93" s="485">
        <f>'比较法-商业110'!F93</f>
        <v>100</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4.4"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4.4"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4.4"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4.4"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4.4"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4.4"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ht="14.4">
      <c r="A100" s="476" t="s">
        <v>1692</v>
      </c>
      <c r="B100" s="477" t="s">
        <v>1803</v>
      </c>
      <c r="C100" s="3454" t="s">
        <v>3451</v>
      </c>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4.4"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3"/>
      <c r="B102" s="487" t="s">
        <v>1735</v>
      </c>
      <c r="C102" s="527" t="str">
        <f>C103&amp;"(含)"&amp;"-"&amp;D103</f>
        <v>0(含)-50</v>
      </c>
      <c r="D102" s="527" t="str">
        <f t="shared" ref="D102:L102" si="23">D103&amp;"(含)"&amp;"-"&amp;E103</f>
        <v>50(含)-100</v>
      </c>
      <c r="E102" s="527" t="str">
        <f t="shared" si="23"/>
        <v>100(含)-150</v>
      </c>
      <c r="F102" s="527" t="str">
        <f t="shared" si="23"/>
        <v>150(含)-200</v>
      </c>
      <c r="G102" s="527" t="str">
        <f t="shared" si="23"/>
        <v>200(含)-250</v>
      </c>
      <c r="H102" s="527" t="str">
        <f t="shared" si="23"/>
        <v>250(含)-300</v>
      </c>
      <c r="I102" s="527" t="str">
        <f t="shared" si="23"/>
        <v>300(含)-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f>'比较法-商业110'!D103</f>
        <v>50</v>
      </c>
      <c r="E103" s="544">
        <f>'比较法-商业110'!E103</f>
        <v>100</v>
      </c>
      <c r="F103" s="544">
        <f>'比较法-商业110'!F103</f>
        <v>150</v>
      </c>
      <c r="G103" s="544">
        <f>'比较法-商业110'!G103</f>
        <v>200</v>
      </c>
      <c r="H103" s="544">
        <f>'比较法-商业110'!H103</f>
        <v>250</v>
      </c>
      <c r="I103" s="544">
        <f>'比较法-商业110'!I103</f>
        <v>300</v>
      </c>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4.4" thickBot="1">
      <c r="A104" s="502"/>
      <c r="B104" s="492"/>
      <c r="C104" s="509">
        <v>100</v>
      </c>
      <c r="D104" s="485">
        <f>'比较法-商业110'!D104</f>
        <v>95</v>
      </c>
      <c r="E104" s="485">
        <f>'比较法-商业110'!E104</f>
        <v>90</v>
      </c>
      <c r="F104" s="485">
        <f>'比较法-商业110'!F104</f>
        <v>88</v>
      </c>
      <c r="G104" s="485">
        <f>'比较法-商业110'!G104</f>
        <v>86</v>
      </c>
      <c r="H104" s="485">
        <f>'比较法-商业110'!H104</f>
        <v>84</v>
      </c>
      <c r="I104" s="485">
        <f>'比较法-商业110'!I104</f>
        <v>82</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1736</v>
      </c>
      <c r="C105" s="3455" t="s">
        <v>3452</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1738</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1740</v>
      </c>
      <c r="C112" s="3455" t="s">
        <v>3453</v>
      </c>
      <c r="D112" s="3455" t="s">
        <v>3454</v>
      </c>
      <c r="E112" s="3455" t="s">
        <v>3455</v>
      </c>
      <c r="F112" s="3455" t="s">
        <v>3456</v>
      </c>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1804</v>
      </c>
      <c r="C114" s="3455" t="s">
        <v>3458</v>
      </c>
      <c r="D114" s="3455" t="s">
        <v>3504</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4.4" thickBot="1">
      <c r="A115" s="483"/>
      <c r="B115" s="492"/>
      <c r="C115" s="493">
        <v>100</v>
      </c>
      <c r="D115" s="493">
        <f t="shared" ref="D115:M115" si="28">C115-$K38</f>
        <v>95</v>
      </c>
      <c r="E115" s="493">
        <f t="shared" si="28"/>
        <v>90</v>
      </c>
      <c r="F115" s="493">
        <f t="shared" si="28"/>
        <v>85</v>
      </c>
      <c r="G115" s="493">
        <f t="shared" si="28"/>
        <v>80</v>
      </c>
      <c r="H115" s="493">
        <f t="shared" si="28"/>
        <v>75</v>
      </c>
      <c r="I115" s="493">
        <f t="shared" si="28"/>
        <v>70</v>
      </c>
      <c r="J115" s="493">
        <f t="shared" si="28"/>
        <v>65</v>
      </c>
      <c r="K115" s="493">
        <f t="shared" si="28"/>
        <v>60</v>
      </c>
      <c r="L115" s="493">
        <f t="shared" si="28"/>
        <v>55</v>
      </c>
      <c r="M115" s="494">
        <f t="shared" si="28"/>
        <v>50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1805</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1806</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4.4"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1807</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1742</v>
      </c>
      <c r="C122" s="3455" t="s">
        <v>3459</v>
      </c>
      <c r="D122" s="3455" t="s">
        <v>3460</v>
      </c>
      <c r="E122" s="3455" t="s">
        <v>3462</v>
      </c>
      <c r="F122" s="3456" t="s">
        <v>3463</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4.4" thickBot="1">
      <c r="A123" s="483"/>
      <c r="B123" s="492"/>
      <c r="C123" s="493">
        <v>100</v>
      </c>
      <c r="D123" s="493">
        <f t="shared" ref="D123:M123" si="30">C123-$K42</f>
        <v>95</v>
      </c>
      <c r="E123" s="493">
        <f t="shared" si="30"/>
        <v>90</v>
      </c>
      <c r="F123" s="493">
        <f t="shared" si="30"/>
        <v>85</v>
      </c>
      <c r="G123" s="493">
        <f t="shared" si="30"/>
        <v>80</v>
      </c>
      <c r="H123" s="493">
        <f t="shared" si="30"/>
        <v>75</v>
      </c>
      <c r="I123" s="493">
        <f t="shared" si="30"/>
        <v>70</v>
      </c>
      <c r="J123" s="493">
        <f t="shared" si="30"/>
        <v>65</v>
      </c>
      <c r="K123" s="493">
        <f t="shared" si="30"/>
        <v>60</v>
      </c>
      <c r="L123" s="493">
        <f t="shared" si="30"/>
        <v>55</v>
      </c>
      <c r="M123" s="494">
        <f t="shared" si="30"/>
        <v>50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8"/>
      <c r="B124" s="487" t="s">
        <v>1743</v>
      </c>
      <c r="C124" s="527" t="s">
        <v>1719</v>
      </c>
      <c r="D124" s="527" t="s">
        <v>1720</v>
      </c>
      <c r="E124" s="527" t="s">
        <v>1721</v>
      </c>
      <c r="F124" s="527" t="s">
        <v>1722</v>
      </c>
      <c r="G124" s="527" t="s">
        <v>1723</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4.4"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4.4"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4.4"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4.4"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4.4"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4.4"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38" priority="20"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1658</v>
      </c>
      <c r="B1" s="1955" t="s">
        <v>1808</v>
      </c>
      <c r="C1" s="1222" t="s">
        <v>1660</v>
      </c>
      <c r="D1" s="1223"/>
      <c r="E1" s="3430"/>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1462</v>
      </c>
      <c r="B3" s="558">
        <f>IF(C2="——",C50,ROUND(B2*10000/D3,0))</f>
        <v>0</v>
      </c>
      <c r="C3" s="354" t="s">
        <v>1766</v>
      </c>
      <c r="D3" s="353">
        <f>IF(D1="",'数据-汇总表'!E3,SUMIF('数据-汇总表'!$C19:$C33,D1,'数据-汇总表'!$E19:$E33))</f>
        <v>521.56999999999994</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4.4">
      <c r="A4" s="355" t="s">
        <v>1767</v>
      </c>
      <c r="B4" s="356"/>
      <c r="C4" s="3745" t="s">
        <v>1768</v>
      </c>
      <c r="D4" s="3746"/>
      <c r="E4" s="3747" t="s">
        <v>1769</v>
      </c>
      <c r="F4" s="3748"/>
      <c r="G4" s="3745" t="s">
        <v>1770</v>
      </c>
      <c r="H4" s="3746"/>
      <c r="I4" s="3745" t="s">
        <v>1771</v>
      </c>
      <c r="J4" s="3746"/>
      <c r="K4" s="559" t="s">
        <v>1772</v>
      </c>
      <c r="L4" s="2712"/>
      <c r="M4" s="2713"/>
      <c r="N4" s="2713"/>
      <c r="O4" s="2713"/>
      <c r="P4" s="3780" t="s">
        <v>1773</v>
      </c>
      <c r="Q4" s="3781"/>
      <c r="R4" s="3775" t="s">
        <v>1769</v>
      </c>
      <c r="S4" s="3776"/>
      <c r="T4" s="3775" t="s">
        <v>1770</v>
      </c>
      <c r="U4" s="3776"/>
      <c r="V4" s="3784" t="s">
        <v>1771</v>
      </c>
      <c r="W4" s="3784"/>
      <c r="X4" s="1956"/>
      <c r="Y4" s="3775" t="s">
        <v>1773</v>
      </c>
      <c r="Z4" s="3776"/>
      <c r="AA4" s="3774" t="s">
        <v>1769</v>
      </c>
      <c r="AB4" s="3774" t="s">
        <v>1770</v>
      </c>
      <c r="AC4" s="3777" t="s">
        <v>1771</v>
      </c>
    </row>
    <row r="5" spans="1:29">
      <c r="A5" s="358"/>
      <c r="B5" s="359"/>
      <c r="C5" s="3738" t="s">
        <v>1671</v>
      </c>
      <c r="D5" s="3739"/>
      <c r="E5" s="3736" t="s">
        <v>1672</v>
      </c>
      <c r="F5" s="3737"/>
      <c r="G5" s="3738" t="s">
        <v>1673</v>
      </c>
      <c r="H5" s="3739"/>
      <c r="I5" s="3738" t="s">
        <v>1674</v>
      </c>
      <c r="J5" s="3739"/>
      <c r="K5" s="559"/>
      <c r="L5" s="2712"/>
      <c r="M5" s="2713"/>
      <c r="N5" s="2713"/>
      <c r="O5" s="2713"/>
      <c r="P5" s="3782"/>
      <c r="Q5" s="3752"/>
      <c r="R5" s="3734"/>
      <c r="S5" s="3735"/>
      <c r="T5" s="3734"/>
      <c r="U5" s="3735"/>
      <c r="V5" s="3757"/>
      <c r="W5" s="3757"/>
      <c r="X5" s="1353"/>
      <c r="Y5" s="3734"/>
      <c r="Z5" s="3735"/>
      <c r="AA5" s="3728"/>
      <c r="AB5" s="3728"/>
      <c r="AC5" s="3778"/>
    </row>
    <row r="6" spans="1:29" ht="15" thickBot="1">
      <c r="A6" s="360"/>
      <c r="B6" s="361"/>
      <c r="C6" s="3740" t="s">
        <v>1675</v>
      </c>
      <c r="D6" s="3741"/>
      <c r="E6" s="3742" t="s">
        <v>1675</v>
      </c>
      <c r="F6" s="3743"/>
      <c r="G6" s="3740" t="s">
        <v>1675</v>
      </c>
      <c r="H6" s="3741"/>
      <c r="I6" s="3740" t="s">
        <v>1675</v>
      </c>
      <c r="J6" s="3741"/>
      <c r="K6" s="559" t="s">
        <v>1676</v>
      </c>
      <c r="L6" s="2712"/>
      <c r="M6" s="2713"/>
      <c r="N6" s="2713"/>
      <c r="O6" s="2713"/>
      <c r="P6" s="3783"/>
      <c r="Q6" s="3754"/>
      <c r="R6" s="3734"/>
      <c r="S6" s="3735"/>
      <c r="T6" s="3755"/>
      <c r="U6" s="3756"/>
      <c r="V6" s="3757"/>
      <c r="W6" s="3757"/>
      <c r="X6" s="1353"/>
      <c r="Y6" s="3755"/>
      <c r="Z6" s="3756"/>
      <c r="AA6" s="3729"/>
      <c r="AB6" s="3729"/>
      <c r="AC6" s="3779"/>
    </row>
    <row r="7" spans="1:29" s="108" customFormat="1" ht="15" thickBot="1">
      <c r="A7" s="362" t="s">
        <v>1677</v>
      </c>
      <c r="B7" s="363"/>
      <c r="C7" s="364">
        <f>'数据-取费表'!B2</f>
        <v>45504</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85" t="s">
        <v>1678</v>
      </c>
      <c r="Q7" s="3758"/>
      <c r="R7" s="699" t="s">
        <v>14</v>
      </c>
      <c r="S7" s="700">
        <f t="shared" ref="S7:S15" si="0">F7</f>
        <v>0</v>
      </c>
      <c r="T7" s="699" t="s">
        <v>14</v>
      </c>
      <c r="U7" s="700">
        <f t="shared" ref="U7:U15" si="1">H7</f>
        <v>0</v>
      </c>
      <c r="V7" s="699" t="s">
        <v>14</v>
      </c>
      <c r="W7" s="700">
        <f t="shared" ref="W7:W15" si="2">J7</f>
        <v>0</v>
      </c>
      <c r="X7" s="701"/>
      <c r="Y7" s="3730" t="s">
        <v>1678</v>
      </c>
      <c r="Z7" s="3731"/>
      <c r="AA7" s="702" t="e">
        <f>D7/F7</f>
        <v>#DIV/0!</v>
      </c>
      <c r="AB7" s="702" t="e">
        <f>D7/H7</f>
        <v>#DIV/0!</v>
      </c>
      <c r="AC7" s="1957" t="e">
        <f>D7/J7</f>
        <v>#DIV/0!</v>
      </c>
    </row>
    <row r="8" spans="1:29" s="108" customFormat="1" ht="1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85" t="s">
        <v>1681</v>
      </c>
      <c r="Q8" s="3731"/>
      <c r="R8" s="699" t="s">
        <v>14</v>
      </c>
      <c r="S8" s="700">
        <f t="shared" si="0"/>
        <v>100</v>
      </c>
      <c r="T8" s="699" t="s">
        <v>14</v>
      </c>
      <c r="U8" s="700">
        <f t="shared" si="1"/>
        <v>100</v>
      </c>
      <c r="V8" s="699" t="s">
        <v>14</v>
      </c>
      <c r="W8" s="700">
        <f t="shared" si="2"/>
        <v>100</v>
      </c>
      <c r="X8" s="701"/>
      <c r="Y8" s="3730" t="s">
        <v>1681</v>
      </c>
      <c r="Z8" s="3731"/>
      <c r="AA8" s="702">
        <f t="shared" ref="AA8:AA47" si="3">D8/F8</f>
        <v>1</v>
      </c>
      <c r="AB8" s="702">
        <f t="shared" ref="AB8:AB47" si="4">D8/H8</f>
        <v>1</v>
      </c>
      <c r="AC8" s="1957">
        <f t="shared" ref="AC8:AC47" si="5">D8/J8</f>
        <v>1</v>
      </c>
    </row>
    <row r="9" spans="1:29" s="108" customFormat="1" ht="14.4">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44" t="s">
        <v>1684</v>
      </c>
      <c r="Q9" s="1341" t="str">
        <f t="shared" ref="Q9:Q15" si="6">B9</f>
        <v>用途</v>
      </c>
      <c r="R9" s="699" t="s">
        <v>14</v>
      </c>
      <c r="S9" s="700">
        <f t="shared" si="0"/>
        <v>100</v>
      </c>
      <c r="T9" s="699" t="s">
        <v>14</v>
      </c>
      <c r="U9" s="700">
        <f t="shared" si="1"/>
        <v>100</v>
      </c>
      <c r="V9" s="699" t="s">
        <v>14</v>
      </c>
      <c r="W9" s="700">
        <f t="shared" si="2"/>
        <v>100</v>
      </c>
      <c r="X9" s="701"/>
      <c r="Y9" s="3674" t="s">
        <v>1685</v>
      </c>
      <c r="Z9" s="52" t="str">
        <f t="shared" ref="Z9:Z15" si="7">Q9</f>
        <v>用途</v>
      </c>
      <c r="AA9" s="702">
        <f t="shared" si="3"/>
        <v>1</v>
      </c>
      <c r="AB9" s="702">
        <f t="shared" si="4"/>
        <v>1</v>
      </c>
      <c r="AC9" s="1957">
        <f t="shared" si="5"/>
        <v>1</v>
      </c>
    </row>
    <row r="10" spans="1:29" s="378" customFormat="1" ht="28.8">
      <c r="A10" s="374"/>
      <c r="B10" s="375" t="s">
        <v>1686</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44"/>
      <c r="Q10" s="1341" t="str">
        <f t="shared" si="6"/>
        <v>土地使用年限（年）</v>
      </c>
      <c r="R10" s="699" t="s">
        <v>14</v>
      </c>
      <c r="S10" s="700">
        <f t="shared" si="0"/>
        <v>100</v>
      </c>
      <c r="T10" s="699" t="s">
        <v>14</v>
      </c>
      <c r="U10" s="700">
        <f t="shared" si="1"/>
        <v>100</v>
      </c>
      <c r="V10" s="699" t="s">
        <v>14</v>
      </c>
      <c r="W10" s="700">
        <f t="shared" si="2"/>
        <v>100</v>
      </c>
      <c r="X10" s="701"/>
      <c r="Y10" s="3674"/>
      <c r="Z10" s="52" t="str">
        <f t="shared" si="7"/>
        <v>土地使用年限（年）</v>
      </c>
      <c r="AA10" s="702">
        <f t="shared" si="3"/>
        <v>1</v>
      </c>
      <c r="AB10" s="702">
        <f t="shared" si="4"/>
        <v>1</v>
      </c>
      <c r="AC10" s="1957">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44"/>
      <c r="Q11" s="1341" t="str">
        <f t="shared" si="6"/>
        <v>容积率</v>
      </c>
      <c r="R11" s="699" t="s">
        <v>14</v>
      </c>
      <c r="S11" s="700">
        <f t="shared" si="0"/>
        <v>100</v>
      </c>
      <c r="T11" s="699" t="s">
        <v>14</v>
      </c>
      <c r="U11" s="700">
        <f t="shared" si="1"/>
        <v>100</v>
      </c>
      <c r="V11" s="699" t="s">
        <v>14</v>
      </c>
      <c r="W11" s="700">
        <f t="shared" si="2"/>
        <v>100</v>
      </c>
      <c r="X11" s="701"/>
      <c r="Y11" s="3674"/>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744"/>
      <c r="Q12" s="1341">
        <f t="shared" si="6"/>
        <v>111</v>
      </c>
      <c r="R12" s="699" t="s">
        <v>14</v>
      </c>
      <c r="S12" s="700">
        <f t="shared" si="0"/>
        <v>100</v>
      </c>
      <c r="T12" s="699" t="s">
        <v>14</v>
      </c>
      <c r="U12" s="700">
        <f t="shared" si="1"/>
        <v>100</v>
      </c>
      <c r="V12" s="699" t="s">
        <v>14</v>
      </c>
      <c r="W12" s="700">
        <f t="shared" si="2"/>
        <v>100</v>
      </c>
      <c r="X12" s="701"/>
      <c r="Y12" s="3674"/>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744"/>
      <c r="Q13" s="1341">
        <f t="shared" si="6"/>
        <v>111</v>
      </c>
      <c r="R13" s="699" t="s">
        <v>14</v>
      </c>
      <c r="S13" s="700">
        <f t="shared" si="0"/>
        <v>100</v>
      </c>
      <c r="T13" s="699" t="s">
        <v>14</v>
      </c>
      <c r="U13" s="700">
        <f t="shared" si="1"/>
        <v>100</v>
      </c>
      <c r="V13" s="699" t="s">
        <v>14</v>
      </c>
      <c r="W13" s="700">
        <f t="shared" si="2"/>
        <v>100</v>
      </c>
      <c r="X13" s="701"/>
      <c r="Y13" s="3674"/>
      <c r="Z13" s="52">
        <f t="shared" si="7"/>
        <v>111</v>
      </c>
      <c r="AA13" s="702">
        <f t="shared" si="3"/>
        <v>1</v>
      </c>
      <c r="AB13" s="702">
        <f t="shared" si="4"/>
        <v>1</v>
      </c>
      <c r="AC13" s="1957">
        <f t="shared" si="5"/>
        <v>1</v>
      </c>
    </row>
    <row r="14" spans="1:29" ht="15.6"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744"/>
      <c r="Q14" s="1341">
        <f t="shared" si="6"/>
        <v>111</v>
      </c>
      <c r="R14" s="699" t="s">
        <v>14</v>
      </c>
      <c r="S14" s="700">
        <f t="shared" si="0"/>
        <v>100</v>
      </c>
      <c r="T14" s="699" t="s">
        <v>14</v>
      </c>
      <c r="U14" s="700">
        <f t="shared" si="1"/>
        <v>100</v>
      </c>
      <c r="V14" s="699" t="s">
        <v>14</v>
      </c>
      <c r="W14" s="700">
        <f t="shared" si="2"/>
        <v>100</v>
      </c>
      <c r="X14" s="701"/>
      <c r="Y14" s="3674"/>
      <c r="Z14" s="52">
        <f t="shared" si="7"/>
        <v>111</v>
      </c>
      <c r="AA14" s="702">
        <f t="shared" si="3"/>
        <v>1</v>
      </c>
      <c r="AB14" s="702">
        <f t="shared" si="4"/>
        <v>1</v>
      </c>
      <c r="AC14" s="1957">
        <f t="shared" si="5"/>
        <v>1</v>
      </c>
    </row>
    <row r="15" spans="1:29" ht="69">
      <c r="A15" s="391" t="s">
        <v>1688</v>
      </c>
      <c r="B15" s="577" t="s">
        <v>1809</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71" t="s">
        <v>1689</v>
      </c>
      <c r="Q15" s="1350" t="str">
        <f t="shared" si="6"/>
        <v>办公集聚程度</v>
      </c>
      <c r="R15" s="703" t="s">
        <v>14</v>
      </c>
      <c r="S15" s="704">
        <f t="shared" si="0"/>
        <v>100</v>
      </c>
      <c r="T15" s="703" t="s">
        <v>14</v>
      </c>
      <c r="U15" s="704">
        <f t="shared" si="1"/>
        <v>100</v>
      </c>
      <c r="V15" s="703" t="s">
        <v>14</v>
      </c>
      <c r="W15" s="704">
        <f t="shared" si="2"/>
        <v>100</v>
      </c>
      <c r="X15" s="1353"/>
      <c r="Y15" s="3764" t="s">
        <v>1689</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19"/>
      <c r="M16" s="2713"/>
      <c r="N16" s="2713"/>
      <c r="O16" s="2713"/>
      <c r="P16" s="3772"/>
      <c r="Q16" s="1350"/>
      <c r="R16" s="703"/>
      <c r="S16" s="704"/>
      <c r="T16" s="703"/>
      <c r="U16" s="704"/>
      <c r="V16" s="703"/>
      <c r="W16" s="704"/>
      <c r="X16" s="1353"/>
      <c r="Y16" s="3765"/>
      <c r="Z16" s="1354"/>
      <c r="AA16" s="1351">
        <v>1</v>
      </c>
      <c r="AB16" s="1351">
        <v>1</v>
      </c>
      <c r="AC16" s="1960">
        <v>1</v>
      </c>
    </row>
    <row r="17" spans="1:29" ht="82.8">
      <c r="A17" s="379"/>
      <c r="B17" s="579" t="s">
        <v>1257</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72"/>
      <c r="Q17" s="1350" t="str">
        <f>B17</f>
        <v>交通便捷度</v>
      </c>
      <c r="R17" s="703" t="s">
        <v>14</v>
      </c>
      <c r="S17" s="704">
        <f>F17</f>
        <v>100</v>
      </c>
      <c r="T17" s="703" t="s">
        <v>14</v>
      </c>
      <c r="U17" s="704">
        <f>H17</f>
        <v>100</v>
      </c>
      <c r="V17" s="703" t="s">
        <v>14</v>
      </c>
      <c r="W17" s="704">
        <f>J17</f>
        <v>100</v>
      </c>
      <c r="X17" s="1353"/>
      <c r="Y17" s="3765"/>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19"/>
      <c r="M18" s="2713"/>
      <c r="N18" s="2713"/>
      <c r="O18" s="2713"/>
      <c r="P18" s="3772"/>
      <c r="Q18" s="1350"/>
      <c r="R18" s="703"/>
      <c r="S18" s="704"/>
      <c r="T18" s="703"/>
      <c r="U18" s="704"/>
      <c r="V18" s="703"/>
      <c r="W18" s="704"/>
      <c r="X18" s="1353"/>
      <c r="Y18" s="3765"/>
      <c r="Z18" s="1354"/>
      <c r="AA18" s="1351">
        <v>1</v>
      </c>
      <c r="AB18" s="1351">
        <v>1</v>
      </c>
      <c r="AC18" s="1960">
        <v>1</v>
      </c>
    </row>
    <row r="19" spans="1:29" ht="41.4">
      <c r="A19" s="379"/>
      <c r="B19" s="579" t="s">
        <v>1810</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72"/>
      <c r="Q19" s="1350" t="str">
        <f>B19</f>
        <v>公共配套设施</v>
      </c>
      <c r="R19" s="703" t="s">
        <v>14</v>
      </c>
      <c r="S19" s="704">
        <f>F19</f>
        <v>100</v>
      </c>
      <c r="T19" s="703" t="s">
        <v>14</v>
      </c>
      <c r="U19" s="704">
        <f>H19</f>
        <v>100</v>
      </c>
      <c r="V19" s="703" t="s">
        <v>14</v>
      </c>
      <c r="W19" s="704">
        <f>J19</f>
        <v>100</v>
      </c>
      <c r="X19" s="1353"/>
      <c r="Y19" s="3765"/>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19"/>
      <c r="M20" s="2713"/>
      <c r="N20" s="2713"/>
      <c r="O20" s="2713"/>
      <c r="P20" s="3772"/>
      <c r="Q20" s="1350"/>
      <c r="R20" s="703"/>
      <c r="S20" s="704"/>
      <c r="T20" s="703"/>
      <c r="U20" s="704"/>
      <c r="V20" s="703"/>
      <c r="W20" s="704"/>
      <c r="X20" s="1353"/>
      <c r="Y20" s="3765"/>
      <c r="Z20" s="1354"/>
      <c r="AA20" s="1351">
        <v>1</v>
      </c>
      <c r="AB20" s="1351">
        <v>1</v>
      </c>
      <c r="AC20" s="1960">
        <v>1</v>
      </c>
    </row>
    <row r="21" spans="1:29" ht="27.6">
      <c r="A21" s="379"/>
      <c r="B21" s="581" t="s">
        <v>1811</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72"/>
      <c r="Q21" s="1350" t="str">
        <f>B21</f>
        <v>基础设施水平</v>
      </c>
      <c r="R21" s="703" t="s">
        <v>14</v>
      </c>
      <c r="S21" s="704">
        <f>F21</f>
        <v>100</v>
      </c>
      <c r="T21" s="703" t="s">
        <v>14</v>
      </c>
      <c r="U21" s="704">
        <f>H21</f>
        <v>100</v>
      </c>
      <c r="V21" s="703" t="s">
        <v>14</v>
      </c>
      <c r="W21" s="704">
        <f>J21</f>
        <v>100</v>
      </c>
      <c r="X21" s="1353"/>
      <c r="Y21" s="3765"/>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19"/>
      <c r="M22" s="2713"/>
      <c r="N22" s="2713"/>
      <c r="O22" s="2713"/>
      <c r="P22" s="3772"/>
      <c r="Q22" s="1350"/>
      <c r="R22" s="703"/>
      <c r="S22" s="704"/>
      <c r="T22" s="703"/>
      <c r="U22" s="704"/>
      <c r="V22" s="703"/>
      <c r="W22" s="704"/>
      <c r="X22" s="1353"/>
      <c r="Y22" s="3765"/>
      <c r="Z22" s="1354"/>
      <c r="AA22" s="1351">
        <v>1</v>
      </c>
      <c r="AB22" s="1351">
        <v>1</v>
      </c>
      <c r="AC22" s="1960">
        <v>1</v>
      </c>
    </row>
    <row r="23" spans="1:29" ht="55.2">
      <c r="A23" s="379"/>
      <c r="B23" s="579" t="s">
        <v>1812</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72"/>
      <c r="Q23" s="1350" t="str">
        <f>B23</f>
        <v>环境质量</v>
      </c>
      <c r="R23" s="703" t="s">
        <v>14</v>
      </c>
      <c r="S23" s="704">
        <f>F23</f>
        <v>100</v>
      </c>
      <c r="T23" s="703" t="s">
        <v>14</v>
      </c>
      <c r="U23" s="704">
        <f>H23</f>
        <v>100</v>
      </c>
      <c r="V23" s="703" t="s">
        <v>14</v>
      </c>
      <c r="W23" s="704">
        <f>J23</f>
        <v>100</v>
      </c>
      <c r="X23" s="1353"/>
      <c r="Y23" s="3765"/>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19"/>
      <c r="M24" s="2713"/>
      <c r="N24" s="2713"/>
      <c r="O24" s="2713"/>
      <c r="P24" s="3772"/>
      <c r="Q24" s="1350"/>
      <c r="R24" s="703"/>
      <c r="S24" s="704"/>
      <c r="T24" s="703"/>
      <c r="U24" s="704"/>
      <c r="V24" s="703"/>
      <c r="W24" s="704"/>
      <c r="X24" s="1353"/>
      <c r="Y24" s="3765"/>
      <c r="Z24" s="1354"/>
      <c r="AA24" s="1351">
        <v>1</v>
      </c>
      <c r="AB24" s="1351">
        <v>1</v>
      </c>
      <c r="AC24" s="1960">
        <v>1</v>
      </c>
    </row>
    <row r="25" spans="1:29" ht="28.8">
      <c r="A25" s="358"/>
      <c r="B25" s="579" t="s">
        <v>1813</v>
      </c>
      <c r="C25" s="1906"/>
      <c r="D25" s="386">
        <v>100</v>
      </c>
      <c r="E25" s="385"/>
      <c r="F25" s="386">
        <f>SUMIF(87:87,E26,88:88)-SUMIF(87:87,C26,88:88)+100</f>
        <v>100</v>
      </c>
      <c r="G25" s="1906"/>
      <c r="H25" s="386">
        <f>SUMIF(87:87,G26,88:88)-SUMIF(87:87,C26,88:88)+100</f>
        <v>100</v>
      </c>
      <c r="I25" s="385"/>
      <c r="J25" s="386">
        <f>SUMIF(87:87,I26,88:88)-SUMIF(87:87,C26,88:88)+100</f>
        <v>100</v>
      </c>
      <c r="K25" s="563"/>
      <c r="L25" s="2719"/>
      <c r="M25" s="2713"/>
      <c r="N25" s="2713"/>
      <c r="O25" s="2713"/>
      <c r="P25" s="3772"/>
      <c r="Q25" s="1350" t="str">
        <f>B25</f>
        <v>毗邻道路的类型与等级</v>
      </c>
      <c r="R25" s="703" t="s">
        <v>14</v>
      </c>
      <c r="S25" s="704">
        <f>F25</f>
        <v>100</v>
      </c>
      <c r="T25" s="703" t="s">
        <v>14</v>
      </c>
      <c r="U25" s="704">
        <f>H25</f>
        <v>100</v>
      </c>
      <c r="V25" s="703" t="s">
        <v>14</v>
      </c>
      <c r="W25" s="704">
        <f>J25</f>
        <v>100</v>
      </c>
      <c r="X25" s="1353"/>
      <c r="Y25" s="3765"/>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19"/>
      <c r="M26" s="2713"/>
      <c r="N26" s="2713"/>
      <c r="O26" s="2713"/>
      <c r="P26" s="3772"/>
      <c r="Q26" s="1350"/>
      <c r="R26" s="703"/>
      <c r="S26" s="704"/>
      <c r="T26" s="703"/>
      <c r="U26" s="704"/>
      <c r="V26" s="703"/>
      <c r="W26" s="704"/>
      <c r="X26" s="1353"/>
      <c r="Y26" s="3765"/>
      <c r="Z26" s="1354"/>
      <c r="AA26" s="1351">
        <v>1</v>
      </c>
      <c r="AB26" s="1351">
        <v>1</v>
      </c>
      <c r="AC26" s="1960">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72"/>
      <c r="Q27" s="1350" t="str">
        <f t="shared" ref="Q27:Q47" si="11">B27</f>
        <v>楼层</v>
      </c>
      <c r="R27" s="703" t="s">
        <v>14</v>
      </c>
      <c r="S27" s="704">
        <f>F27</f>
        <v>100</v>
      </c>
      <c r="T27" s="703" t="s">
        <v>14</v>
      </c>
      <c r="U27" s="704">
        <f>H27</f>
        <v>100</v>
      </c>
      <c r="V27" s="703" t="s">
        <v>14</v>
      </c>
      <c r="W27" s="704">
        <f>J27</f>
        <v>100</v>
      </c>
      <c r="X27" s="1353"/>
      <c r="Y27" s="3765"/>
      <c r="Z27" s="1354" t="str">
        <f>Q27</f>
        <v>楼层</v>
      </c>
      <c r="AA27" s="1351">
        <f t="shared" si="3"/>
        <v>1</v>
      </c>
      <c r="AB27" s="1351">
        <f t="shared" si="4"/>
        <v>1</v>
      </c>
      <c r="AC27" s="1960">
        <f t="shared" si="5"/>
        <v>1</v>
      </c>
    </row>
    <row r="28" spans="1:29" s="108" customFormat="1" ht="15">
      <c r="A28" s="382"/>
      <c r="B28" s="579"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772"/>
      <c r="Q28" s="1341" t="str">
        <f t="shared" si="11"/>
        <v>朝向</v>
      </c>
      <c r="R28" s="699" t="s">
        <v>14</v>
      </c>
      <c r="S28" s="700">
        <f>F28</f>
        <v>100</v>
      </c>
      <c r="T28" s="699" t="s">
        <v>14</v>
      </c>
      <c r="U28" s="700">
        <f>H28</f>
        <v>100</v>
      </c>
      <c r="V28" s="699" t="s">
        <v>14</v>
      </c>
      <c r="W28" s="700">
        <f>J28</f>
        <v>100</v>
      </c>
      <c r="X28" s="701"/>
      <c r="Y28" s="3765"/>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72"/>
      <c r="Q29" s="1350">
        <f t="shared" si="11"/>
        <v>111</v>
      </c>
      <c r="R29" s="703" t="s">
        <v>14</v>
      </c>
      <c r="S29" s="704">
        <f t="shared" ref="S29:S47" si="12">F29</f>
        <v>100</v>
      </c>
      <c r="T29" s="703" t="s">
        <v>14</v>
      </c>
      <c r="U29" s="704">
        <f t="shared" ref="U29:U47" si="13">H29</f>
        <v>100</v>
      </c>
      <c r="V29" s="703" t="s">
        <v>14</v>
      </c>
      <c r="W29" s="704">
        <f t="shared" ref="W29:W47" si="14">J29</f>
        <v>100</v>
      </c>
      <c r="X29" s="1353"/>
      <c r="Y29" s="3765"/>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72"/>
      <c r="Q30" s="1350">
        <f t="shared" si="11"/>
        <v>111</v>
      </c>
      <c r="R30" s="703" t="s">
        <v>14</v>
      </c>
      <c r="S30" s="704">
        <f t="shared" si="12"/>
        <v>100</v>
      </c>
      <c r="T30" s="703" t="s">
        <v>14</v>
      </c>
      <c r="U30" s="704">
        <f t="shared" si="13"/>
        <v>100</v>
      </c>
      <c r="V30" s="703" t="s">
        <v>14</v>
      </c>
      <c r="W30" s="704">
        <f t="shared" si="14"/>
        <v>100</v>
      </c>
      <c r="X30" s="1353"/>
      <c r="Y30" s="3765"/>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72"/>
      <c r="Q31" s="1350">
        <f t="shared" si="11"/>
        <v>111</v>
      </c>
      <c r="R31" s="703" t="s">
        <v>14</v>
      </c>
      <c r="S31" s="704">
        <f t="shared" si="12"/>
        <v>100</v>
      </c>
      <c r="T31" s="703" t="s">
        <v>14</v>
      </c>
      <c r="U31" s="704">
        <f t="shared" si="13"/>
        <v>100</v>
      </c>
      <c r="V31" s="703" t="s">
        <v>14</v>
      </c>
      <c r="W31" s="704">
        <f t="shared" si="14"/>
        <v>100</v>
      </c>
      <c r="X31" s="1353"/>
      <c r="Y31" s="3765"/>
      <c r="Z31" s="1354">
        <f t="shared" si="15"/>
        <v>111</v>
      </c>
      <c r="AA31" s="1351">
        <f t="shared" si="3"/>
        <v>1</v>
      </c>
      <c r="AB31" s="1351">
        <f t="shared" si="4"/>
        <v>1</v>
      </c>
      <c r="AC31" s="1960">
        <f t="shared" si="5"/>
        <v>1</v>
      </c>
    </row>
    <row r="32" spans="1:29" ht="15.6"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72"/>
      <c r="Q32" s="1350">
        <f t="shared" si="11"/>
        <v>111</v>
      </c>
      <c r="R32" s="703" t="s">
        <v>14</v>
      </c>
      <c r="S32" s="704">
        <f t="shared" si="12"/>
        <v>100</v>
      </c>
      <c r="T32" s="703" t="s">
        <v>14</v>
      </c>
      <c r="U32" s="704">
        <f t="shared" si="13"/>
        <v>100</v>
      </c>
      <c r="V32" s="703" t="s">
        <v>14</v>
      </c>
      <c r="W32" s="704">
        <f t="shared" si="14"/>
        <v>100</v>
      </c>
      <c r="X32" s="1353"/>
      <c r="Y32" s="3765"/>
      <c r="Z32" s="1354">
        <f t="shared" si="15"/>
        <v>111</v>
      </c>
      <c r="AA32" s="1351">
        <f t="shared" si="3"/>
        <v>1</v>
      </c>
      <c r="AB32" s="1351">
        <f t="shared" si="4"/>
        <v>1</v>
      </c>
      <c r="AC32" s="1960">
        <f t="shared" si="5"/>
        <v>1</v>
      </c>
    </row>
    <row r="33" spans="1:29" ht="15">
      <c r="A33" s="391" t="s">
        <v>1692</v>
      </c>
      <c r="B33" s="63" t="s">
        <v>1815</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766" t="s">
        <v>1694</v>
      </c>
      <c r="Q33" s="1350" t="str">
        <f t="shared" si="11"/>
        <v>建筑类型</v>
      </c>
      <c r="R33" s="703" t="s">
        <v>14</v>
      </c>
      <c r="S33" s="704">
        <f t="shared" si="12"/>
        <v>100</v>
      </c>
      <c r="T33" s="703" t="s">
        <v>14</v>
      </c>
      <c r="U33" s="704">
        <f t="shared" si="13"/>
        <v>100</v>
      </c>
      <c r="V33" s="703" t="s">
        <v>14</v>
      </c>
      <c r="W33" s="704">
        <f t="shared" si="14"/>
        <v>100</v>
      </c>
      <c r="X33" s="1353"/>
      <c r="Y33" s="3769" t="s">
        <v>1694</v>
      </c>
      <c r="Z33" s="1354" t="str">
        <f t="shared" si="15"/>
        <v>建筑类型</v>
      </c>
      <c r="AA33" s="1351">
        <f t="shared" si="3"/>
        <v>1</v>
      </c>
      <c r="AB33" s="1351">
        <f t="shared" si="4"/>
        <v>1</v>
      </c>
      <c r="AC33" s="1960">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67"/>
      <c r="Q34" s="705" t="str">
        <f t="shared" si="11"/>
        <v>项目建筑规模</v>
      </c>
      <c r="R34" s="706" t="s">
        <v>14</v>
      </c>
      <c r="S34" s="707" t="e">
        <f t="shared" si="12"/>
        <v>#N/A</v>
      </c>
      <c r="T34" s="706" t="s">
        <v>14</v>
      </c>
      <c r="U34" s="707" t="e">
        <f t="shared" si="13"/>
        <v>#N/A</v>
      </c>
      <c r="V34" s="706" t="s">
        <v>14</v>
      </c>
      <c r="W34" s="707" t="e">
        <f t="shared" si="14"/>
        <v>#N/A</v>
      </c>
      <c r="X34" s="708"/>
      <c r="Y34" s="3769"/>
      <c r="Z34" s="709" t="str">
        <f t="shared" si="15"/>
        <v>项目建筑规模</v>
      </c>
      <c r="AA34" s="1351" t="e">
        <f t="shared" si="3"/>
        <v>#N/A</v>
      </c>
      <c r="AB34" s="1351" t="e">
        <f t="shared" si="4"/>
        <v>#N/A</v>
      </c>
      <c r="AC34" s="1960"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67"/>
      <c r="Q35" s="1350" t="str">
        <f t="shared" si="11"/>
        <v>建筑结构</v>
      </c>
      <c r="R35" s="703" t="s">
        <v>14</v>
      </c>
      <c r="S35" s="704">
        <f t="shared" si="12"/>
        <v>100</v>
      </c>
      <c r="T35" s="703" t="s">
        <v>14</v>
      </c>
      <c r="U35" s="704">
        <f t="shared" si="13"/>
        <v>100</v>
      </c>
      <c r="V35" s="703" t="s">
        <v>14</v>
      </c>
      <c r="W35" s="704">
        <f t="shared" si="14"/>
        <v>100</v>
      </c>
      <c r="X35" s="1353"/>
      <c r="Y35" s="3769"/>
      <c r="Z35" s="1354" t="str">
        <f t="shared" si="15"/>
        <v>建筑结构</v>
      </c>
      <c r="AA35" s="1351">
        <f t="shared" si="3"/>
        <v>1</v>
      </c>
      <c r="AB35" s="1351">
        <f t="shared" si="4"/>
        <v>1</v>
      </c>
      <c r="AC35" s="1960">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67"/>
      <c r="Q36" s="1350" t="str">
        <f t="shared" si="11"/>
        <v>公共部分装修</v>
      </c>
      <c r="R36" s="703" t="s">
        <v>14</v>
      </c>
      <c r="S36" s="704">
        <f t="shared" si="12"/>
        <v>100</v>
      </c>
      <c r="T36" s="703" t="s">
        <v>14</v>
      </c>
      <c r="U36" s="704">
        <f t="shared" si="13"/>
        <v>100</v>
      </c>
      <c r="V36" s="703" t="s">
        <v>14</v>
      </c>
      <c r="W36" s="704">
        <f t="shared" si="14"/>
        <v>100</v>
      </c>
      <c r="X36" s="1353"/>
      <c r="Y36" s="3769"/>
      <c r="Z36" s="1354" t="str">
        <f t="shared" si="15"/>
        <v>公共部分装修</v>
      </c>
      <c r="AA36" s="1351">
        <f t="shared" si="3"/>
        <v>1</v>
      </c>
      <c r="AB36" s="1351">
        <f t="shared" si="4"/>
        <v>1</v>
      </c>
      <c r="AC36" s="1960">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67"/>
      <c r="Q37" s="1350" t="str">
        <f t="shared" si="11"/>
        <v>成新度</v>
      </c>
      <c r="R37" s="703" t="s">
        <v>14</v>
      </c>
      <c r="S37" s="704" t="e">
        <f t="shared" si="12"/>
        <v>#N/A</v>
      </c>
      <c r="T37" s="703" t="s">
        <v>14</v>
      </c>
      <c r="U37" s="704" t="e">
        <f t="shared" si="13"/>
        <v>#N/A</v>
      </c>
      <c r="V37" s="703" t="s">
        <v>14</v>
      </c>
      <c r="W37" s="704" t="e">
        <f t="shared" si="14"/>
        <v>#N/A</v>
      </c>
      <c r="X37" s="1353"/>
      <c r="Y37" s="3769"/>
      <c r="Z37" s="1354" t="str">
        <f t="shared" si="15"/>
        <v>成新度</v>
      </c>
      <c r="AA37" s="1351" t="e">
        <f t="shared" si="3"/>
        <v>#N/A</v>
      </c>
      <c r="AB37" s="1351" t="e">
        <f t="shared" si="4"/>
        <v>#N/A</v>
      </c>
      <c r="AC37" s="1960"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67"/>
      <c r="Q38" s="1341" t="str">
        <f t="shared" si="11"/>
        <v>写字楼等级</v>
      </c>
      <c r="R38" s="699" t="s">
        <v>14</v>
      </c>
      <c r="S38" s="700">
        <f t="shared" si="12"/>
        <v>100</v>
      </c>
      <c r="T38" s="699" t="s">
        <v>14</v>
      </c>
      <c r="U38" s="700">
        <f t="shared" si="13"/>
        <v>100</v>
      </c>
      <c r="V38" s="699" t="s">
        <v>14</v>
      </c>
      <c r="W38" s="700">
        <f t="shared" si="14"/>
        <v>100</v>
      </c>
      <c r="X38" s="701"/>
      <c r="Y38" s="3769"/>
      <c r="Z38" s="52" t="str">
        <f t="shared" si="15"/>
        <v>写字楼等级</v>
      </c>
      <c r="AA38" s="702">
        <f t="shared" si="3"/>
        <v>1</v>
      </c>
      <c r="AB38" s="702">
        <f t="shared" si="4"/>
        <v>1</v>
      </c>
      <c r="AC38" s="1957">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67" t="s">
        <v>1694</v>
      </c>
      <c r="Q39" s="1350" t="str">
        <f t="shared" si="11"/>
        <v>物业管理</v>
      </c>
      <c r="R39" s="703" t="s">
        <v>14</v>
      </c>
      <c r="S39" s="704">
        <f t="shared" si="12"/>
        <v>100</v>
      </c>
      <c r="T39" s="703" t="s">
        <v>14</v>
      </c>
      <c r="U39" s="704">
        <f t="shared" si="13"/>
        <v>100</v>
      </c>
      <c r="V39" s="703" t="s">
        <v>14</v>
      </c>
      <c r="W39" s="704">
        <f t="shared" si="14"/>
        <v>100</v>
      </c>
      <c r="X39" s="1353"/>
      <c r="Y39" s="3769" t="s">
        <v>1694</v>
      </c>
      <c r="Z39" s="1354" t="str">
        <f t="shared" si="15"/>
        <v>物业管理</v>
      </c>
      <c r="AA39" s="1351">
        <f t="shared" si="3"/>
        <v>1</v>
      </c>
      <c r="AB39" s="1351">
        <f t="shared" si="4"/>
        <v>1</v>
      </c>
      <c r="AC39" s="1960">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67"/>
      <c r="Q40" s="1350" t="str">
        <f t="shared" si="11"/>
        <v>市政基础设施</v>
      </c>
      <c r="R40" s="703" t="s">
        <v>14</v>
      </c>
      <c r="S40" s="704">
        <f t="shared" si="12"/>
        <v>100</v>
      </c>
      <c r="T40" s="703" t="s">
        <v>14</v>
      </c>
      <c r="U40" s="704">
        <f t="shared" si="13"/>
        <v>100</v>
      </c>
      <c r="V40" s="703" t="s">
        <v>14</v>
      </c>
      <c r="W40" s="704">
        <f t="shared" si="14"/>
        <v>100</v>
      </c>
      <c r="X40" s="1353"/>
      <c r="Y40" s="3769"/>
      <c r="Z40" s="1354" t="str">
        <f t="shared" si="15"/>
        <v>市政基础设施</v>
      </c>
      <c r="AA40" s="1351">
        <f t="shared" si="3"/>
        <v>1</v>
      </c>
      <c r="AB40" s="1351">
        <f t="shared" si="4"/>
        <v>1</v>
      </c>
      <c r="AC40" s="1960">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67"/>
      <c r="Q41" s="1350" t="str">
        <f t="shared" si="11"/>
        <v>层高</v>
      </c>
      <c r="R41" s="703" t="s">
        <v>14</v>
      </c>
      <c r="S41" s="704">
        <f t="shared" si="12"/>
        <v>100</v>
      </c>
      <c r="T41" s="703" t="s">
        <v>14</v>
      </c>
      <c r="U41" s="704">
        <f t="shared" si="13"/>
        <v>100</v>
      </c>
      <c r="V41" s="703" t="s">
        <v>14</v>
      </c>
      <c r="W41" s="704">
        <f t="shared" si="14"/>
        <v>100</v>
      </c>
      <c r="X41" s="1353"/>
      <c r="Y41" s="3769"/>
      <c r="Z41" s="1354" t="str">
        <f t="shared" si="15"/>
        <v>层高</v>
      </c>
      <c r="AA41" s="1351">
        <f t="shared" si="3"/>
        <v>1</v>
      </c>
      <c r="AB41" s="1351">
        <f t="shared" si="4"/>
        <v>1</v>
      </c>
      <c r="AC41" s="1960">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67"/>
      <c r="Q42" s="705" t="str">
        <f t="shared" si="11"/>
        <v>单套建筑面积</v>
      </c>
      <c r="R42" s="706" t="s">
        <v>14</v>
      </c>
      <c r="S42" s="707">
        <f t="shared" si="12"/>
        <v>100</v>
      </c>
      <c r="T42" s="706" t="s">
        <v>14</v>
      </c>
      <c r="U42" s="707">
        <f t="shared" si="13"/>
        <v>100</v>
      </c>
      <c r="V42" s="706" t="s">
        <v>14</v>
      </c>
      <c r="W42" s="707">
        <f t="shared" si="14"/>
        <v>100</v>
      </c>
      <c r="X42" s="708"/>
      <c r="Y42" s="3769"/>
      <c r="Z42" s="709" t="str">
        <f t="shared" si="15"/>
        <v>单套建筑面积</v>
      </c>
      <c r="AA42" s="1351">
        <f t="shared" si="3"/>
        <v>1</v>
      </c>
      <c r="AB42" s="1351">
        <f t="shared" si="4"/>
        <v>1</v>
      </c>
      <c r="AC42" s="1960">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67"/>
      <c r="Q43" s="1350" t="str">
        <f t="shared" si="11"/>
        <v>内部装修</v>
      </c>
      <c r="R43" s="703" t="s">
        <v>14</v>
      </c>
      <c r="S43" s="704">
        <f t="shared" si="12"/>
        <v>100</v>
      </c>
      <c r="T43" s="703" t="s">
        <v>14</v>
      </c>
      <c r="U43" s="704">
        <f t="shared" si="13"/>
        <v>100</v>
      </c>
      <c r="V43" s="703" t="s">
        <v>14</v>
      </c>
      <c r="W43" s="704">
        <f t="shared" si="14"/>
        <v>100</v>
      </c>
      <c r="X43" s="1353"/>
      <c r="Y43" s="3769"/>
      <c r="Z43" s="1354" t="str">
        <f t="shared" si="15"/>
        <v>内部装修</v>
      </c>
      <c r="AA43" s="1351">
        <f t="shared" si="3"/>
        <v>1</v>
      </c>
      <c r="AB43" s="1351">
        <f t="shared" si="4"/>
        <v>1</v>
      </c>
      <c r="AC43" s="1960">
        <f t="shared" si="5"/>
        <v>1</v>
      </c>
    </row>
    <row r="44" spans="1:29" ht="28.8">
      <c r="A44" s="423"/>
      <c r="B44" s="375" t="s">
        <v>1705</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9"/>
      <c r="M44" s="2713"/>
      <c r="N44" s="2713"/>
      <c r="O44" s="2713"/>
      <c r="P44" s="3767"/>
      <c r="Q44" s="1350" t="str">
        <f t="shared" si="11"/>
        <v>内部装修维护情况</v>
      </c>
      <c r="R44" s="703" t="s">
        <v>14</v>
      </c>
      <c r="S44" s="704">
        <f t="shared" si="12"/>
        <v>100</v>
      </c>
      <c r="T44" s="703" t="s">
        <v>14</v>
      </c>
      <c r="U44" s="704">
        <f t="shared" si="13"/>
        <v>100</v>
      </c>
      <c r="V44" s="703" t="s">
        <v>14</v>
      </c>
      <c r="W44" s="704">
        <f t="shared" si="14"/>
        <v>100</v>
      </c>
      <c r="X44" s="1353"/>
      <c r="Y44" s="3769"/>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67"/>
      <c r="Q45" s="1341">
        <f t="shared" si="11"/>
        <v>111</v>
      </c>
      <c r="R45" s="699" t="s">
        <v>14</v>
      </c>
      <c r="S45" s="700">
        <f t="shared" si="12"/>
        <v>100</v>
      </c>
      <c r="T45" s="699" t="s">
        <v>14</v>
      </c>
      <c r="U45" s="700">
        <f t="shared" si="13"/>
        <v>100</v>
      </c>
      <c r="V45" s="699" t="s">
        <v>14</v>
      </c>
      <c r="W45" s="700">
        <f t="shared" si="14"/>
        <v>100</v>
      </c>
      <c r="X45" s="701"/>
      <c r="Y45" s="3769"/>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67"/>
      <c r="Q46" s="1350">
        <f t="shared" si="11"/>
        <v>111</v>
      </c>
      <c r="R46" s="703" t="s">
        <v>14</v>
      </c>
      <c r="S46" s="704">
        <f t="shared" si="12"/>
        <v>100</v>
      </c>
      <c r="T46" s="703" t="s">
        <v>14</v>
      </c>
      <c r="U46" s="704">
        <f t="shared" si="13"/>
        <v>100</v>
      </c>
      <c r="V46" s="703" t="s">
        <v>14</v>
      </c>
      <c r="W46" s="704">
        <f t="shared" si="14"/>
        <v>100</v>
      </c>
      <c r="X46" s="1353"/>
      <c r="Y46" s="3769"/>
      <c r="Z46" s="1354">
        <f t="shared" si="15"/>
        <v>111</v>
      </c>
      <c r="AA46" s="1351">
        <f t="shared" si="3"/>
        <v>1</v>
      </c>
      <c r="AB46" s="1351">
        <f t="shared" si="4"/>
        <v>1</v>
      </c>
      <c r="AC46" s="1960">
        <f t="shared" si="5"/>
        <v>1</v>
      </c>
    </row>
    <row r="47" spans="1:29" ht="15.6"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68"/>
      <c r="Q47" s="1350">
        <f t="shared" si="11"/>
        <v>111</v>
      </c>
      <c r="R47" s="703" t="s">
        <v>14</v>
      </c>
      <c r="S47" s="704">
        <f t="shared" si="12"/>
        <v>100</v>
      </c>
      <c r="T47" s="703" t="s">
        <v>14</v>
      </c>
      <c r="U47" s="704">
        <f t="shared" si="13"/>
        <v>100</v>
      </c>
      <c r="V47" s="703" t="s">
        <v>14</v>
      </c>
      <c r="W47" s="704">
        <f t="shared" si="14"/>
        <v>100</v>
      </c>
      <c r="X47" s="1353"/>
      <c r="Y47" s="3770"/>
      <c r="Z47" s="1354">
        <f t="shared" si="15"/>
        <v>111</v>
      </c>
      <c r="AA47" s="1351">
        <f t="shared" si="3"/>
        <v>1</v>
      </c>
      <c r="AB47" s="1351">
        <f t="shared" si="4"/>
        <v>1</v>
      </c>
      <c r="AC47" s="1960">
        <f t="shared" si="5"/>
        <v>1</v>
      </c>
    </row>
    <row r="48" spans="1:29" ht="14.4">
      <c r="A48" s="430" t="s">
        <v>1706</v>
      </c>
      <c r="B48" s="431"/>
      <c r="C48" s="1152" t="s">
        <v>0</v>
      </c>
      <c r="D48" s="1153"/>
      <c r="E48" s="1154"/>
      <c r="F48" s="1155"/>
      <c r="G48" s="1156"/>
      <c r="H48" s="1157"/>
      <c r="I48" s="1154"/>
      <c r="J48" s="436"/>
      <c r="K48" s="712"/>
      <c r="L48" s="2721"/>
      <c r="M48" s="2713"/>
      <c r="N48" s="2713"/>
      <c r="O48" s="2713"/>
      <c r="P48" s="3744" t="str">
        <f>A48</f>
        <v>成交单价（元/平方米）</v>
      </c>
      <c r="Q48" s="3762"/>
      <c r="R48" s="3763">
        <f>E48</f>
        <v>0</v>
      </c>
      <c r="S48" s="3763"/>
      <c r="T48" s="3763">
        <f>G48</f>
        <v>0</v>
      </c>
      <c r="U48" s="3763"/>
      <c r="V48" s="3763">
        <f>I48</f>
        <v>0</v>
      </c>
      <c r="W48" s="3763"/>
      <c r="X48" s="397"/>
      <c r="Y48" s="710"/>
      <c r="Z48" s="397"/>
      <c r="AA48" s="397"/>
      <c r="AB48" s="397"/>
      <c r="AC48" s="578"/>
    </row>
    <row r="49" spans="1:29" ht="15" thickBot="1">
      <c r="A49" s="437" t="s">
        <v>1791</v>
      </c>
      <c r="B49" s="438"/>
      <c r="C49" s="1158" t="e">
        <f>R50</f>
        <v>#DIV/0!</v>
      </c>
      <c r="D49" s="2315" t="s">
        <v>2133</v>
      </c>
      <c r="E49" s="1159" t="e">
        <f>R49</f>
        <v>#DIV/0!</v>
      </c>
      <c r="F49" s="2316"/>
      <c r="G49" s="1158" t="e">
        <f>T49</f>
        <v>#DIV/0!</v>
      </c>
      <c r="H49" s="2316"/>
      <c r="I49" s="1159" t="e">
        <f>V49</f>
        <v>#DIV/0!</v>
      </c>
      <c r="J49" s="2316"/>
      <c r="K49" s="2318">
        <f>F49+H49+J49</f>
        <v>0</v>
      </c>
      <c r="L49" s="2721"/>
      <c r="M49" s="2713"/>
      <c r="N49" s="2713"/>
      <c r="O49" s="2713"/>
      <c r="P49" s="3744" t="str">
        <f>A49</f>
        <v>比较价值（元/平方米）</v>
      </c>
      <c r="Q49" s="3762"/>
      <c r="R49" s="3763" t="e">
        <f>IF(F1="售价",ROUND(PRODUCT(R48,AA7:AA47),0),ROUND(PRODUCT(R48,AA7:AA47),1))</f>
        <v>#DIV/0!</v>
      </c>
      <c r="S49" s="3763"/>
      <c r="T49" s="3763" t="e">
        <f>IF(F1="售价",ROUND(PRODUCT(T48,AB7:AB47),0),ROUND(PRODUCT(T48,AB7:AB47),1))</f>
        <v>#DIV/0!</v>
      </c>
      <c r="U49" s="3763"/>
      <c r="V49" s="3763" t="e">
        <f>IF(F1="售价",ROUND(PRODUCT(V48,AC7:AC47),0),ROUND(PRODUCT(V48,AC7:AC47),1))</f>
        <v>#DIV/0!</v>
      </c>
      <c r="W49" s="3763"/>
      <c r="X49" s="397"/>
      <c r="Y49" s="397"/>
      <c r="Z49" s="397"/>
      <c r="AA49" s="397"/>
      <c r="AB49" s="397"/>
      <c r="AC49" s="578"/>
    </row>
    <row r="50" spans="1:29" ht="15" thickBot="1">
      <c r="A50" s="441" t="s">
        <v>1792</v>
      </c>
      <c r="B50" s="442"/>
      <c r="C50" s="1161" t="e">
        <f>R50</f>
        <v>#DIV/0!</v>
      </c>
      <c r="D50" s="1161"/>
      <c r="E50" s="1161"/>
      <c r="F50" s="1161"/>
      <c r="G50" s="1161"/>
      <c r="H50" s="1161"/>
      <c r="I50" s="1161"/>
      <c r="J50" s="443"/>
      <c r="K50" s="713"/>
      <c r="L50" s="2721"/>
      <c r="M50" s="2713"/>
      <c r="N50" s="2713"/>
      <c r="O50" s="2713"/>
      <c r="P50" s="3786" t="str">
        <f>A50</f>
        <v>估价对象XX用房的比较价值（楼面单价，元/平方米）</v>
      </c>
      <c r="Q50" s="3787"/>
      <c r="R50" s="3788" t="e">
        <f>IF(F1="售价",ROUND(IF(D49="简单平均",AVERAGE(R49:V49),R49*F49+T49*H49+V49*J49),0),ROUND(IF(D49="简单平均",AVERAGE(R49:V49),R49*F49+T49*H49+V49*J49),1))</f>
        <v>#DIV/0!</v>
      </c>
      <c r="S50" s="3788"/>
      <c r="T50" s="3788"/>
      <c r="U50" s="3788"/>
      <c r="V50" s="3788"/>
      <c r="W50" s="3788"/>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2" t="s">
        <v>1796</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4.4">
      <c r="A59" s="454" t="s">
        <v>1677</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6"/>
      <c r="Q59" s="2738"/>
      <c r="R59" s="2738"/>
      <c r="S59" s="2738"/>
      <c r="T59" s="2738"/>
      <c r="U59" s="2738"/>
      <c r="V59" s="2738"/>
      <c r="W59" s="2738"/>
      <c r="X59" s="2738"/>
      <c r="Y59" s="2738"/>
      <c r="Z59" s="2738"/>
      <c r="AA59" s="2738"/>
      <c r="AB59" s="2738"/>
      <c r="AC59" s="2738"/>
    </row>
    <row r="60" spans="1:29" s="108" customFormat="1">
      <c r="A60" s="458"/>
      <c r="B60" s="459"/>
      <c r="C60" s="1181">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 thickBot="1">
      <c r="A61" s="464" t="s">
        <v>1714</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4.4">
      <c r="A62" s="470" t="s">
        <v>1679</v>
      </c>
      <c r="B62" s="459"/>
      <c r="C62" s="471" t="s">
        <v>1774</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4.4"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ht="14.4">
      <c r="A64" s="476" t="s">
        <v>1717</v>
      </c>
      <c r="B64" s="477" t="s">
        <v>1683</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4.4"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9.4" thickTop="1">
      <c r="A66" s="483"/>
      <c r="B66" s="487" t="s">
        <v>1686</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4.4"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4.4"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4.4"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4.4"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4.4"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4.4"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4.4"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ht="14.4">
      <c r="A77" s="476" t="s">
        <v>1688</v>
      </c>
      <c r="B77" s="477" t="s">
        <v>1819</v>
      </c>
      <c r="C77" s="522" t="s">
        <v>1719</v>
      </c>
      <c r="D77" s="522" t="s">
        <v>1720</v>
      </c>
      <c r="E77" s="522" t="s">
        <v>1721</v>
      </c>
      <c r="F77" s="522" t="s">
        <v>1722</v>
      </c>
      <c r="G77" s="522" t="s">
        <v>1723</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 thickTop="1">
      <c r="A79" s="483"/>
      <c r="B79" s="487" t="s">
        <v>1724</v>
      </c>
      <c r="C79" s="527" t="s">
        <v>1719</v>
      </c>
      <c r="D79" s="527" t="s">
        <v>1720</v>
      </c>
      <c r="E79" s="527" t="s">
        <v>1721</v>
      </c>
      <c r="F79" s="527" t="s">
        <v>1722</v>
      </c>
      <c r="G79" s="527" t="s">
        <v>1723</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 thickTop="1">
      <c r="A81" s="483"/>
      <c r="B81" s="487" t="s">
        <v>1725</v>
      </c>
      <c r="C81" s="527" t="s">
        <v>1719</v>
      </c>
      <c r="D81" s="527" t="s">
        <v>1720</v>
      </c>
      <c r="E81" s="527" t="s">
        <v>1721</v>
      </c>
      <c r="F81" s="527" t="s">
        <v>1722</v>
      </c>
      <c r="G81" s="527" t="s">
        <v>1723</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 thickTop="1">
      <c r="A83" s="483"/>
      <c r="B83" s="495" t="s">
        <v>1811</v>
      </c>
      <c r="C83" s="608" t="s">
        <v>1797</v>
      </c>
      <c r="D83" s="608" t="s">
        <v>1798</v>
      </c>
      <c r="E83" s="608" t="s">
        <v>1799</v>
      </c>
      <c r="F83" s="608" t="s">
        <v>1800</v>
      </c>
      <c r="G83" s="608" t="s">
        <v>1801</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 thickTop="1">
      <c r="A85" s="483"/>
      <c r="B85" s="487" t="s">
        <v>1820</v>
      </c>
      <c r="C85" s="527" t="s">
        <v>1719</v>
      </c>
      <c r="D85" s="527" t="s">
        <v>1720</v>
      </c>
      <c r="E85" s="527" t="s">
        <v>1721</v>
      </c>
      <c r="F85" s="527" t="s">
        <v>1722</v>
      </c>
      <c r="G85" s="527" t="s">
        <v>1723</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9.4" thickTop="1">
      <c r="A87" s="528"/>
      <c r="B87" s="487" t="s">
        <v>1821</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4.4"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4.4"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4.4"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4.4"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4.4"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4.4"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4.4"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4.4"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ht="14.4">
      <c r="A101" s="476" t="s">
        <v>1692</v>
      </c>
      <c r="B101" s="477" t="s">
        <v>1734</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4.4"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1736</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1738</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1822</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1739</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1740</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1823</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1806</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4.4"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1742</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8"/>
      <c r="B125" s="487" t="s">
        <v>1743</v>
      </c>
      <c r="C125" s="527" t="s">
        <v>1719</v>
      </c>
      <c r="D125" s="527" t="s">
        <v>1720</v>
      </c>
      <c r="E125" s="527" t="s">
        <v>1721</v>
      </c>
      <c r="F125" s="527" t="s">
        <v>1722</v>
      </c>
      <c r="G125" s="527" t="s">
        <v>1723</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4.4"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4.4"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4.4"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4.4"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4.4"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4.4"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1658</v>
      </c>
      <c r="B1" s="1955" t="s">
        <v>1824</v>
      </c>
      <c r="C1" s="1222" t="s">
        <v>1660</v>
      </c>
      <c r="D1" s="1223"/>
      <c r="E1" s="3430"/>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1462</v>
      </c>
      <c r="B3" s="558">
        <f>IF(C2="——",C43,ROUND(B2*10000/D3,0))</f>
        <v>0</v>
      </c>
      <c r="C3" s="354" t="s">
        <v>1766</v>
      </c>
      <c r="D3" s="353">
        <f>IF(D1="",'数据-汇总表'!E3,SUMIF('数据-汇总表'!$C19:$C33,D1,'数据-汇总表'!$E19:$E33))</f>
        <v>521.56999999999994</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4.4">
      <c r="A4" s="355" t="s">
        <v>1767</v>
      </c>
      <c r="B4" s="356"/>
      <c r="C4" s="3745" t="s">
        <v>1768</v>
      </c>
      <c r="D4" s="3746"/>
      <c r="E4" s="3747" t="s">
        <v>1769</v>
      </c>
      <c r="F4" s="3748"/>
      <c r="G4" s="3745" t="s">
        <v>1770</v>
      </c>
      <c r="H4" s="3746"/>
      <c r="I4" s="3745" t="s">
        <v>1771</v>
      </c>
      <c r="J4" s="3746"/>
      <c r="K4" s="559" t="s">
        <v>1772</v>
      </c>
      <c r="L4" s="911"/>
      <c r="M4" s="912"/>
      <c r="N4" s="912"/>
      <c r="O4" s="912"/>
      <c r="P4" s="3749" t="s">
        <v>1773</v>
      </c>
      <c r="Q4" s="3750"/>
      <c r="R4" s="3732" t="s">
        <v>1769</v>
      </c>
      <c r="S4" s="3733"/>
      <c r="T4" s="3732" t="s">
        <v>1770</v>
      </c>
      <c r="U4" s="3733"/>
      <c r="V4" s="3757" t="s">
        <v>1771</v>
      </c>
      <c r="W4" s="3757"/>
      <c r="X4" s="1353"/>
      <c r="Y4" s="3732" t="s">
        <v>1773</v>
      </c>
      <c r="Z4" s="3733"/>
      <c r="AA4" s="3727" t="s">
        <v>1769</v>
      </c>
      <c r="AB4" s="3728" t="s">
        <v>1770</v>
      </c>
      <c r="AC4" s="3727" t="s">
        <v>1771</v>
      </c>
    </row>
    <row r="5" spans="1:29">
      <c r="A5" s="358"/>
      <c r="B5" s="359"/>
      <c r="C5" s="3738" t="s">
        <v>1671</v>
      </c>
      <c r="D5" s="3739"/>
      <c r="E5" s="3736" t="s">
        <v>1672</v>
      </c>
      <c r="F5" s="3737"/>
      <c r="G5" s="3738" t="s">
        <v>1673</v>
      </c>
      <c r="H5" s="3739"/>
      <c r="I5" s="3738" t="s">
        <v>1674</v>
      </c>
      <c r="J5" s="3739"/>
      <c r="K5" s="559"/>
      <c r="L5" s="911"/>
      <c r="M5" s="912"/>
      <c r="N5" s="912"/>
      <c r="O5" s="912"/>
      <c r="P5" s="3751"/>
      <c r="Q5" s="3752"/>
      <c r="R5" s="3734"/>
      <c r="S5" s="3735"/>
      <c r="T5" s="3734"/>
      <c r="U5" s="3735"/>
      <c r="V5" s="3757"/>
      <c r="W5" s="3757"/>
      <c r="X5" s="1353"/>
      <c r="Y5" s="3734"/>
      <c r="Z5" s="3735"/>
      <c r="AA5" s="3728"/>
      <c r="AB5" s="3728"/>
      <c r="AC5" s="3728"/>
    </row>
    <row r="6" spans="1:29" ht="15" thickBot="1">
      <c r="A6" s="360"/>
      <c r="B6" s="361"/>
      <c r="C6" s="3740" t="s">
        <v>1675</v>
      </c>
      <c r="D6" s="3741"/>
      <c r="E6" s="3742" t="s">
        <v>1675</v>
      </c>
      <c r="F6" s="3743"/>
      <c r="G6" s="3740" t="s">
        <v>1675</v>
      </c>
      <c r="H6" s="3741"/>
      <c r="I6" s="3740" t="s">
        <v>1675</v>
      </c>
      <c r="J6" s="3741"/>
      <c r="K6" s="559" t="s">
        <v>1676</v>
      </c>
      <c r="L6" s="911"/>
      <c r="M6" s="912"/>
      <c r="N6" s="912"/>
      <c r="O6" s="912"/>
      <c r="P6" s="3753"/>
      <c r="Q6" s="3754"/>
      <c r="R6" s="3734"/>
      <c r="S6" s="3735"/>
      <c r="T6" s="3755"/>
      <c r="U6" s="3756"/>
      <c r="V6" s="3757"/>
      <c r="W6" s="3757"/>
      <c r="X6" s="1353"/>
      <c r="Y6" s="3755"/>
      <c r="Z6" s="3756"/>
      <c r="AA6" s="3729"/>
      <c r="AB6" s="3729"/>
      <c r="AC6" s="3729"/>
    </row>
    <row r="7" spans="1:29" s="108" customFormat="1" ht="15" thickBot="1">
      <c r="A7" s="362" t="s">
        <v>1677</v>
      </c>
      <c r="B7" s="363"/>
      <c r="C7" s="364">
        <f>'数据-取费表'!B2</f>
        <v>45504</v>
      </c>
      <c r="D7" s="365">
        <v>100</v>
      </c>
      <c r="E7" s="366"/>
      <c r="F7" s="367">
        <f>SUMIF(52:52,YEAR(E7)&amp;"-"&amp;MONTH(E7),53:53)</f>
        <v>0</v>
      </c>
      <c r="G7" s="366"/>
      <c r="H7" s="365">
        <f>SUMIF(52:52,YEAR(G7)&amp;"-"&amp;MONTH(G7),53:53)</f>
        <v>0</v>
      </c>
      <c r="I7" s="366"/>
      <c r="J7" s="365">
        <f>SUMIF(52:52,YEAR(I7)&amp;"-"&amp;MONTH(I7),53:53)</f>
        <v>0</v>
      </c>
      <c r="K7" s="560"/>
      <c r="L7" s="913"/>
      <c r="M7" s="914"/>
      <c r="N7" s="914"/>
      <c r="O7" s="914"/>
      <c r="P7" s="3730" t="s">
        <v>1678</v>
      </c>
      <c r="Q7" s="3758"/>
      <c r="R7" s="699" t="s">
        <v>14</v>
      </c>
      <c r="S7" s="700">
        <f t="shared" ref="S7:S15" si="0">F7</f>
        <v>0</v>
      </c>
      <c r="T7" s="699" t="s">
        <v>14</v>
      </c>
      <c r="U7" s="700">
        <f t="shared" ref="U7:U15" si="1">H7</f>
        <v>0</v>
      </c>
      <c r="V7" s="699" t="s">
        <v>14</v>
      </c>
      <c r="W7" s="700">
        <f t="shared" ref="W7:W15" si="2">J7</f>
        <v>0</v>
      </c>
      <c r="X7" s="701"/>
      <c r="Y7" s="3730" t="s">
        <v>1678</v>
      </c>
      <c r="Z7" s="3731"/>
      <c r="AA7" s="702" t="e">
        <f>D7/F7</f>
        <v>#DIV/0!</v>
      </c>
      <c r="AB7" s="702" t="e">
        <f>D7/H7</f>
        <v>#DIV/0!</v>
      </c>
      <c r="AC7" s="702" t="e">
        <f>D7/J7</f>
        <v>#DIV/0!</v>
      </c>
    </row>
    <row r="8" spans="1:29" s="108" customFormat="1" ht="1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30" t="s">
        <v>1681</v>
      </c>
      <c r="Q8" s="3731"/>
      <c r="R8" s="699" t="s">
        <v>14</v>
      </c>
      <c r="S8" s="700">
        <f t="shared" si="0"/>
        <v>100</v>
      </c>
      <c r="T8" s="699" t="s">
        <v>14</v>
      </c>
      <c r="U8" s="700">
        <f t="shared" si="1"/>
        <v>100</v>
      </c>
      <c r="V8" s="699" t="s">
        <v>14</v>
      </c>
      <c r="W8" s="700">
        <f t="shared" si="2"/>
        <v>100</v>
      </c>
      <c r="X8" s="701"/>
      <c r="Y8" s="3730" t="s">
        <v>1681</v>
      </c>
      <c r="Z8" s="3731"/>
      <c r="AA8" s="702">
        <f t="shared" ref="AA8:AA40" si="3">D8/F8</f>
        <v>1</v>
      </c>
      <c r="AB8" s="702">
        <f t="shared" ref="AB8:AB40" si="4">D8/H8</f>
        <v>1</v>
      </c>
      <c r="AC8" s="702">
        <f t="shared" ref="AC8:AC40" si="5">D8/J8</f>
        <v>1</v>
      </c>
    </row>
    <row r="9" spans="1:29" s="108" customFormat="1" ht="14.4">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62" t="s">
        <v>1684</v>
      </c>
      <c r="Q9" s="1341" t="str">
        <f t="shared" ref="Q9:Q15" si="6">B9</f>
        <v>用途</v>
      </c>
      <c r="R9" s="699" t="s">
        <v>14</v>
      </c>
      <c r="S9" s="700">
        <f t="shared" si="0"/>
        <v>100</v>
      </c>
      <c r="T9" s="699" t="s">
        <v>14</v>
      </c>
      <c r="U9" s="700">
        <f t="shared" si="1"/>
        <v>100</v>
      </c>
      <c r="V9" s="699" t="s">
        <v>14</v>
      </c>
      <c r="W9" s="700">
        <f t="shared" si="2"/>
        <v>100</v>
      </c>
      <c r="X9" s="701"/>
      <c r="Y9" s="3674" t="s">
        <v>1685</v>
      </c>
      <c r="Z9" s="52" t="str">
        <f t="shared" ref="Z9:Z15" si="7">Q9</f>
        <v>用途</v>
      </c>
      <c r="AA9" s="702">
        <f t="shared" si="3"/>
        <v>1</v>
      </c>
      <c r="AB9" s="702">
        <f t="shared" si="4"/>
        <v>1</v>
      </c>
      <c r="AC9" s="702">
        <f t="shared" si="5"/>
        <v>1</v>
      </c>
    </row>
    <row r="10" spans="1:29" s="378" customFormat="1" ht="28.8">
      <c r="A10" s="374"/>
      <c r="B10" s="375" t="s">
        <v>1686</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762"/>
      <c r="Q10" s="1341" t="str">
        <f t="shared" si="6"/>
        <v>土地使用年限（年）</v>
      </c>
      <c r="R10" s="699" t="s">
        <v>14</v>
      </c>
      <c r="S10" s="700">
        <f t="shared" si="0"/>
        <v>100</v>
      </c>
      <c r="T10" s="699" t="s">
        <v>14</v>
      </c>
      <c r="U10" s="700">
        <f t="shared" si="1"/>
        <v>100</v>
      </c>
      <c r="V10" s="699" t="s">
        <v>14</v>
      </c>
      <c r="W10" s="700">
        <f t="shared" si="2"/>
        <v>100</v>
      </c>
      <c r="X10" s="701"/>
      <c r="Y10" s="3674"/>
      <c r="Z10" s="52" t="str">
        <f t="shared" si="7"/>
        <v>土地使用年限（年）</v>
      </c>
      <c r="AA10" s="702">
        <f t="shared" si="3"/>
        <v>1</v>
      </c>
      <c r="AB10" s="702">
        <f t="shared" si="4"/>
        <v>1</v>
      </c>
      <c r="AC10" s="702">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62"/>
      <c r="Q11" s="1341" t="str">
        <f t="shared" si="6"/>
        <v>容积率</v>
      </c>
      <c r="R11" s="699" t="s">
        <v>14</v>
      </c>
      <c r="S11" s="700">
        <f t="shared" si="0"/>
        <v>100</v>
      </c>
      <c r="T11" s="699" t="s">
        <v>14</v>
      </c>
      <c r="U11" s="700">
        <f t="shared" si="1"/>
        <v>100</v>
      </c>
      <c r="V11" s="699" t="s">
        <v>14</v>
      </c>
      <c r="W11" s="700">
        <f t="shared" si="2"/>
        <v>100</v>
      </c>
      <c r="X11" s="701"/>
      <c r="Y11" s="3674"/>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62"/>
      <c r="Q12" s="1341">
        <f t="shared" si="6"/>
        <v>111</v>
      </c>
      <c r="R12" s="699" t="s">
        <v>14</v>
      </c>
      <c r="S12" s="700">
        <f t="shared" si="0"/>
        <v>100</v>
      </c>
      <c r="T12" s="699" t="s">
        <v>14</v>
      </c>
      <c r="U12" s="700">
        <f t="shared" si="1"/>
        <v>100</v>
      </c>
      <c r="V12" s="699" t="s">
        <v>14</v>
      </c>
      <c r="W12" s="700">
        <f t="shared" si="2"/>
        <v>100</v>
      </c>
      <c r="X12" s="701"/>
      <c r="Y12" s="3674"/>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62"/>
      <c r="Q13" s="1341">
        <f t="shared" si="6"/>
        <v>111</v>
      </c>
      <c r="R13" s="699" t="s">
        <v>14</v>
      </c>
      <c r="S13" s="700">
        <f t="shared" si="0"/>
        <v>100</v>
      </c>
      <c r="T13" s="699" t="s">
        <v>14</v>
      </c>
      <c r="U13" s="700">
        <f t="shared" si="1"/>
        <v>100</v>
      </c>
      <c r="V13" s="699" t="s">
        <v>14</v>
      </c>
      <c r="W13" s="700">
        <f t="shared" si="2"/>
        <v>100</v>
      </c>
      <c r="X13" s="701"/>
      <c r="Y13" s="3674"/>
      <c r="Z13" s="52">
        <f t="shared" si="7"/>
        <v>111</v>
      </c>
      <c r="AA13" s="702">
        <f t="shared" si="3"/>
        <v>1</v>
      </c>
      <c r="AB13" s="702">
        <f t="shared" si="4"/>
        <v>1</v>
      </c>
      <c r="AC13" s="702">
        <f t="shared" si="5"/>
        <v>1</v>
      </c>
    </row>
    <row r="14" spans="1:29" ht="15.6"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62"/>
      <c r="Q14" s="1341">
        <f t="shared" si="6"/>
        <v>111</v>
      </c>
      <c r="R14" s="699" t="s">
        <v>14</v>
      </c>
      <c r="S14" s="700">
        <f t="shared" si="0"/>
        <v>100</v>
      </c>
      <c r="T14" s="699" t="s">
        <v>14</v>
      </c>
      <c r="U14" s="700">
        <f t="shared" si="1"/>
        <v>100</v>
      </c>
      <c r="V14" s="699" t="s">
        <v>14</v>
      </c>
      <c r="W14" s="700">
        <f t="shared" si="2"/>
        <v>100</v>
      </c>
      <c r="X14" s="701"/>
      <c r="Y14" s="3674"/>
      <c r="Z14" s="52">
        <f t="shared" si="7"/>
        <v>111</v>
      </c>
      <c r="AA14" s="702">
        <f t="shared" si="3"/>
        <v>1</v>
      </c>
      <c r="AB14" s="702">
        <f t="shared" si="4"/>
        <v>1</v>
      </c>
      <c r="AC14" s="702">
        <f t="shared" si="5"/>
        <v>1</v>
      </c>
    </row>
    <row r="15" spans="1:29" ht="69">
      <c r="A15" s="391" t="s">
        <v>1688</v>
      </c>
      <c r="B15" s="61" t="s">
        <v>1825</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64" t="s">
        <v>1689</v>
      </c>
      <c r="Q15" s="1350" t="str">
        <f t="shared" si="6"/>
        <v>产业集聚程度</v>
      </c>
      <c r="R15" s="703" t="s">
        <v>14</v>
      </c>
      <c r="S15" s="704">
        <f t="shared" si="0"/>
        <v>100</v>
      </c>
      <c r="T15" s="703" t="s">
        <v>14</v>
      </c>
      <c r="U15" s="704">
        <f t="shared" si="1"/>
        <v>100</v>
      </c>
      <c r="V15" s="703" t="s">
        <v>14</v>
      </c>
      <c r="W15" s="704">
        <f t="shared" si="2"/>
        <v>100</v>
      </c>
      <c r="X15" s="1353"/>
      <c r="Y15" s="3764"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65"/>
      <c r="Q16" s="1350"/>
      <c r="R16" s="703"/>
      <c r="S16" s="704"/>
      <c r="T16" s="703"/>
      <c r="U16" s="704"/>
      <c r="V16" s="703"/>
      <c r="W16" s="704"/>
      <c r="X16" s="1353"/>
      <c r="Y16" s="3765"/>
      <c r="Z16" s="1354"/>
      <c r="AA16" s="1351">
        <v>1</v>
      </c>
      <c r="AB16" s="1351">
        <v>1</v>
      </c>
      <c r="AC16" s="1351">
        <v>1</v>
      </c>
    </row>
    <row r="17" spans="1:29" ht="96.6">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65"/>
      <c r="Q17" s="1350" t="str">
        <f>B17</f>
        <v>交通便捷度</v>
      </c>
      <c r="R17" s="703" t="s">
        <v>14</v>
      </c>
      <c r="S17" s="704">
        <f>F17</f>
        <v>100</v>
      </c>
      <c r="T17" s="703" t="s">
        <v>14</v>
      </c>
      <c r="U17" s="704">
        <f>H17</f>
        <v>100</v>
      </c>
      <c r="V17" s="703" t="s">
        <v>14</v>
      </c>
      <c r="W17" s="704">
        <f>J17</f>
        <v>100</v>
      </c>
      <c r="X17" s="1353"/>
      <c r="Y17" s="3765"/>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65"/>
      <c r="Q18" s="1350"/>
      <c r="R18" s="703"/>
      <c r="S18" s="704"/>
      <c r="T18" s="703"/>
      <c r="U18" s="704"/>
      <c r="V18" s="703"/>
      <c r="W18" s="704"/>
      <c r="X18" s="1353"/>
      <c r="Y18" s="3765"/>
      <c r="Z18" s="1354"/>
      <c r="AA18" s="1351">
        <v>1</v>
      </c>
      <c r="AB18" s="1351">
        <v>1</v>
      </c>
      <c r="AC18" s="1351">
        <v>1</v>
      </c>
    </row>
    <row r="19" spans="1:29" ht="41.4">
      <c r="A19" s="379"/>
      <c r="B19" s="402" t="s">
        <v>1810</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65"/>
      <c r="Q19" s="1350" t="str">
        <f>B19</f>
        <v>公共配套设施</v>
      </c>
      <c r="R19" s="703" t="s">
        <v>14</v>
      </c>
      <c r="S19" s="704">
        <f>F19</f>
        <v>100</v>
      </c>
      <c r="T19" s="703" t="s">
        <v>14</v>
      </c>
      <c r="U19" s="704">
        <f>H19</f>
        <v>100</v>
      </c>
      <c r="V19" s="703" t="s">
        <v>14</v>
      </c>
      <c r="W19" s="704">
        <f>J19</f>
        <v>100</v>
      </c>
      <c r="X19" s="1353"/>
      <c r="Y19" s="3765"/>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65"/>
      <c r="Q20" s="1350"/>
      <c r="R20" s="703"/>
      <c r="S20" s="704"/>
      <c r="T20" s="703"/>
      <c r="U20" s="704"/>
      <c r="V20" s="703"/>
      <c r="W20" s="704"/>
      <c r="X20" s="1353"/>
      <c r="Y20" s="3765"/>
      <c r="Z20" s="1354"/>
      <c r="AA20" s="1351">
        <v>1</v>
      </c>
      <c r="AB20" s="1351">
        <v>1</v>
      </c>
      <c r="AC20" s="1351">
        <v>1</v>
      </c>
    </row>
    <row r="21" spans="1:29" ht="41.4">
      <c r="A21" s="379"/>
      <c r="B21" s="1129" t="s">
        <v>1811</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65"/>
      <c r="Q21" s="1350" t="str">
        <f>B21</f>
        <v>基础设施水平</v>
      </c>
      <c r="R21" s="703" t="s">
        <v>14</v>
      </c>
      <c r="S21" s="704">
        <f>F21</f>
        <v>100</v>
      </c>
      <c r="T21" s="703" t="s">
        <v>14</v>
      </c>
      <c r="U21" s="704">
        <f>H21</f>
        <v>100</v>
      </c>
      <c r="V21" s="703" t="s">
        <v>14</v>
      </c>
      <c r="W21" s="704">
        <f>J21</f>
        <v>100</v>
      </c>
      <c r="X21" s="1353"/>
      <c r="Y21" s="376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65"/>
      <c r="Q22" s="1350"/>
      <c r="R22" s="703"/>
      <c r="S22" s="704"/>
      <c r="T22" s="703"/>
      <c r="U22" s="704"/>
      <c r="V22" s="703"/>
      <c r="W22" s="704"/>
      <c r="X22" s="1353"/>
      <c r="Y22" s="3765"/>
      <c r="Z22" s="1354"/>
      <c r="AA22" s="1351">
        <v>1</v>
      </c>
      <c r="AB22" s="1351">
        <v>1</v>
      </c>
      <c r="AC22" s="1351">
        <v>1</v>
      </c>
    </row>
    <row r="23" spans="1:29" ht="82.8">
      <c r="A23" s="379"/>
      <c r="B23" s="402" t="s">
        <v>1812</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65"/>
      <c r="Q23" s="1350" t="str">
        <f>B23</f>
        <v>环境质量</v>
      </c>
      <c r="R23" s="703" t="s">
        <v>14</v>
      </c>
      <c r="S23" s="704">
        <f>F23</f>
        <v>100</v>
      </c>
      <c r="T23" s="703" t="s">
        <v>14</v>
      </c>
      <c r="U23" s="704">
        <f>H23</f>
        <v>100</v>
      </c>
      <c r="V23" s="703" t="s">
        <v>14</v>
      </c>
      <c r="W23" s="704">
        <f>J23</f>
        <v>100</v>
      </c>
      <c r="X23" s="1353"/>
      <c r="Y23" s="3765"/>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65"/>
      <c r="Q24" s="1350"/>
      <c r="R24" s="703"/>
      <c r="S24" s="704"/>
      <c r="T24" s="703"/>
      <c r="U24" s="704"/>
      <c r="V24" s="703"/>
      <c r="W24" s="704"/>
      <c r="X24" s="1353"/>
      <c r="Y24" s="3765"/>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65"/>
      <c r="Q25" s="1350">
        <f>B25</f>
        <v>111</v>
      </c>
      <c r="R25" s="703" t="s">
        <v>14</v>
      </c>
      <c r="S25" s="704">
        <f>F25</f>
        <v>100</v>
      </c>
      <c r="T25" s="703" t="s">
        <v>14</v>
      </c>
      <c r="U25" s="704">
        <f>H25</f>
        <v>100</v>
      </c>
      <c r="V25" s="703" t="s">
        <v>14</v>
      </c>
      <c r="W25" s="704">
        <f>J25</f>
        <v>100</v>
      </c>
      <c r="X25" s="1353"/>
      <c r="Y25" s="3765"/>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65"/>
      <c r="Q26" s="1350">
        <f t="shared" ref="Q26:Q40" si="11">B26</f>
        <v>111</v>
      </c>
      <c r="R26" s="703" t="s">
        <v>14</v>
      </c>
      <c r="S26" s="704">
        <f>F26</f>
        <v>100</v>
      </c>
      <c r="T26" s="703" t="s">
        <v>14</v>
      </c>
      <c r="U26" s="704">
        <f>H26</f>
        <v>100</v>
      </c>
      <c r="V26" s="703" t="s">
        <v>14</v>
      </c>
      <c r="W26" s="704">
        <f>J26</f>
        <v>100</v>
      </c>
      <c r="X26" s="1353"/>
      <c r="Y26" s="3765"/>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65"/>
      <c r="Q27" s="1341">
        <f t="shared" si="11"/>
        <v>111</v>
      </c>
      <c r="R27" s="699" t="s">
        <v>14</v>
      </c>
      <c r="S27" s="700">
        <f>F27</f>
        <v>100</v>
      </c>
      <c r="T27" s="699" t="s">
        <v>14</v>
      </c>
      <c r="U27" s="700">
        <f>H27</f>
        <v>100</v>
      </c>
      <c r="V27" s="699" t="s">
        <v>14</v>
      </c>
      <c r="W27" s="700">
        <f>J27</f>
        <v>100</v>
      </c>
      <c r="X27" s="701"/>
      <c r="Y27" s="3765"/>
      <c r="Z27" s="52">
        <f>Q27</f>
        <v>111</v>
      </c>
      <c r="AA27" s="1351">
        <f>D27/F27</f>
        <v>1</v>
      </c>
      <c r="AB27" s="1351">
        <f>D27/H27</f>
        <v>1</v>
      </c>
      <c r="AC27" s="1351">
        <f>D27/J27</f>
        <v>1</v>
      </c>
    </row>
    <row r="28" spans="1:29" ht="15.6"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65"/>
      <c r="Q28" s="1350">
        <f t="shared" si="11"/>
        <v>111</v>
      </c>
      <c r="R28" s="703" t="s">
        <v>14</v>
      </c>
      <c r="S28" s="704">
        <f t="shared" ref="S28:S40" si="12">F28</f>
        <v>100</v>
      </c>
      <c r="T28" s="703" t="s">
        <v>14</v>
      </c>
      <c r="U28" s="704">
        <f t="shared" ref="U28:U40" si="13">H28</f>
        <v>100</v>
      </c>
      <c r="V28" s="703" t="s">
        <v>14</v>
      </c>
      <c r="W28" s="704">
        <f t="shared" ref="W28:W40" si="14">J28</f>
        <v>100</v>
      </c>
      <c r="X28" s="1353"/>
      <c r="Y28" s="3765"/>
      <c r="Z28" s="1354">
        <f t="shared" ref="Z28:Z40" si="15">Q28</f>
        <v>111</v>
      </c>
      <c r="AA28" s="1351">
        <f t="shared" si="3"/>
        <v>1</v>
      </c>
      <c r="AB28" s="1351">
        <f t="shared" si="4"/>
        <v>1</v>
      </c>
      <c r="AC28" s="1351">
        <f t="shared" si="5"/>
        <v>1</v>
      </c>
    </row>
    <row r="29" spans="1:29" ht="30">
      <c r="A29" s="417" t="s">
        <v>1692</v>
      </c>
      <c r="B29" s="63" t="s">
        <v>1815</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89" t="s">
        <v>1694</v>
      </c>
      <c r="Q29" s="1350" t="str">
        <f t="shared" si="11"/>
        <v>建筑类型</v>
      </c>
      <c r="R29" s="703" t="s">
        <v>14</v>
      </c>
      <c r="S29" s="704">
        <f t="shared" si="12"/>
        <v>100</v>
      </c>
      <c r="T29" s="703" t="s">
        <v>14</v>
      </c>
      <c r="U29" s="704">
        <f t="shared" si="13"/>
        <v>100</v>
      </c>
      <c r="V29" s="703" t="s">
        <v>14</v>
      </c>
      <c r="W29" s="704">
        <f t="shared" si="14"/>
        <v>100</v>
      </c>
      <c r="X29" s="1353"/>
      <c r="Y29" s="3769"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69"/>
      <c r="Q30" s="705" t="str">
        <f t="shared" si="11"/>
        <v>项目建筑规模</v>
      </c>
      <c r="R30" s="706" t="s">
        <v>14</v>
      </c>
      <c r="S30" s="707" t="e">
        <f t="shared" si="12"/>
        <v>#N/A</v>
      </c>
      <c r="T30" s="706" t="s">
        <v>14</v>
      </c>
      <c r="U30" s="707" t="e">
        <f t="shared" si="13"/>
        <v>#N/A</v>
      </c>
      <c r="V30" s="706" t="s">
        <v>14</v>
      </c>
      <c r="W30" s="707" t="e">
        <f t="shared" si="14"/>
        <v>#N/A</v>
      </c>
      <c r="X30" s="708"/>
      <c r="Y30" s="3769"/>
      <c r="Z30" s="709"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69"/>
      <c r="Q31" s="1350" t="str">
        <f t="shared" si="11"/>
        <v>建筑结构</v>
      </c>
      <c r="R31" s="703" t="s">
        <v>14</v>
      </c>
      <c r="S31" s="704">
        <f t="shared" si="12"/>
        <v>100</v>
      </c>
      <c r="T31" s="703" t="s">
        <v>14</v>
      </c>
      <c r="U31" s="704">
        <f t="shared" si="13"/>
        <v>100</v>
      </c>
      <c r="V31" s="703" t="s">
        <v>14</v>
      </c>
      <c r="W31" s="704">
        <f t="shared" si="14"/>
        <v>100</v>
      </c>
      <c r="X31" s="1353"/>
      <c r="Y31" s="3769"/>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69"/>
      <c r="Q32" s="1350" t="str">
        <f t="shared" si="11"/>
        <v>公共部分装修</v>
      </c>
      <c r="R32" s="703" t="s">
        <v>14</v>
      </c>
      <c r="S32" s="704">
        <f t="shared" si="12"/>
        <v>100</v>
      </c>
      <c r="T32" s="703" t="s">
        <v>14</v>
      </c>
      <c r="U32" s="704">
        <f t="shared" si="13"/>
        <v>100</v>
      </c>
      <c r="V32" s="703" t="s">
        <v>14</v>
      </c>
      <c r="W32" s="704">
        <f t="shared" si="14"/>
        <v>100</v>
      </c>
      <c r="X32" s="1353"/>
      <c r="Y32" s="3769"/>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69"/>
      <c r="Q33" s="1350" t="str">
        <f t="shared" si="11"/>
        <v>成新度</v>
      </c>
      <c r="R33" s="703" t="s">
        <v>14</v>
      </c>
      <c r="S33" s="704" t="e">
        <f t="shared" si="12"/>
        <v>#N/A</v>
      </c>
      <c r="T33" s="703" t="s">
        <v>14</v>
      </c>
      <c r="U33" s="704" t="e">
        <f t="shared" si="13"/>
        <v>#N/A</v>
      </c>
      <c r="V33" s="703" t="s">
        <v>14</v>
      </c>
      <c r="W33" s="704" t="e">
        <f t="shared" si="14"/>
        <v>#N/A</v>
      </c>
      <c r="X33" s="1353"/>
      <c r="Y33" s="3769"/>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69"/>
      <c r="Q34" s="1341" t="str">
        <f t="shared" si="11"/>
        <v>物业管理</v>
      </c>
      <c r="R34" s="699" t="s">
        <v>14</v>
      </c>
      <c r="S34" s="700">
        <f t="shared" si="12"/>
        <v>100</v>
      </c>
      <c r="T34" s="699" t="s">
        <v>14</v>
      </c>
      <c r="U34" s="700">
        <f t="shared" si="13"/>
        <v>100</v>
      </c>
      <c r="V34" s="699" t="s">
        <v>14</v>
      </c>
      <c r="W34" s="700">
        <f t="shared" si="14"/>
        <v>100</v>
      </c>
      <c r="X34" s="701"/>
      <c r="Y34" s="3769"/>
      <c r="Z34" s="52" t="str">
        <f t="shared" si="15"/>
        <v>物业管理</v>
      </c>
      <c r="AA34" s="702">
        <f t="shared" si="3"/>
        <v>1</v>
      </c>
      <c r="AB34" s="702">
        <f t="shared" si="4"/>
        <v>1</v>
      </c>
      <c r="AC34" s="702">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69" t="s">
        <v>1694</v>
      </c>
      <c r="Q35" s="1350" t="str">
        <f t="shared" si="11"/>
        <v>市政基础设施</v>
      </c>
      <c r="R35" s="703" t="s">
        <v>14</v>
      </c>
      <c r="S35" s="704">
        <f t="shared" si="12"/>
        <v>100</v>
      </c>
      <c r="T35" s="703" t="s">
        <v>14</v>
      </c>
      <c r="U35" s="704">
        <f t="shared" si="13"/>
        <v>100</v>
      </c>
      <c r="V35" s="703" t="s">
        <v>14</v>
      </c>
      <c r="W35" s="704">
        <f t="shared" si="14"/>
        <v>100</v>
      </c>
      <c r="X35" s="1353"/>
      <c r="Y35" s="3769"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69"/>
      <c r="Q36" s="1350" t="str">
        <f t="shared" si="11"/>
        <v>内部装修</v>
      </c>
      <c r="R36" s="703" t="s">
        <v>14</v>
      </c>
      <c r="S36" s="704">
        <f t="shared" si="12"/>
        <v>100</v>
      </c>
      <c r="T36" s="703" t="s">
        <v>14</v>
      </c>
      <c r="U36" s="704">
        <f t="shared" si="13"/>
        <v>100</v>
      </c>
      <c r="V36" s="703" t="s">
        <v>14</v>
      </c>
      <c r="W36" s="704">
        <f t="shared" si="14"/>
        <v>100</v>
      </c>
      <c r="X36" s="1353"/>
      <c r="Y36" s="3769"/>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69"/>
      <c r="Q37" s="1350" t="str">
        <f t="shared" si="11"/>
        <v>内部装修状况</v>
      </c>
      <c r="R37" s="703" t="s">
        <v>14</v>
      </c>
      <c r="S37" s="704">
        <f t="shared" si="12"/>
        <v>100</v>
      </c>
      <c r="T37" s="703" t="s">
        <v>14</v>
      </c>
      <c r="U37" s="704">
        <f t="shared" si="13"/>
        <v>100</v>
      </c>
      <c r="V37" s="703" t="s">
        <v>14</v>
      </c>
      <c r="W37" s="704">
        <f t="shared" si="14"/>
        <v>100</v>
      </c>
      <c r="X37" s="1353"/>
      <c r="Y37" s="3769"/>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69"/>
      <c r="Q38" s="705">
        <f t="shared" si="11"/>
        <v>111</v>
      </c>
      <c r="R38" s="706" t="s">
        <v>14</v>
      </c>
      <c r="S38" s="707">
        <f t="shared" si="12"/>
        <v>100</v>
      </c>
      <c r="T38" s="706" t="s">
        <v>14</v>
      </c>
      <c r="U38" s="707">
        <f t="shared" si="13"/>
        <v>100</v>
      </c>
      <c r="V38" s="706" t="s">
        <v>14</v>
      </c>
      <c r="W38" s="707">
        <f t="shared" si="14"/>
        <v>100</v>
      </c>
      <c r="X38" s="708"/>
      <c r="Y38" s="3769"/>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69"/>
      <c r="Q39" s="1350">
        <f t="shared" si="11"/>
        <v>111</v>
      </c>
      <c r="R39" s="703" t="s">
        <v>14</v>
      </c>
      <c r="S39" s="704">
        <f t="shared" si="12"/>
        <v>100</v>
      </c>
      <c r="T39" s="703" t="s">
        <v>14</v>
      </c>
      <c r="U39" s="704">
        <f t="shared" si="13"/>
        <v>100</v>
      </c>
      <c r="V39" s="703" t="s">
        <v>14</v>
      </c>
      <c r="W39" s="704">
        <f t="shared" si="14"/>
        <v>100</v>
      </c>
      <c r="X39" s="1353"/>
      <c r="Y39" s="3769"/>
      <c r="Z39" s="1354">
        <f t="shared" si="15"/>
        <v>111</v>
      </c>
      <c r="AA39" s="1351">
        <f t="shared" si="3"/>
        <v>1</v>
      </c>
      <c r="AB39" s="1351">
        <f t="shared" si="4"/>
        <v>1</v>
      </c>
      <c r="AC39" s="1351">
        <f t="shared" si="5"/>
        <v>1</v>
      </c>
    </row>
    <row r="40" spans="1:29" ht="15.6"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70"/>
      <c r="Q40" s="1350">
        <f t="shared" si="11"/>
        <v>111</v>
      </c>
      <c r="R40" s="703" t="s">
        <v>14</v>
      </c>
      <c r="S40" s="704">
        <f t="shared" si="12"/>
        <v>100</v>
      </c>
      <c r="T40" s="703" t="s">
        <v>14</v>
      </c>
      <c r="U40" s="704">
        <f t="shared" si="13"/>
        <v>100</v>
      </c>
      <c r="V40" s="703" t="s">
        <v>14</v>
      </c>
      <c r="W40" s="704">
        <f t="shared" si="14"/>
        <v>100</v>
      </c>
      <c r="X40" s="1353"/>
      <c r="Y40" s="3770"/>
      <c r="Z40" s="1354">
        <f t="shared" si="15"/>
        <v>111</v>
      </c>
      <c r="AA40" s="1351">
        <f t="shared" si="3"/>
        <v>1</v>
      </c>
      <c r="AB40" s="1351">
        <f t="shared" si="4"/>
        <v>1</v>
      </c>
      <c r="AC40" s="1351">
        <f t="shared" si="5"/>
        <v>1</v>
      </c>
    </row>
    <row r="41" spans="1:29" ht="14.4">
      <c r="A41" s="430" t="s">
        <v>1706</v>
      </c>
      <c r="B41" s="431"/>
      <c r="C41" s="1152" t="s">
        <v>0</v>
      </c>
      <c r="D41" s="1153"/>
      <c r="E41" s="1154"/>
      <c r="F41" s="1155"/>
      <c r="G41" s="1156"/>
      <c r="H41" s="1157"/>
      <c r="I41" s="1154"/>
      <c r="J41" s="1157"/>
      <c r="K41" s="712"/>
      <c r="L41" s="924"/>
      <c r="M41" s="925"/>
      <c r="N41" s="912"/>
      <c r="O41" s="925"/>
      <c r="P41" s="3762" t="str">
        <f>A41</f>
        <v>成交单价（元/平方米）</v>
      </c>
      <c r="Q41" s="3762"/>
      <c r="R41" s="3763">
        <f>E41</f>
        <v>0</v>
      </c>
      <c r="S41" s="3763"/>
      <c r="T41" s="3763">
        <f>G41</f>
        <v>0</v>
      </c>
      <c r="U41" s="3763"/>
      <c r="V41" s="3763">
        <f>I41</f>
        <v>0</v>
      </c>
      <c r="W41" s="3763"/>
      <c r="X41" s="688"/>
      <c r="Y41" s="710"/>
      <c r="Z41" s="688"/>
      <c r="AA41" s="688"/>
      <c r="AB41" s="688"/>
      <c r="AC41" s="688"/>
    </row>
    <row r="42" spans="1:29" ht="15" thickBot="1">
      <c r="A42" s="437" t="s">
        <v>1791</v>
      </c>
      <c r="B42" s="438"/>
      <c r="C42" s="1158" t="e">
        <f>R43</f>
        <v>#DIV/0!</v>
      </c>
      <c r="D42" s="2315" t="s">
        <v>2133</v>
      </c>
      <c r="E42" s="1159" t="e">
        <f>R42</f>
        <v>#DIV/0!</v>
      </c>
      <c r="F42" s="2316"/>
      <c r="G42" s="1158" t="e">
        <f>T42</f>
        <v>#DIV/0!</v>
      </c>
      <c r="H42" s="2316"/>
      <c r="I42" s="1159" t="e">
        <f>V42</f>
        <v>#DIV/0!</v>
      </c>
      <c r="J42" s="2316"/>
      <c r="K42" s="2318">
        <f>F42+H42+J42</f>
        <v>0</v>
      </c>
      <c r="L42" s="924"/>
      <c r="M42" s="925"/>
      <c r="N42" s="912"/>
      <c r="O42" s="925"/>
      <c r="P42" s="3762" t="str">
        <f>A42</f>
        <v>比较价值（元/平方米）</v>
      </c>
      <c r="Q42" s="3762"/>
      <c r="R42" s="3763" t="e">
        <f>IF(F1="售价",ROUND(PRODUCT(R41,AA7:AA40),0),ROUND(PRODUCT(R41,AA7:AA40),1))</f>
        <v>#DIV/0!</v>
      </c>
      <c r="S42" s="3763"/>
      <c r="T42" s="3763" t="e">
        <f>IF(F1="售价",ROUND(PRODUCT(T41,AB7:AB40),0),ROUND(PRODUCT(T41,AB7:AB40),1))</f>
        <v>#DIV/0!</v>
      </c>
      <c r="U42" s="3763"/>
      <c r="V42" s="3763" t="e">
        <f>IF(F1="售价",ROUND(PRODUCT(V41,AC7:AC40),0),ROUND(PRODUCT(V41,AC7:AC40),1))</f>
        <v>#DIV/0!</v>
      </c>
      <c r="W42" s="3763"/>
      <c r="X42" s="688"/>
      <c r="Y42" s="688"/>
      <c r="Z42" s="688"/>
      <c r="AA42" s="688"/>
      <c r="AB42" s="688"/>
      <c r="AC42" s="688"/>
    </row>
    <row r="43" spans="1:29" ht="15" thickBot="1">
      <c r="A43" s="441" t="s">
        <v>1792</v>
      </c>
      <c r="B43" s="442"/>
      <c r="C43" s="1161" t="e">
        <f>R43</f>
        <v>#DIV/0!</v>
      </c>
      <c r="D43" s="1161"/>
      <c r="E43" s="1161"/>
      <c r="F43" s="1161"/>
      <c r="G43" s="1161"/>
      <c r="H43" s="1161"/>
      <c r="I43" s="1161"/>
      <c r="J43" s="1161"/>
      <c r="K43" s="713"/>
      <c r="L43" s="924"/>
      <c r="M43" s="925"/>
      <c r="N43" s="925"/>
      <c r="O43" s="925"/>
      <c r="P43" s="3759" t="str">
        <f>A43</f>
        <v>估价对象XX用房的比较价值（楼面单价，元/平方米）</v>
      </c>
      <c r="Q43" s="3760"/>
      <c r="R43" s="3761" t="e">
        <f>IF(F1="售价",ROUND(IF(D42="简单平均",AVERAGE(R42:V42),R42*F42+T42*H42+V42*J42),0),ROUND(IF(D42="简单平均",AVERAGE(R42:V42),R42*F42+T42*H42+V42*J42),1))</f>
        <v>#DIV/0!</v>
      </c>
      <c r="S43" s="3761"/>
      <c r="T43" s="3761"/>
      <c r="U43" s="3761"/>
      <c r="V43" s="3761"/>
      <c r="W43" s="3761"/>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2.2" thickBot="1">
      <c r="A51" s="692" t="s">
        <v>1796</v>
      </c>
      <c r="B51" s="688"/>
      <c r="C51" s="693"/>
      <c r="D51" s="693"/>
      <c r="E51" s="693"/>
      <c r="F51" s="694"/>
      <c r="G51" s="694"/>
      <c r="H51" s="693"/>
      <c r="I51" s="693"/>
      <c r="J51" s="693"/>
      <c r="K51" s="939"/>
      <c r="L51" s="940"/>
      <c r="M51" s="938"/>
      <c r="N51" s="938"/>
      <c r="O51" s="938"/>
      <c r="P51" s="452"/>
      <c r="Q51" s="453"/>
    </row>
    <row r="52" spans="1:17" s="457" customFormat="1" ht="14.4">
      <c r="A52" s="454" t="s">
        <v>1677</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c r="A53" s="458"/>
      <c r="B53" s="459"/>
      <c r="C53" s="1181">
        <v>100</v>
      </c>
      <c r="D53" s="461"/>
      <c r="E53" s="461"/>
      <c r="F53" s="461"/>
      <c r="G53" s="461"/>
      <c r="H53" s="461"/>
      <c r="I53" s="461"/>
      <c r="J53" s="461"/>
      <c r="K53" s="461"/>
      <c r="L53" s="461"/>
      <c r="M53" s="462"/>
      <c r="N53" s="461"/>
      <c r="O53" s="463"/>
      <c r="P53" s="453"/>
    </row>
    <row r="54" spans="1:17" s="108" customFormat="1" ht="15" thickBot="1">
      <c r="A54" s="464" t="s">
        <v>1714</v>
      </c>
      <c r="B54" s="465"/>
      <c r="C54" s="466"/>
      <c r="D54" s="467"/>
      <c r="E54" s="467"/>
      <c r="F54" s="467"/>
      <c r="G54" s="467"/>
      <c r="H54" s="467"/>
      <c r="I54" s="467"/>
      <c r="J54" s="467"/>
      <c r="K54" s="467"/>
      <c r="L54" s="467"/>
      <c r="M54" s="468"/>
      <c r="N54" s="2767"/>
      <c r="O54" s="2768"/>
      <c r="P54" s="453"/>
      <c r="Q54" s="453"/>
    </row>
    <row r="55" spans="1:17" s="108" customFormat="1" ht="14.4">
      <c r="A55" s="470" t="s">
        <v>1679</v>
      </c>
      <c r="B55" s="459"/>
      <c r="C55" s="471" t="s">
        <v>1774</v>
      </c>
      <c r="D55" s="472"/>
      <c r="E55" s="472"/>
      <c r="F55" s="472"/>
      <c r="G55" s="472"/>
      <c r="H55" s="472"/>
      <c r="I55" s="472"/>
      <c r="J55" s="472"/>
      <c r="K55" s="472"/>
      <c r="L55" s="473"/>
      <c r="M55" s="474"/>
      <c r="N55" s="930"/>
      <c r="O55" s="930"/>
      <c r="P55" s="475"/>
      <c r="Q55" s="453"/>
    </row>
    <row r="56" spans="1:17" s="108" customFormat="1" ht="14.4" thickBot="1">
      <c r="A56" s="470"/>
      <c r="B56" s="459"/>
      <c r="C56" s="587">
        <v>100</v>
      </c>
      <c r="D56" s="461"/>
      <c r="E56" s="461"/>
      <c r="F56" s="461"/>
      <c r="G56" s="461"/>
      <c r="H56" s="461"/>
      <c r="I56" s="461"/>
      <c r="J56" s="461"/>
      <c r="K56" s="461"/>
      <c r="L56" s="461"/>
      <c r="M56" s="463"/>
      <c r="N56" s="930"/>
      <c r="O56" s="930"/>
      <c r="P56" s="453"/>
      <c r="Q56" s="453"/>
    </row>
    <row r="57" spans="1:17" ht="14.4">
      <c r="A57" s="476" t="s">
        <v>1717</v>
      </c>
      <c r="B57" s="477" t="s">
        <v>1683</v>
      </c>
      <c r="C57" s="478">
        <f>C9</f>
        <v>0</v>
      </c>
      <c r="D57" s="479"/>
      <c r="E57" s="479"/>
      <c r="F57" s="479"/>
      <c r="G57" s="479"/>
      <c r="H57" s="479"/>
      <c r="I57" s="479"/>
      <c r="J57" s="479"/>
      <c r="K57" s="480"/>
      <c r="L57" s="481"/>
      <c r="M57" s="482"/>
      <c r="N57" s="931"/>
      <c r="O57" s="931"/>
      <c r="P57" s="42"/>
      <c r="Q57" s="453"/>
    </row>
    <row r="58" spans="1:17" ht="14.4" thickBot="1">
      <c r="A58" s="483"/>
      <c r="B58" s="484"/>
      <c r="C58" s="485">
        <v>100</v>
      </c>
      <c r="D58" s="485"/>
      <c r="E58" s="485"/>
      <c r="F58" s="485"/>
      <c r="G58" s="485"/>
      <c r="H58" s="485"/>
      <c r="I58" s="485"/>
      <c r="J58" s="485"/>
      <c r="K58" s="485"/>
      <c r="L58" s="485"/>
      <c r="M58" s="486"/>
      <c r="N58" s="932"/>
      <c r="O58" s="932"/>
      <c r="P58" s="42"/>
      <c r="Q58" s="453"/>
    </row>
    <row r="59" spans="1:17" ht="29.4" thickTop="1">
      <c r="A59" s="483"/>
      <c r="B59" s="487" t="s">
        <v>1686</v>
      </c>
      <c r="C59" s="532"/>
      <c r="D59" s="532"/>
      <c r="E59" s="532"/>
      <c r="F59" s="532"/>
      <c r="G59" s="532"/>
      <c r="H59" s="532"/>
      <c r="I59" s="532"/>
      <c r="J59" s="532"/>
      <c r="K59" s="533"/>
      <c r="L59" s="534"/>
      <c r="M59" s="535"/>
      <c r="N59" s="931"/>
      <c r="O59" s="931"/>
      <c r="P59" s="42"/>
      <c r="Q59" s="453"/>
    </row>
    <row r="60" spans="1:17" ht="14.4" thickBot="1">
      <c r="A60" s="483"/>
      <c r="B60" s="492"/>
      <c r="C60" s="485"/>
      <c r="D60" s="485"/>
      <c r="E60" s="485"/>
      <c r="F60" s="485"/>
      <c r="G60" s="485"/>
      <c r="H60" s="485"/>
      <c r="I60" s="485"/>
      <c r="J60" s="485"/>
      <c r="K60" s="485"/>
      <c r="L60" s="485"/>
      <c r="M60" s="486"/>
      <c r="N60" s="932"/>
      <c r="O60" s="932"/>
      <c r="P60" s="42"/>
      <c r="Q60" s="453"/>
    </row>
    <row r="61" spans="1:17" ht="1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c r="A62" s="483"/>
      <c r="B62" s="497"/>
      <c r="C62" s="498">
        <v>0</v>
      </c>
      <c r="D62" s="498">
        <v>2</v>
      </c>
      <c r="E62" s="498"/>
      <c r="F62" s="498"/>
      <c r="G62" s="498"/>
      <c r="H62" s="498"/>
      <c r="I62" s="498"/>
      <c r="J62" s="498"/>
      <c r="K62" s="499"/>
      <c r="L62" s="500"/>
      <c r="M62" s="501"/>
      <c r="N62" s="931"/>
      <c r="O62" s="931"/>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4.4" thickTop="1">
      <c r="A64" s="502"/>
      <c r="B64" s="487">
        <f>B12</f>
        <v>111</v>
      </c>
      <c r="C64" s="503"/>
      <c r="D64" s="503"/>
      <c r="E64" s="503"/>
      <c r="F64" s="503"/>
      <c r="G64" s="503"/>
      <c r="H64" s="504"/>
      <c r="I64" s="504"/>
      <c r="J64" s="504"/>
      <c r="K64" s="504"/>
      <c r="L64" s="505"/>
      <c r="M64" s="506"/>
      <c r="N64" s="933"/>
      <c r="O64" s="933"/>
      <c r="P64" s="507"/>
      <c r="Q64" s="508"/>
    </row>
    <row r="65" spans="1:17" s="422" customFormat="1" ht="14.4" thickBot="1">
      <c r="A65" s="502"/>
      <c r="B65" s="492"/>
      <c r="C65" s="509"/>
      <c r="D65" s="485"/>
      <c r="E65" s="485"/>
      <c r="F65" s="485"/>
      <c r="G65" s="485"/>
      <c r="H65" s="485"/>
      <c r="I65" s="485"/>
      <c r="J65" s="485"/>
      <c r="K65" s="485"/>
      <c r="L65" s="485"/>
      <c r="M65" s="486"/>
      <c r="N65" s="932"/>
      <c r="O65" s="932"/>
      <c r="P65" s="507"/>
      <c r="Q65" s="508"/>
    </row>
    <row r="66" spans="1:17" s="422" customFormat="1" ht="14.4" thickTop="1">
      <c r="A66" s="502"/>
      <c r="B66" s="487">
        <f>B13</f>
        <v>111</v>
      </c>
      <c r="C66" s="503"/>
      <c r="D66" s="503"/>
      <c r="E66" s="503"/>
      <c r="F66" s="503"/>
      <c r="G66" s="503"/>
      <c r="H66" s="504"/>
      <c r="I66" s="504"/>
      <c r="J66" s="504"/>
      <c r="K66" s="504"/>
      <c r="L66" s="505"/>
      <c r="M66" s="506"/>
      <c r="N66" s="933"/>
      <c r="O66" s="933"/>
      <c r="P66" s="421"/>
      <c r="Q66" s="510"/>
    </row>
    <row r="67" spans="1:17" s="422" customFormat="1" ht="14.4" thickBot="1">
      <c r="A67" s="502"/>
      <c r="B67" s="492"/>
      <c r="C67" s="509"/>
      <c r="D67" s="485"/>
      <c r="E67" s="485"/>
      <c r="F67" s="485"/>
      <c r="G67" s="509"/>
      <c r="H67" s="511"/>
      <c r="I67" s="511"/>
      <c r="J67" s="511"/>
      <c r="K67" s="511"/>
      <c r="L67" s="511"/>
      <c r="M67" s="512"/>
      <c r="N67" s="933"/>
      <c r="O67" s="933"/>
      <c r="P67" s="507"/>
      <c r="Q67" s="508"/>
    </row>
    <row r="68" spans="1:17" s="422" customFormat="1" ht="14.4" thickTop="1">
      <c r="A68" s="502"/>
      <c r="B68" s="495">
        <f>B14</f>
        <v>111</v>
      </c>
      <c r="C68" s="472"/>
      <c r="D68" s="472"/>
      <c r="E68" s="472"/>
      <c r="F68" s="472"/>
      <c r="G68" s="472"/>
      <c r="H68" s="513"/>
      <c r="I68" s="513"/>
      <c r="J68" s="513"/>
      <c r="K68" s="513"/>
      <c r="L68" s="514"/>
      <c r="M68" s="515"/>
      <c r="N68" s="933"/>
      <c r="O68" s="933"/>
      <c r="P68" s="516"/>
      <c r="Q68" s="508"/>
    </row>
    <row r="69" spans="1:17" s="422" customFormat="1" ht="14.4" thickBot="1">
      <c r="A69" s="517"/>
      <c r="B69" s="518"/>
      <c r="C69" s="519"/>
      <c r="D69" s="519"/>
      <c r="E69" s="519"/>
      <c r="F69" s="519"/>
      <c r="G69" s="519"/>
      <c r="H69" s="520"/>
      <c r="I69" s="520"/>
      <c r="J69" s="520"/>
      <c r="K69" s="520"/>
      <c r="L69" s="520"/>
      <c r="M69" s="521"/>
      <c r="N69" s="933"/>
      <c r="O69" s="933"/>
      <c r="P69" s="507"/>
      <c r="Q69" s="508"/>
    </row>
    <row r="70" spans="1:17" ht="14.4">
      <c r="A70" s="476" t="s">
        <v>1688</v>
      </c>
      <c r="B70" s="477" t="s">
        <v>1827</v>
      </c>
      <c r="C70" s="522" t="s">
        <v>1719</v>
      </c>
      <c r="D70" s="522" t="s">
        <v>1720</v>
      </c>
      <c r="E70" s="522" t="s">
        <v>1721</v>
      </c>
      <c r="F70" s="522" t="s">
        <v>1722</v>
      </c>
      <c r="G70" s="522" t="s">
        <v>1723</v>
      </c>
      <c r="H70" s="478"/>
      <c r="I70" s="478"/>
      <c r="J70" s="478"/>
      <c r="K70" s="523"/>
      <c r="L70" s="524"/>
      <c r="M70" s="525"/>
      <c r="N70" s="931"/>
      <c r="O70" s="931"/>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 thickTop="1">
      <c r="A72" s="483"/>
      <c r="B72" s="487" t="s">
        <v>1724</v>
      </c>
      <c r="C72" s="527" t="s">
        <v>1719</v>
      </c>
      <c r="D72" s="527" t="s">
        <v>1720</v>
      </c>
      <c r="E72" s="527" t="s">
        <v>1721</v>
      </c>
      <c r="F72" s="527" t="s">
        <v>1722</v>
      </c>
      <c r="G72" s="527" t="s">
        <v>1723</v>
      </c>
      <c r="H72" s="488"/>
      <c r="I72" s="488"/>
      <c r="J72" s="488"/>
      <c r="K72" s="489"/>
      <c r="L72" s="490"/>
      <c r="M72" s="491"/>
      <c r="N72" s="931"/>
      <c r="O72" s="931"/>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 thickTop="1">
      <c r="A74" s="483"/>
      <c r="B74" s="487" t="s">
        <v>1725</v>
      </c>
      <c r="C74" s="527" t="s">
        <v>1719</v>
      </c>
      <c r="D74" s="527" t="s">
        <v>1720</v>
      </c>
      <c r="E74" s="527" t="s">
        <v>1721</v>
      </c>
      <c r="F74" s="527" t="s">
        <v>1722</v>
      </c>
      <c r="G74" s="527" t="s">
        <v>1723</v>
      </c>
      <c r="H74" s="488"/>
      <c r="I74" s="488"/>
      <c r="J74" s="488"/>
      <c r="K74" s="489"/>
      <c r="L74" s="490"/>
      <c r="M74" s="491"/>
      <c r="N74" s="931"/>
      <c r="O74" s="931"/>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 thickTop="1">
      <c r="A76" s="483"/>
      <c r="B76" s="495" t="s">
        <v>1811</v>
      </c>
      <c r="C76" s="608" t="s">
        <v>1797</v>
      </c>
      <c r="D76" s="608" t="s">
        <v>1798</v>
      </c>
      <c r="E76" s="608" t="s">
        <v>1799</v>
      </c>
      <c r="F76" s="608" t="s">
        <v>1800</v>
      </c>
      <c r="G76" s="608" t="s">
        <v>1801</v>
      </c>
      <c r="H76" s="488"/>
      <c r="I76" s="488"/>
      <c r="J76" s="488"/>
      <c r="K76" s="488"/>
      <c r="L76" s="488"/>
      <c r="M76" s="1127"/>
      <c r="N76" s="932"/>
      <c r="O76" s="932"/>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 thickTop="1">
      <c r="A78" s="483"/>
      <c r="B78" s="487" t="s">
        <v>1820</v>
      </c>
      <c r="C78" s="527" t="s">
        <v>1719</v>
      </c>
      <c r="D78" s="527" t="s">
        <v>1720</v>
      </c>
      <c r="E78" s="527" t="s">
        <v>1721</v>
      </c>
      <c r="F78" s="527" t="s">
        <v>1722</v>
      </c>
      <c r="G78" s="527" t="s">
        <v>1723</v>
      </c>
      <c r="H78" s="488"/>
      <c r="I78" s="488"/>
      <c r="J78" s="488"/>
      <c r="K78" s="489"/>
      <c r="L78" s="490"/>
      <c r="M78" s="491"/>
      <c r="N78" s="931"/>
      <c r="O78" s="931"/>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4.4" thickTop="1">
      <c r="A80" s="528"/>
      <c r="B80" s="487">
        <f>B25</f>
        <v>111</v>
      </c>
      <c r="C80" s="503"/>
      <c r="D80" s="503"/>
      <c r="E80" s="503"/>
      <c r="F80" s="503"/>
      <c r="G80" s="503"/>
      <c r="H80" s="503"/>
      <c r="I80" s="503"/>
      <c r="J80" s="503"/>
      <c r="K80" s="503"/>
      <c r="L80" s="529"/>
      <c r="M80" s="530"/>
      <c r="N80" s="930"/>
      <c r="O80" s="930"/>
      <c r="P80" s="42"/>
      <c r="Q80" s="453"/>
    </row>
    <row r="81" spans="1:17" s="108" customFormat="1" ht="14.4" thickBot="1">
      <c r="A81" s="528"/>
      <c r="B81" s="492"/>
      <c r="C81" s="509"/>
      <c r="D81" s="485"/>
      <c r="E81" s="485"/>
      <c r="F81" s="485"/>
      <c r="G81" s="485"/>
      <c r="H81" s="485"/>
      <c r="I81" s="485"/>
      <c r="J81" s="485"/>
      <c r="K81" s="485"/>
      <c r="L81" s="485"/>
      <c r="M81" s="486"/>
      <c r="N81" s="932"/>
      <c r="O81" s="932"/>
      <c r="P81" s="42"/>
      <c r="Q81" s="453"/>
    </row>
    <row r="82" spans="1:17" s="108" customFormat="1" ht="14.4" thickTop="1">
      <c r="A82" s="528"/>
      <c r="B82" s="487">
        <f>B26</f>
        <v>111</v>
      </c>
      <c r="C82" s="503"/>
      <c r="D82" s="503"/>
      <c r="E82" s="503"/>
      <c r="F82" s="503"/>
      <c r="G82" s="503"/>
      <c r="H82" s="503"/>
      <c r="I82" s="503"/>
      <c r="J82" s="503"/>
      <c r="K82" s="503"/>
      <c r="L82" s="529"/>
      <c r="M82" s="530"/>
      <c r="N82" s="930"/>
      <c r="O82" s="930"/>
      <c r="P82" s="42"/>
      <c r="Q82" s="453"/>
    </row>
    <row r="83" spans="1:17" s="108" customFormat="1" ht="14.4" thickBot="1">
      <c r="A83" s="528"/>
      <c r="B83" s="492"/>
      <c r="C83" s="509"/>
      <c r="D83" s="485"/>
      <c r="E83" s="485"/>
      <c r="F83" s="485"/>
      <c r="G83" s="485"/>
      <c r="H83" s="485"/>
      <c r="I83" s="485"/>
      <c r="J83" s="485"/>
      <c r="K83" s="485"/>
      <c r="L83" s="485"/>
      <c r="M83" s="486"/>
      <c r="N83" s="932"/>
      <c r="O83" s="932"/>
      <c r="P83" s="42"/>
      <c r="Q83" s="453"/>
    </row>
    <row r="84" spans="1:17" s="422" customFormat="1" ht="14.4" thickTop="1">
      <c r="A84" s="502"/>
      <c r="B84" s="487">
        <f>B27</f>
        <v>111</v>
      </c>
      <c r="C84" s="503"/>
      <c r="D84" s="503"/>
      <c r="E84" s="503"/>
      <c r="F84" s="503"/>
      <c r="G84" s="503"/>
      <c r="H84" s="503"/>
      <c r="I84" s="503"/>
      <c r="J84" s="503"/>
      <c r="K84" s="503"/>
      <c r="L84" s="529"/>
      <c r="M84" s="530"/>
      <c r="N84" s="933"/>
      <c r="O84" s="933"/>
      <c r="P84" s="507"/>
      <c r="Q84" s="508"/>
    </row>
    <row r="85" spans="1:17" s="422" customFormat="1" ht="14.4" thickBot="1">
      <c r="A85" s="502"/>
      <c r="B85" s="492"/>
      <c r="C85" s="509"/>
      <c r="D85" s="485"/>
      <c r="E85" s="485"/>
      <c r="F85" s="485"/>
      <c r="G85" s="485"/>
      <c r="H85" s="485"/>
      <c r="I85" s="485"/>
      <c r="J85" s="485"/>
      <c r="K85" s="485"/>
      <c r="L85" s="485"/>
      <c r="M85" s="486"/>
      <c r="N85" s="933"/>
      <c r="O85" s="933"/>
      <c r="P85" s="507"/>
      <c r="Q85" s="508"/>
    </row>
    <row r="86" spans="1:17" ht="14.4" thickTop="1">
      <c r="A86" s="483"/>
      <c r="B86" s="495">
        <f>B28</f>
        <v>111</v>
      </c>
      <c r="C86" s="472"/>
      <c r="D86" s="472"/>
      <c r="E86" s="472"/>
      <c r="F86" s="472"/>
      <c r="G86" s="536"/>
      <c r="H86" s="536"/>
      <c r="I86" s="536"/>
      <c r="J86" s="536"/>
      <c r="K86" s="537"/>
      <c r="L86" s="538"/>
      <c r="M86" s="539"/>
      <c r="N86" s="931"/>
      <c r="O86" s="931"/>
      <c r="P86" s="42"/>
      <c r="Q86" s="453"/>
    </row>
    <row r="87" spans="1:17" ht="14.4" thickBot="1">
      <c r="A87" s="1926"/>
      <c r="B87" s="518"/>
      <c r="C87" s="519"/>
      <c r="D87" s="519"/>
      <c r="E87" s="519"/>
      <c r="F87" s="519"/>
      <c r="G87" s="540"/>
      <c r="H87" s="540"/>
      <c r="I87" s="540"/>
      <c r="J87" s="540"/>
      <c r="K87" s="540"/>
      <c r="L87" s="540"/>
      <c r="M87" s="541"/>
      <c r="N87" s="932"/>
      <c r="O87" s="932"/>
      <c r="P87" s="42"/>
      <c r="Q87" s="453"/>
    </row>
    <row r="88" spans="1:17" ht="14.4">
      <c r="A88" s="476" t="s">
        <v>1692</v>
      </c>
      <c r="B88" s="477" t="s">
        <v>1734</v>
      </c>
      <c r="C88" s="479"/>
      <c r="D88" s="479"/>
      <c r="E88" s="479"/>
      <c r="F88" s="479"/>
      <c r="G88" s="479"/>
      <c r="H88" s="479"/>
      <c r="I88" s="479"/>
      <c r="J88" s="479"/>
      <c r="K88" s="480"/>
      <c r="L88" s="481"/>
      <c r="M88" s="482"/>
      <c r="N88" s="931"/>
      <c r="O88" s="931"/>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4.4"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1736</v>
      </c>
      <c r="C93" s="503"/>
      <c r="D93" s="503"/>
      <c r="E93" s="532"/>
      <c r="F93" s="532"/>
      <c r="G93" s="532"/>
      <c r="H93" s="532"/>
      <c r="I93" s="532"/>
      <c r="J93" s="532"/>
      <c r="K93" s="533"/>
      <c r="L93" s="534"/>
      <c r="M93" s="535"/>
      <c r="N93" s="931"/>
      <c r="O93" s="931"/>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1738</v>
      </c>
      <c r="C95" s="503"/>
      <c r="D95" s="503"/>
      <c r="E95" s="503"/>
      <c r="F95" s="532"/>
      <c r="G95" s="532"/>
      <c r="H95" s="532"/>
      <c r="I95" s="532"/>
      <c r="J95" s="532"/>
      <c r="K95" s="533"/>
      <c r="L95" s="534"/>
      <c r="M95" s="535"/>
      <c r="N95" s="931"/>
      <c r="O95" s="931"/>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1739</v>
      </c>
      <c r="C100" s="503"/>
      <c r="D100" s="503"/>
      <c r="E100" s="503"/>
      <c r="F100" s="503"/>
      <c r="G100" s="503"/>
      <c r="H100" s="532"/>
      <c r="I100" s="532"/>
      <c r="J100" s="532"/>
      <c r="K100" s="533"/>
      <c r="L100" s="534"/>
      <c r="M100" s="535"/>
      <c r="N100" s="933"/>
      <c r="O100" s="933"/>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1740</v>
      </c>
      <c r="C102" s="503"/>
      <c r="D102" s="503"/>
      <c r="E102" s="503"/>
      <c r="F102" s="503"/>
      <c r="G102" s="503"/>
      <c r="H102" s="532"/>
      <c r="I102" s="532"/>
      <c r="J102" s="532"/>
      <c r="K102" s="533"/>
      <c r="L102" s="534"/>
      <c r="M102" s="535"/>
      <c r="N102" s="931"/>
      <c r="O102" s="931"/>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1742</v>
      </c>
      <c r="C104" s="503"/>
      <c r="D104" s="503"/>
      <c r="E104" s="503"/>
      <c r="F104" s="503"/>
      <c r="G104" s="503"/>
      <c r="H104" s="532"/>
      <c r="I104" s="532"/>
      <c r="J104" s="532"/>
      <c r="K104" s="533"/>
      <c r="L104" s="534"/>
      <c r="M104" s="535"/>
      <c r="N104" s="931"/>
      <c r="O104" s="931"/>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29.4" thickTop="1">
      <c r="A106" s="548"/>
      <c r="B106" s="584" t="s">
        <v>1828</v>
      </c>
      <c r="C106" s="527" t="s">
        <v>1719</v>
      </c>
      <c r="D106" s="527" t="s">
        <v>1720</v>
      </c>
      <c r="E106" s="527" t="s">
        <v>1721</v>
      </c>
      <c r="F106" s="527" t="s">
        <v>1722</v>
      </c>
      <c r="G106" s="527" t="s">
        <v>1723</v>
      </c>
      <c r="H106" s="488"/>
      <c r="I106" s="488"/>
      <c r="J106" s="488"/>
      <c r="K106" s="489"/>
      <c r="L106" s="490"/>
      <c r="M106" s="491"/>
      <c r="N106" s="932"/>
      <c r="O106" s="932"/>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4.4"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4.4" thickBot="1">
      <c r="A109" s="502"/>
      <c r="B109" s="484"/>
      <c r="C109" s="509"/>
      <c r="D109" s="485"/>
      <c r="E109" s="485"/>
      <c r="F109" s="485"/>
      <c r="G109" s="509"/>
      <c r="H109" s="511"/>
      <c r="I109" s="511"/>
      <c r="J109" s="511"/>
      <c r="K109" s="511"/>
      <c r="L109" s="511"/>
      <c r="M109" s="512"/>
      <c r="N109" s="933"/>
      <c r="O109" s="933"/>
      <c r="P109" s="507"/>
      <c r="Q109" s="508"/>
    </row>
    <row r="110" spans="1:17" ht="14.4" thickTop="1">
      <c r="A110" s="548"/>
      <c r="B110" s="487">
        <f>B39</f>
        <v>111</v>
      </c>
      <c r="C110" s="503"/>
      <c r="D110" s="503"/>
      <c r="E110" s="503"/>
      <c r="F110" s="503"/>
      <c r="G110" s="503"/>
      <c r="H110" s="504"/>
      <c r="I110" s="504"/>
      <c r="J110" s="504"/>
      <c r="K110" s="504"/>
      <c r="L110" s="505"/>
      <c r="M110" s="506"/>
      <c r="N110" s="931"/>
      <c r="O110" s="931"/>
      <c r="P110" s="42"/>
      <c r="Q110" s="453"/>
    </row>
    <row r="111" spans="1:17" ht="14.4" thickBot="1">
      <c r="A111" s="483"/>
      <c r="B111" s="492"/>
      <c r="C111" s="509"/>
      <c r="D111" s="485"/>
      <c r="E111" s="485"/>
      <c r="F111" s="485"/>
      <c r="G111" s="509"/>
      <c r="H111" s="511"/>
      <c r="I111" s="511"/>
      <c r="J111" s="511"/>
      <c r="K111" s="511"/>
      <c r="L111" s="511"/>
      <c r="M111" s="512"/>
      <c r="N111" s="932"/>
      <c r="O111" s="932"/>
      <c r="P111" s="42"/>
      <c r="Q111" s="453"/>
    </row>
    <row r="112" spans="1:17" ht="14.4" thickTop="1">
      <c r="A112" s="548"/>
      <c r="B112" s="495">
        <f>B40</f>
        <v>111</v>
      </c>
      <c r="C112" s="472"/>
      <c r="D112" s="472"/>
      <c r="E112" s="472"/>
      <c r="F112" s="472"/>
      <c r="G112" s="536"/>
      <c r="H112" s="536"/>
      <c r="I112" s="536"/>
      <c r="J112" s="536"/>
      <c r="K112" s="472"/>
      <c r="L112" s="473"/>
      <c r="M112" s="539"/>
      <c r="N112" s="931"/>
      <c r="O112" s="931"/>
      <c r="P112" s="42"/>
      <c r="Q112" s="453"/>
    </row>
    <row r="113" spans="1:17" ht="14.4"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1829</v>
      </c>
      <c r="B1" s="1221" t="s">
        <v>3332</v>
      </c>
      <c r="C1" s="1222" t="s">
        <v>1660</v>
      </c>
      <c r="D1" s="1223"/>
      <c r="E1" s="3430"/>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4.4">
      <c r="A4" s="355" t="s">
        <v>1767</v>
      </c>
      <c r="B4" s="356"/>
      <c r="C4" s="3745" t="s">
        <v>1768</v>
      </c>
      <c r="D4" s="3746"/>
      <c r="E4" s="3747" t="s">
        <v>1769</v>
      </c>
      <c r="F4" s="3748"/>
      <c r="G4" s="3745" t="s">
        <v>1770</v>
      </c>
      <c r="H4" s="3746"/>
      <c r="I4" s="3745" t="s">
        <v>1771</v>
      </c>
      <c r="J4" s="3746"/>
      <c r="K4" s="559" t="s">
        <v>1772</v>
      </c>
      <c r="L4" s="2712"/>
      <c r="M4" s="2713"/>
      <c r="N4" s="2713"/>
      <c r="O4" s="2713"/>
      <c r="P4" s="3749" t="s">
        <v>1773</v>
      </c>
      <c r="Q4" s="3750"/>
      <c r="R4" s="3732" t="s">
        <v>1769</v>
      </c>
      <c r="S4" s="3733"/>
      <c r="T4" s="3732" t="s">
        <v>1770</v>
      </c>
      <c r="U4" s="3733"/>
      <c r="V4" s="3757" t="s">
        <v>1771</v>
      </c>
      <c r="W4" s="3757"/>
      <c r="X4" s="1353"/>
      <c r="Y4" s="3732" t="s">
        <v>1773</v>
      </c>
      <c r="Z4" s="3733"/>
      <c r="AA4" s="3727" t="s">
        <v>1769</v>
      </c>
      <c r="AB4" s="3728" t="s">
        <v>1770</v>
      </c>
      <c r="AC4" s="3727" t="s">
        <v>1771</v>
      </c>
    </row>
    <row r="5" spans="1:29">
      <c r="A5" s="358"/>
      <c r="B5" s="359"/>
      <c r="C5" s="3738" t="s">
        <v>1671</v>
      </c>
      <c r="D5" s="3739"/>
      <c r="E5" s="3736" t="s">
        <v>1672</v>
      </c>
      <c r="F5" s="3737"/>
      <c r="G5" s="3738" t="s">
        <v>1673</v>
      </c>
      <c r="H5" s="3739"/>
      <c r="I5" s="3738" t="s">
        <v>1674</v>
      </c>
      <c r="J5" s="3739"/>
      <c r="K5" s="559"/>
      <c r="L5" s="2712"/>
      <c r="M5" s="2713"/>
      <c r="N5" s="2713"/>
      <c r="O5" s="2713"/>
      <c r="P5" s="3751"/>
      <c r="Q5" s="3752"/>
      <c r="R5" s="3734"/>
      <c r="S5" s="3735"/>
      <c r="T5" s="3734"/>
      <c r="U5" s="3735"/>
      <c r="V5" s="3757"/>
      <c r="W5" s="3757"/>
      <c r="X5" s="1353"/>
      <c r="Y5" s="3734"/>
      <c r="Z5" s="3735"/>
      <c r="AA5" s="3728"/>
      <c r="AB5" s="3728"/>
      <c r="AC5" s="3728"/>
    </row>
    <row r="6" spans="1:29" ht="15" thickBot="1">
      <c r="A6" s="360"/>
      <c r="B6" s="361"/>
      <c r="C6" s="3740" t="s">
        <v>1675</v>
      </c>
      <c r="D6" s="3741"/>
      <c r="E6" s="3742" t="s">
        <v>1675</v>
      </c>
      <c r="F6" s="3743"/>
      <c r="G6" s="3740" t="s">
        <v>1675</v>
      </c>
      <c r="H6" s="3741"/>
      <c r="I6" s="3740" t="s">
        <v>1675</v>
      </c>
      <c r="J6" s="3741"/>
      <c r="K6" s="559" t="s">
        <v>1676</v>
      </c>
      <c r="L6" s="2712"/>
      <c r="M6" s="2713"/>
      <c r="N6" s="2713"/>
      <c r="O6" s="2713"/>
      <c r="P6" s="3753"/>
      <c r="Q6" s="3754"/>
      <c r="R6" s="3734"/>
      <c r="S6" s="3735"/>
      <c r="T6" s="3755"/>
      <c r="U6" s="3756"/>
      <c r="V6" s="3757"/>
      <c r="W6" s="3757"/>
      <c r="X6" s="1353"/>
      <c r="Y6" s="3755"/>
      <c r="Z6" s="3756"/>
      <c r="AA6" s="3729"/>
      <c r="AB6" s="3729"/>
      <c r="AC6" s="3729"/>
    </row>
    <row r="7" spans="1:29" s="108" customFormat="1" ht="15" thickBot="1">
      <c r="A7" s="362" t="s">
        <v>1677</v>
      </c>
      <c r="B7" s="363"/>
      <c r="C7" s="364">
        <f>'数据-取费表'!B2</f>
        <v>45504</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30" t="s">
        <v>1678</v>
      </c>
      <c r="Q7" s="3758"/>
      <c r="R7" s="699" t="s">
        <v>14</v>
      </c>
      <c r="S7" s="700">
        <f t="shared" ref="S7:S14" si="0">F7</f>
        <v>0</v>
      </c>
      <c r="T7" s="699" t="s">
        <v>14</v>
      </c>
      <c r="U7" s="700">
        <f t="shared" ref="U7:U14" si="1">H7</f>
        <v>0</v>
      </c>
      <c r="V7" s="699" t="s">
        <v>14</v>
      </c>
      <c r="W7" s="700">
        <f t="shared" ref="W7:W14" si="2">J7</f>
        <v>0</v>
      </c>
      <c r="X7" s="701"/>
      <c r="Y7" s="3730" t="s">
        <v>1678</v>
      </c>
      <c r="Z7" s="3731"/>
      <c r="AA7" s="702" t="e">
        <f>D7/F7</f>
        <v>#DIV/0!</v>
      </c>
      <c r="AB7" s="702" t="e">
        <f>D7/H7</f>
        <v>#DIV/0!</v>
      </c>
      <c r="AC7" s="702" t="e">
        <f>D7/J7</f>
        <v>#DIV/0!</v>
      </c>
    </row>
    <row r="8" spans="1:29" s="108" customFormat="1" ht="1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30" t="s">
        <v>1681</v>
      </c>
      <c r="Q8" s="3731"/>
      <c r="R8" s="699" t="s">
        <v>14</v>
      </c>
      <c r="S8" s="700">
        <f t="shared" si="0"/>
        <v>100</v>
      </c>
      <c r="T8" s="699" t="s">
        <v>14</v>
      </c>
      <c r="U8" s="700">
        <f t="shared" si="1"/>
        <v>100</v>
      </c>
      <c r="V8" s="699" t="s">
        <v>14</v>
      </c>
      <c r="W8" s="700">
        <f t="shared" si="2"/>
        <v>100</v>
      </c>
      <c r="X8" s="701"/>
      <c r="Y8" s="3730" t="s">
        <v>1681</v>
      </c>
      <c r="Z8" s="3731"/>
      <c r="AA8" s="702">
        <f t="shared" ref="AA8:AA36" si="3">D8/F8</f>
        <v>1</v>
      </c>
      <c r="AB8" s="702">
        <f t="shared" ref="AB8:AB36" si="4">D8/H8</f>
        <v>1</v>
      </c>
      <c r="AC8" s="702">
        <f t="shared" ref="AC8:AC36" si="5">D8/J8</f>
        <v>1</v>
      </c>
    </row>
    <row r="9" spans="1:29" s="108" customFormat="1" ht="14.4">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62" t="s">
        <v>1684</v>
      </c>
      <c r="Q9" s="1341" t="str">
        <f t="shared" ref="Q9:Q14" si="6">B9</f>
        <v>用途</v>
      </c>
      <c r="R9" s="699" t="s">
        <v>14</v>
      </c>
      <c r="S9" s="700">
        <f t="shared" si="0"/>
        <v>100</v>
      </c>
      <c r="T9" s="699" t="s">
        <v>14</v>
      </c>
      <c r="U9" s="700">
        <f t="shared" si="1"/>
        <v>100</v>
      </c>
      <c r="V9" s="699" t="s">
        <v>14</v>
      </c>
      <c r="W9" s="700">
        <f t="shared" si="2"/>
        <v>100</v>
      </c>
      <c r="X9" s="701"/>
      <c r="Y9" s="3674" t="s">
        <v>1685</v>
      </c>
      <c r="Z9" s="52" t="str">
        <f t="shared" ref="Z9:Z14" si="7">Q9</f>
        <v>用途</v>
      </c>
      <c r="AA9" s="702">
        <f t="shared" si="3"/>
        <v>1</v>
      </c>
      <c r="AB9" s="702">
        <f t="shared" si="4"/>
        <v>1</v>
      </c>
      <c r="AC9" s="702">
        <f t="shared" si="5"/>
        <v>1</v>
      </c>
    </row>
    <row r="10" spans="1:29" s="378" customFormat="1" ht="28.8">
      <c r="A10" s="589"/>
      <c r="B10" s="590" t="s">
        <v>1686</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62"/>
      <c r="Q10" s="1341" t="str">
        <f t="shared" si="6"/>
        <v>土地使用年限（年）</v>
      </c>
      <c r="R10" s="699" t="s">
        <v>14</v>
      </c>
      <c r="S10" s="700">
        <f t="shared" si="0"/>
        <v>100</v>
      </c>
      <c r="T10" s="699" t="s">
        <v>14</v>
      </c>
      <c r="U10" s="700">
        <f t="shared" si="1"/>
        <v>100</v>
      </c>
      <c r="V10" s="699" t="s">
        <v>14</v>
      </c>
      <c r="W10" s="700">
        <f t="shared" si="2"/>
        <v>100</v>
      </c>
      <c r="X10" s="701"/>
      <c r="Y10" s="3674"/>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62"/>
      <c r="Q11" s="1341">
        <f t="shared" si="6"/>
        <v>111</v>
      </c>
      <c r="R11" s="699" t="s">
        <v>14</v>
      </c>
      <c r="S11" s="700">
        <f t="shared" si="0"/>
        <v>100</v>
      </c>
      <c r="T11" s="699" t="s">
        <v>14</v>
      </c>
      <c r="U11" s="700">
        <f t="shared" si="1"/>
        <v>100</v>
      </c>
      <c r="V11" s="699" t="s">
        <v>14</v>
      </c>
      <c r="W11" s="700">
        <f t="shared" si="2"/>
        <v>100</v>
      </c>
      <c r="X11" s="701"/>
      <c r="Y11" s="3674"/>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62"/>
      <c r="Q12" s="1341">
        <f t="shared" si="6"/>
        <v>111</v>
      </c>
      <c r="R12" s="699" t="s">
        <v>14</v>
      </c>
      <c r="S12" s="700">
        <f t="shared" si="0"/>
        <v>100</v>
      </c>
      <c r="T12" s="699" t="s">
        <v>14</v>
      </c>
      <c r="U12" s="700">
        <f t="shared" si="1"/>
        <v>100</v>
      </c>
      <c r="V12" s="699" t="s">
        <v>14</v>
      </c>
      <c r="W12" s="700">
        <f t="shared" si="2"/>
        <v>100</v>
      </c>
      <c r="X12" s="701"/>
      <c r="Y12" s="3674"/>
      <c r="Z12" s="52">
        <f t="shared" si="7"/>
        <v>111</v>
      </c>
      <c r="AA12" s="702">
        <f>D12/F12</f>
        <v>1</v>
      </c>
      <c r="AB12" s="702">
        <f>D12/H12</f>
        <v>1</v>
      </c>
      <c r="AC12" s="702">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62"/>
      <c r="Q13" s="1341">
        <f t="shared" si="6"/>
        <v>111</v>
      </c>
      <c r="R13" s="699" t="s">
        <v>14</v>
      </c>
      <c r="S13" s="700">
        <f t="shared" si="0"/>
        <v>100</v>
      </c>
      <c r="T13" s="699" t="s">
        <v>14</v>
      </c>
      <c r="U13" s="700">
        <f t="shared" si="1"/>
        <v>100</v>
      </c>
      <c r="V13" s="699" t="s">
        <v>14</v>
      </c>
      <c r="W13" s="700">
        <f t="shared" si="2"/>
        <v>100</v>
      </c>
      <c r="X13" s="701"/>
      <c r="Y13" s="3674"/>
      <c r="Z13" s="52">
        <f t="shared" si="7"/>
        <v>111</v>
      </c>
      <c r="AA13" s="702">
        <f t="shared" si="3"/>
        <v>1</v>
      </c>
      <c r="AB13" s="702">
        <f t="shared" si="4"/>
        <v>1</v>
      </c>
      <c r="AC13" s="702">
        <f t="shared" si="5"/>
        <v>1</v>
      </c>
    </row>
    <row r="14" spans="1:29" ht="96.6">
      <c r="A14" s="355" t="s">
        <v>1688</v>
      </c>
      <c r="B14" s="577" t="s">
        <v>1831</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64" t="s">
        <v>1689</v>
      </c>
      <c r="Q14" s="1350" t="str">
        <f t="shared" si="6"/>
        <v>交通便捷度</v>
      </c>
      <c r="R14" s="703" t="s">
        <v>14</v>
      </c>
      <c r="S14" s="704">
        <f t="shared" si="0"/>
        <v>100</v>
      </c>
      <c r="T14" s="703" t="s">
        <v>14</v>
      </c>
      <c r="U14" s="704">
        <f t="shared" si="1"/>
        <v>100</v>
      </c>
      <c r="V14" s="703" t="s">
        <v>14</v>
      </c>
      <c r="W14" s="704">
        <f t="shared" si="2"/>
        <v>100</v>
      </c>
      <c r="X14" s="1353"/>
      <c r="Y14" s="3764" t="s">
        <v>1689</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9"/>
      <c r="M15" s="2713"/>
      <c r="N15" s="2713"/>
      <c r="O15" s="2713"/>
      <c r="P15" s="3765"/>
      <c r="Q15" s="1350"/>
      <c r="R15" s="703"/>
      <c r="S15" s="704"/>
      <c r="T15" s="703"/>
      <c r="U15" s="704"/>
      <c r="V15" s="703"/>
      <c r="W15" s="704"/>
      <c r="X15" s="1353"/>
      <c r="Y15" s="3765"/>
      <c r="Z15" s="1354"/>
      <c r="AA15" s="1351">
        <v>1</v>
      </c>
      <c r="AB15" s="1351">
        <v>1</v>
      </c>
      <c r="AC15" s="1351">
        <v>1</v>
      </c>
    </row>
    <row r="16" spans="1:29" ht="41.4">
      <c r="A16" s="358"/>
      <c r="B16" s="579" t="s">
        <v>1810</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65"/>
      <c r="Q16" s="1350" t="str">
        <f>B16</f>
        <v>公共配套设施</v>
      </c>
      <c r="R16" s="703" t="s">
        <v>14</v>
      </c>
      <c r="S16" s="704">
        <f>F16</f>
        <v>100</v>
      </c>
      <c r="T16" s="703" t="s">
        <v>14</v>
      </c>
      <c r="U16" s="704">
        <f>H16</f>
        <v>100</v>
      </c>
      <c r="V16" s="703" t="s">
        <v>14</v>
      </c>
      <c r="W16" s="704">
        <f>J16</f>
        <v>100</v>
      </c>
      <c r="X16" s="1353"/>
      <c r="Y16" s="3765"/>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9"/>
      <c r="M17" s="2713"/>
      <c r="N17" s="2713"/>
      <c r="O17" s="2713"/>
      <c r="P17" s="3765"/>
      <c r="Q17" s="1350"/>
      <c r="R17" s="703"/>
      <c r="S17" s="704"/>
      <c r="T17" s="703"/>
      <c r="U17" s="704"/>
      <c r="V17" s="703"/>
      <c r="W17" s="704"/>
      <c r="X17" s="1353"/>
      <c r="Y17" s="3765"/>
      <c r="Z17" s="1354"/>
      <c r="AA17" s="1351">
        <v>1</v>
      </c>
      <c r="AB17" s="1351">
        <v>1</v>
      </c>
      <c r="AC17" s="1351">
        <v>1</v>
      </c>
    </row>
    <row r="18" spans="1:29" ht="41.4">
      <c r="A18" s="358"/>
      <c r="B18" s="581" t="s">
        <v>1811</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65"/>
      <c r="Q18" s="1350" t="str">
        <f>B18</f>
        <v>基础设施水平</v>
      </c>
      <c r="R18" s="703" t="s">
        <v>14</v>
      </c>
      <c r="S18" s="704">
        <f>F18</f>
        <v>100</v>
      </c>
      <c r="T18" s="703" t="s">
        <v>14</v>
      </c>
      <c r="U18" s="704">
        <f>H18</f>
        <v>100</v>
      </c>
      <c r="V18" s="703" t="s">
        <v>14</v>
      </c>
      <c r="W18" s="704">
        <f>J18</f>
        <v>100</v>
      </c>
      <c r="X18" s="1353"/>
      <c r="Y18" s="3765"/>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9"/>
      <c r="M19" s="2713"/>
      <c r="N19" s="2713"/>
      <c r="O19" s="2713"/>
      <c r="P19" s="3765"/>
      <c r="Q19" s="1350"/>
      <c r="R19" s="703"/>
      <c r="S19" s="704"/>
      <c r="T19" s="703"/>
      <c r="U19" s="704"/>
      <c r="V19" s="703"/>
      <c r="W19" s="704"/>
      <c r="X19" s="1353"/>
      <c r="Y19" s="3765"/>
      <c r="Z19" s="1354"/>
      <c r="AA19" s="1351">
        <v>1</v>
      </c>
      <c r="AB19" s="1351">
        <v>1</v>
      </c>
      <c r="AC19" s="1351">
        <v>1</v>
      </c>
    </row>
    <row r="20" spans="1:29" ht="55.2">
      <c r="A20" s="358"/>
      <c r="B20" s="579" t="s">
        <v>1832</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65"/>
      <c r="Q20" s="1350" t="str">
        <f>B20</f>
        <v>自然及人文环境</v>
      </c>
      <c r="R20" s="703" t="s">
        <v>14</v>
      </c>
      <c r="S20" s="704">
        <f>F20</f>
        <v>100</v>
      </c>
      <c r="T20" s="703" t="s">
        <v>14</v>
      </c>
      <c r="U20" s="704">
        <f>H20</f>
        <v>100</v>
      </c>
      <c r="V20" s="703" t="s">
        <v>14</v>
      </c>
      <c r="W20" s="704">
        <f>J20</f>
        <v>100</v>
      </c>
      <c r="X20" s="1353"/>
      <c r="Y20" s="3765"/>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9"/>
      <c r="M21" s="2713"/>
      <c r="N21" s="2713"/>
      <c r="O21" s="2713"/>
      <c r="P21" s="3765"/>
      <c r="Q21" s="1350"/>
      <c r="R21" s="703"/>
      <c r="S21" s="704"/>
      <c r="T21" s="703"/>
      <c r="U21" s="704"/>
      <c r="V21" s="703"/>
      <c r="W21" s="704"/>
      <c r="X21" s="1353"/>
      <c r="Y21" s="3765"/>
      <c r="Z21" s="1354"/>
      <c r="AA21" s="1351">
        <v>1</v>
      </c>
      <c r="AB21" s="1351">
        <v>1</v>
      </c>
      <c r="AC21" s="1351">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65"/>
      <c r="Q22" s="1350" t="str">
        <f>B22</f>
        <v>楼层</v>
      </c>
      <c r="R22" s="703" t="s">
        <v>14</v>
      </c>
      <c r="S22" s="704">
        <f>F22</f>
        <v>100</v>
      </c>
      <c r="T22" s="703" t="s">
        <v>14</v>
      </c>
      <c r="U22" s="704">
        <f>H22</f>
        <v>100</v>
      </c>
      <c r="V22" s="703" t="s">
        <v>14</v>
      </c>
      <c r="W22" s="704">
        <f>J22</f>
        <v>100</v>
      </c>
      <c r="X22" s="1353"/>
      <c r="Y22" s="3765"/>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65"/>
      <c r="Q23" s="1350">
        <f>B23</f>
        <v>111</v>
      </c>
      <c r="R23" s="703" t="s">
        <v>14</v>
      </c>
      <c r="S23" s="704">
        <f>F23</f>
        <v>100</v>
      </c>
      <c r="T23" s="703" t="s">
        <v>14</v>
      </c>
      <c r="U23" s="704">
        <f>H23</f>
        <v>100</v>
      </c>
      <c r="V23" s="703" t="s">
        <v>14</v>
      </c>
      <c r="W23" s="704">
        <f>J23</f>
        <v>100</v>
      </c>
      <c r="X23" s="1353"/>
      <c r="Y23" s="3765"/>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65"/>
      <c r="Q24" s="1350">
        <f t="shared" ref="Q24:Q36" si="11">B24</f>
        <v>111</v>
      </c>
      <c r="R24" s="703" t="s">
        <v>14</v>
      </c>
      <c r="S24" s="704">
        <f>F24</f>
        <v>100</v>
      </c>
      <c r="T24" s="703" t="s">
        <v>14</v>
      </c>
      <c r="U24" s="704">
        <f>H24</f>
        <v>100</v>
      </c>
      <c r="V24" s="703" t="s">
        <v>14</v>
      </c>
      <c r="W24" s="704">
        <f>J24</f>
        <v>100</v>
      </c>
      <c r="X24" s="1353"/>
      <c r="Y24" s="3765"/>
      <c r="Z24" s="1354">
        <f>Q24</f>
        <v>111</v>
      </c>
      <c r="AA24" s="1351">
        <f t="shared" si="3"/>
        <v>1</v>
      </c>
      <c r="AB24" s="1351">
        <f t="shared" si="4"/>
        <v>1</v>
      </c>
      <c r="AC24" s="1351">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65"/>
      <c r="Q25" s="1341">
        <f t="shared" si="11"/>
        <v>111</v>
      </c>
      <c r="R25" s="699" t="s">
        <v>14</v>
      </c>
      <c r="S25" s="700">
        <f>F25</f>
        <v>100</v>
      </c>
      <c r="T25" s="699" t="s">
        <v>14</v>
      </c>
      <c r="U25" s="700">
        <f>H25</f>
        <v>100</v>
      </c>
      <c r="V25" s="699" t="s">
        <v>14</v>
      </c>
      <c r="W25" s="700">
        <f>J25</f>
        <v>100</v>
      </c>
      <c r="X25" s="701"/>
      <c r="Y25" s="3765"/>
      <c r="Z25" s="52">
        <f>Q25</f>
        <v>111</v>
      </c>
      <c r="AA25" s="1351">
        <f>D25/F25</f>
        <v>1</v>
      </c>
      <c r="AB25" s="1351">
        <f>D25/H25</f>
        <v>1</v>
      </c>
      <c r="AC25" s="1351">
        <f>D25/J25</f>
        <v>1</v>
      </c>
    </row>
    <row r="26" spans="1:29" ht="30">
      <c r="A26" s="600"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89" t="s">
        <v>1694</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69" t="s">
        <v>1694</v>
      </c>
      <c r="Z26" s="1354" t="str">
        <f t="shared" ref="Z26:Z36" si="15">Q26</f>
        <v>配套类型</v>
      </c>
      <c r="AA26" s="1351" t="e">
        <f t="shared" si="3"/>
        <v>#DIV/0!</v>
      </c>
      <c r="AB26" s="1351" t="e">
        <f t="shared" si="4"/>
        <v>#DIV/0!</v>
      </c>
      <c r="AC26" s="1351"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69"/>
      <c r="Q27" s="705" t="str">
        <f t="shared" si="11"/>
        <v>项目停车位配比</v>
      </c>
      <c r="R27" s="706" t="s">
        <v>14</v>
      </c>
      <c r="S27" s="707">
        <f t="shared" si="12"/>
        <v>100</v>
      </c>
      <c r="T27" s="706" t="s">
        <v>14</v>
      </c>
      <c r="U27" s="707">
        <f t="shared" si="13"/>
        <v>100</v>
      </c>
      <c r="V27" s="706" t="s">
        <v>14</v>
      </c>
      <c r="W27" s="707">
        <f t="shared" si="14"/>
        <v>100</v>
      </c>
      <c r="X27" s="708"/>
      <c r="Y27" s="3769"/>
      <c r="Z27" s="709" t="str">
        <f t="shared" si="15"/>
        <v>项目停车位配比</v>
      </c>
      <c r="AA27" s="1351">
        <f t="shared" si="3"/>
        <v>1</v>
      </c>
      <c r="AB27" s="1351">
        <f t="shared" si="4"/>
        <v>1</v>
      </c>
      <c r="AC27" s="1351">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69"/>
      <c r="Q28" s="1350" t="str">
        <f t="shared" si="11"/>
        <v>公共部分装修</v>
      </c>
      <c r="R28" s="703" t="s">
        <v>14</v>
      </c>
      <c r="S28" s="704">
        <f t="shared" si="12"/>
        <v>100</v>
      </c>
      <c r="T28" s="703" t="s">
        <v>14</v>
      </c>
      <c r="U28" s="704">
        <f t="shared" si="13"/>
        <v>100</v>
      </c>
      <c r="V28" s="703" t="s">
        <v>14</v>
      </c>
      <c r="W28" s="704">
        <f t="shared" si="14"/>
        <v>100</v>
      </c>
      <c r="X28" s="1353"/>
      <c r="Y28" s="3769"/>
      <c r="Z28" s="1354" t="str">
        <f t="shared" si="15"/>
        <v>公共部分装修</v>
      </c>
      <c r="AA28" s="1351">
        <f t="shared" si="3"/>
        <v>1</v>
      </c>
      <c r="AB28" s="1351">
        <f t="shared" si="4"/>
        <v>1</v>
      </c>
      <c r="AC28" s="1351">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69"/>
      <c r="Q29" s="1350" t="str">
        <f t="shared" si="11"/>
        <v>成新率</v>
      </c>
      <c r="R29" s="703" t="s">
        <v>14</v>
      </c>
      <c r="S29" s="704" t="e">
        <f t="shared" si="12"/>
        <v>#N/A</v>
      </c>
      <c r="T29" s="703" t="s">
        <v>14</v>
      </c>
      <c r="U29" s="704" t="e">
        <f t="shared" si="13"/>
        <v>#N/A</v>
      </c>
      <c r="V29" s="703" t="s">
        <v>14</v>
      </c>
      <c r="W29" s="704" t="e">
        <f t="shared" si="14"/>
        <v>#N/A</v>
      </c>
      <c r="X29" s="1353"/>
      <c r="Y29" s="3769"/>
      <c r="Z29" s="1354" t="str">
        <f t="shared" si="15"/>
        <v>成新率</v>
      </c>
      <c r="AA29" s="1351" t="e">
        <f t="shared" si="3"/>
        <v>#N/A</v>
      </c>
      <c r="AB29" s="1351" t="e">
        <f t="shared" si="4"/>
        <v>#N/A</v>
      </c>
      <c r="AC29" s="1351"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69"/>
      <c r="Q30" s="1350" t="str">
        <f t="shared" si="11"/>
        <v>物业等级</v>
      </c>
      <c r="R30" s="703" t="s">
        <v>14</v>
      </c>
      <c r="S30" s="704">
        <f t="shared" si="12"/>
        <v>100</v>
      </c>
      <c r="T30" s="703" t="s">
        <v>14</v>
      </c>
      <c r="U30" s="704">
        <f t="shared" si="13"/>
        <v>100</v>
      </c>
      <c r="V30" s="703" t="s">
        <v>14</v>
      </c>
      <c r="W30" s="704">
        <f t="shared" si="14"/>
        <v>100</v>
      </c>
      <c r="X30" s="1353"/>
      <c r="Y30" s="3769"/>
      <c r="Z30" s="1354" t="str">
        <f t="shared" si="15"/>
        <v>物业等级</v>
      </c>
      <c r="AA30" s="1351">
        <f t="shared" si="3"/>
        <v>1</v>
      </c>
      <c r="AB30" s="1351">
        <f t="shared" si="4"/>
        <v>1</v>
      </c>
      <c r="AC30" s="1351">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69"/>
      <c r="Q31" s="1341" t="str">
        <f t="shared" si="11"/>
        <v>停车位面积</v>
      </c>
      <c r="R31" s="699" t="s">
        <v>14</v>
      </c>
      <c r="S31" s="700" t="e">
        <f t="shared" si="12"/>
        <v>#N/A</v>
      </c>
      <c r="T31" s="699" t="s">
        <v>14</v>
      </c>
      <c r="U31" s="700" t="e">
        <f t="shared" si="13"/>
        <v>#N/A</v>
      </c>
      <c r="V31" s="699" t="s">
        <v>14</v>
      </c>
      <c r="W31" s="700" t="e">
        <f t="shared" si="14"/>
        <v>#N/A</v>
      </c>
      <c r="X31" s="701"/>
      <c r="Y31" s="3769"/>
      <c r="Z31" s="52" t="str">
        <f t="shared" si="15"/>
        <v>停车位面积</v>
      </c>
      <c r="AA31" s="702" t="e">
        <f t="shared" si="3"/>
        <v>#N/A</v>
      </c>
      <c r="AB31" s="702" t="e">
        <f t="shared" si="4"/>
        <v>#N/A</v>
      </c>
      <c r="AC31" s="702"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69" t="s">
        <v>1694</v>
      </c>
      <c r="Q32" s="1350" t="str">
        <f t="shared" si="11"/>
        <v>车位类型</v>
      </c>
      <c r="R32" s="703" t="s">
        <v>14</v>
      </c>
      <c r="S32" s="704">
        <f t="shared" si="12"/>
        <v>100</v>
      </c>
      <c r="T32" s="703" t="s">
        <v>14</v>
      </c>
      <c r="U32" s="704">
        <f t="shared" si="13"/>
        <v>100</v>
      </c>
      <c r="V32" s="703" t="s">
        <v>14</v>
      </c>
      <c r="W32" s="704">
        <f t="shared" si="14"/>
        <v>100</v>
      </c>
      <c r="X32" s="1353"/>
      <c r="Y32" s="3769" t="s">
        <v>1694</v>
      </c>
      <c r="Z32" s="1354" t="str">
        <f t="shared" si="15"/>
        <v>车位类型</v>
      </c>
      <c r="AA32" s="1351">
        <f t="shared" si="3"/>
        <v>1</v>
      </c>
      <c r="AB32" s="1351">
        <f t="shared" si="4"/>
        <v>1</v>
      </c>
      <c r="AC32" s="1351">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69"/>
      <c r="Q33" s="1350" t="str">
        <f t="shared" si="11"/>
        <v>是否直接入户</v>
      </c>
      <c r="R33" s="703" t="s">
        <v>14</v>
      </c>
      <c r="S33" s="704">
        <f t="shared" si="12"/>
        <v>100</v>
      </c>
      <c r="T33" s="703" t="s">
        <v>14</v>
      </c>
      <c r="U33" s="704">
        <f t="shared" si="13"/>
        <v>100</v>
      </c>
      <c r="V33" s="703" t="s">
        <v>14</v>
      </c>
      <c r="W33" s="704">
        <f t="shared" si="14"/>
        <v>100</v>
      </c>
      <c r="X33" s="1353"/>
      <c r="Y33" s="3769"/>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69"/>
      <c r="Q34" s="1350">
        <f t="shared" si="11"/>
        <v>111</v>
      </c>
      <c r="R34" s="703" t="s">
        <v>14</v>
      </c>
      <c r="S34" s="704">
        <f t="shared" si="12"/>
        <v>100</v>
      </c>
      <c r="T34" s="703" t="s">
        <v>14</v>
      </c>
      <c r="U34" s="704">
        <f t="shared" si="13"/>
        <v>100</v>
      </c>
      <c r="V34" s="703" t="s">
        <v>14</v>
      </c>
      <c r="W34" s="704">
        <f t="shared" si="14"/>
        <v>100</v>
      </c>
      <c r="X34" s="1353"/>
      <c r="Y34" s="3769"/>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69"/>
      <c r="Q35" s="705">
        <f t="shared" si="11"/>
        <v>111</v>
      </c>
      <c r="R35" s="706" t="s">
        <v>14</v>
      </c>
      <c r="S35" s="707">
        <f t="shared" si="12"/>
        <v>100</v>
      </c>
      <c r="T35" s="706" t="s">
        <v>14</v>
      </c>
      <c r="U35" s="707">
        <f t="shared" si="13"/>
        <v>100</v>
      </c>
      <c r="V35" s="706" t="s">
        <v>14</v>
      </c>
      <c r="W35" s="707">
        <f t="shared" si="14"/>
        <v>100</v>
      </c>
      <c r="X35" s="708"/>
      <c r="Y35" s="3769"/>
      <c r="Z35" s="709">
        <f t="shared" si="15"/>
        <v>111</v>
      </c>
      <c r="AA35" s="1351">
        <f t="shared" si="3"/>
        <v>1</v>
      </c>
      <c r="AB35" s="1351">
        <f t="shared" si="4"/>
        <v>1</v>
      </c>
      <c r="AC35" s="1351">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69"/>
      <c r="Q36" s="1350">
        <f t="shared" si="11"/>
        <v>111</v>
      </c>
      <c r="R36" s="703" t="s">
        <v>14</v>
      </c>
      <c r="S36" s="704">
        <f t="shared" si="12"/>
        <v>100</v>
      </c>
      <c r="T36" s="703" t="s">
        <v>14</v>
      </c>
      <c r="U36" s="704">
        <f t="shared" si="13"/>
        <v>100</v>
      </c>
      <c r="V36" s="703" t="s">
        <v>14</v>
      </c>
      <c r="W36" s="704">
        <f t="shared" si="14"/>
        <v>100</v>
      </c>
      <c r="X36" s="1353"/>
      <c r="Y36" s="3769"/>
      <c r="Z36" s="1354">
        <f t="shared" si="15"/>
        <v>111</v>
      </c>
      <c r="AA36" s="1351">
        <f t="shared" si="3"/>
        <v>1</v>
      </c>
      <c r="AB36" s="1351">
        <f t="shared" si="4"/>
        <v>1</v>
      </c>
      <c r="AC36" s="1351">
        <f t="shared" si="5"/>
        <v>1</v>
      </c>
    </row>
    <row r="37" spans="1:29" ht="14.4">
      <c r="A37" s="430" t="s">
        <v>1842</v>
      </c>
      <c r="B37" s="1971" t="s">
        <v>3352</v>
      </c>
      <c r="C37" s="1152" t="s">
        <v>0</v>
      </c>
      <c r="D37" s="1153"/>
      <c r="E37" s="1154"/>
      <c r="F37" s="1155"/>
      <c r="G37" s="1156"/>
      <c r="H37" s="1157"/>
      <c r="I37" s="1154"/>
      <c r="J37" s="1157"/>
      <c r="K37" s="568"/>
      <c r="L37" s="2721"/>
      <c r="M37" s="2722"/>
      <c r="N37" s="2713"/>
      <c r="O37" s="2722"/>
      <c r="P37" s="3762" t="str">
        <f>A37</f>
        <v>成交单价</v>
      </c>
      <c r="Q37" s="3762"/>
      <c r="R37" s="3763">
        <f>E37</f>
        <v>0</v>
      </c>
      <c r="S37" s="3763"/>
      <c r="T37" s="3763">
        <f>G37</f>
        <v>0</v>
      </c>
      <c r="U37" s="3763"/>
      <c r="V37" s="3763">
        <f>I37</f>
        <v>0</v>
      </c>
      <c r="W37" s="3763"/>
      <c r="X37" s="688"/>
      <c r="Y37" s="710"/>
      <c r="Z37" s="688"/>
      <c r="AA37" s="688"/>
      <c r="AB37" s="688"/>
      <c r="AC37" s="688"/>
    </row>
    <row r="38" spans="1:29" ht="15" thickBot="1">
      <c r="A38" s="437" t="s">
        <v>1843</v>
      </c>
      <c r="B38" s="438" t="str">
        <f>B37</f>
        <v>元/平方米</v>
      </c>
      <c r="C38" s="1158" t="e">
        <f>R39</f>
        <v>#DIV/0!</v>
      </c>
      <c r="D38" s="2315" t="s">
        <v>2133</v>
      </c>
      <c r="E38" s="1159" t="e">
        <f>R38</f>
        <v>#DIV/0!</v>
      </c>
      <c r="F38" s="2316"/>
      <c r="G38" s="1158" t="e">
        <f>T38</f>
        <v>#DIV/0!</v>
      </c>
      <c r="H38" s="2316"/>
      <c r="I38" s="1159" t="e">
        <f>V38</f>
        <v>#DIV/0!</v>
      </c>
      <c r="J38" s="2316"/>
      <c r="K38" s="2318">
        <f>F38+H38+J38</f>
        <v>0</v>
      </c>
      <c r="L38" s="2721"/>
      <c r="M38" s="2722"/>
      <c r="N38" s="2722"/>
      <c r="O38" s="2722"/>
      <c r="P38" s="3762" t="str">
        <f>A38</f>
        <v>比较价值（元/平方米）</v>
      </c>
      <c r="Q38" s="3762"/>
      <c r="R38" s="3763" t="e">
        <f>IF(F1="售价",ROUND(PRODUCT(R37,AA7:AA36),0),ROUND(PRODUCT(R37,AA7:AA36),1))</f>
        <v>#DIV/0!</v>
      </c>
      <c r="S38" s="3763"/>
      <c r="T38" s="3763" t="e">
        <f>IF(F1="售价",ROUND(PRODUCT(T37,AB7:AB36),0),ROUND(PRODUCT(T37,AB7:AB36),1))</f>
        <v>#DIV/0!</v>
      </c>
      <c r="U38" s="3763"/>
      <c r="V38" s="3763" t="e">
        <f>IF(F1="售价",ROUND(PRODUCT(V37,AC7:AC36),0),ROUND(PRODUCT(V37,AC7:AC36),1))</f>
        <v>#DIV/0!</v>
      </c>
      <c r="W38" s="3763"/>
      <c r="X38" s="688"/>
      <c r="Y38" s="688"/>
      <c r="Z38" s="688"/>
      <c r="AA38" s="688"/>
      <c r="AB38" s="688"/>
      <c r="AC38" s="688"/>
    </row>
    <row r="39" spans="1:29" ht="15" thickBot="1">
      <c r="A39" s="441" t="s">
        <v>1844</v>
      </c>
      <c r="B39" s="442"/>
      <c r="C39" s="1161" t="e">
        <f>R39</f>
        <v>#DIV/0!</v>
      </c>
      <c r="D39" s="1161"/>
      <c r="E39" s="1161"/>
      <c r="F39" s="1161"/>
      <c r="G39" s="1161"/>
      <c r="H39" s="1161"/>
      <c r="I39" s="1161"/>
      <c r="J39" s="1161"/>
      <c r="K39" s="569"/>
      <c r="L39" s="2721"/>
      <c r="M39" s="2722"/>
      <c r="N39" s="2722"/>
      <c r="O39" s="2722"/>
      <c r="P39" s="3759" t="str">
        <f>A39</f>
        <v>估价对象XX用房的比较价值（楼面单价，元/平方米）</v>
      </c>
      <c r="Q39" s="3760"/>
      <c r="R39" s="3790" t="e">
        <f>IF(F1="售价",ROUND(IF(D38="简单平均",AVERAGE(R38:W38),R38*F38+T38*H38+V38*J38),0),ROUND(IF(D38="简单平均",AVERAGE(R38:V38),R38*F38+T38*H38+V38*J38),1))</f>
        <v>#DIV/0!</v>
      </c>
      <c r="S39" s="3790"/>
      <c r="T39" s="3790"/>
      <c r="U39" s="3790"/>
      <c r="V39" s="3790"/>
      <c r="W39" s="3790"/>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4" t="s">
        <v>1848</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4.4">
      <c r="A48" s="454" t="s">
        <v>1849</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6"/>
      <c r="Q48" s="2738"/>
      <c r="R48" s="2738"/>
      <c r="S48" s="2738"/>
      <c r="T48" s="2738"/>
      <c r="U48" s="2738"/>
      <c r="V48" s="2738"/>
      <c r="W48" s="2738"/>
      <c r="X48" s="2738"/>
      <c r="Y48" s="2738"/>
      <c r="Z48" s="2738"/>
      <c r="AA48" s="2738"/>
      <c r="AB48" s="2738"/>
      <c r="AC48" s="2738"/>
    </row>
    <row r="49" spans="1:29" s="108" customFormat="1">
      <c r="A49" s="458"/>
      <c r="B49" s="459"/>
      <c r="C49" s="1175">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 thickBot="1">
      <c r="A50" s="464" t="s">
        <v>1714</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4.4">
      <c r="A51" s="470" t="s">
        <v>1679</v>
      </c>
      <c r="B51" s="459"/>
      <c r="C51" s="471" t="s">
        <v>1774</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4.4"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ht="14.4">
      <c r="A53" s="476" t="s">
        <v>1717</v>
      </c>
      <c r="B53" s="477" t="s">
        <v>1683</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4.4"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9.4" thickTop="1">
      <c r="A55" s="483"/>
      <c r="B55" s="487" t="s">
        <v>1686</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4.4"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4.4"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4.4"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4.4"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4.4"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4.4"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4.4"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 thickTop="1">
      <c r="A65" s="483"/>
      <c r="B65" s="487" t="s">
        <v>1725</v>
      </c>
      <c r="C65" s="527" t="s">
        <v>1719</v>
      </c>
      <c r="D65" s="527" t="s">
        <v>1720</v>
      </c>
      <c r="E65" s="527" t="s">
        <v>1721</v>
      </c>
      <c r="F65" s="527" t="s">
        <v>1722</v>
      </c>
      <c r="G65" s="527" t="s">
        <v>1723</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 thickTop="1">
      <c r="A67" s="483"/>
      <c r="B67" s="495" t="s">
        <v>1811</v>
      </c>
      <c r="C67" s="608" t="s">
        <v>1797</v>
      </c>
      <c r="D67" s="608" t="s">
        <v>1798</v>
      </c>
      <c r="E67" s="608" t="s">
        <v>1799</v>
      </c>
      <c r="F67" s="608" t="s">
        <v>1800</v>
      </c>
      <c r="G67" s="608" t="s">
        <v>1801</v>
      </c>
      <c r="H67" s="488"/>
      <c r="I67" s="488"/>
      <c r="J67" s="488"/>
      <c r="K67" s="488"/>
      <c r="L67" s="488"/>
      <c r="M67" s="1127"/>
      <c r="N67" s="2751"/>
      <c r="O67" s="2751"/>
      <c r="P67" s="2759"/>
      <c r="Q67" s="2736"/>
      <c r="R67" s="2722"/>
      <c r="S67" s="2722"/>
      <c r="T67" s="2722"/>
      <c r="U67" s="2722"/>
      <c r="V67" s="2722"/>
      <c r="W67" s="2722"/>
      <c r="X67" s="2722"/>
      <c r="Y67" s="2722"/>
      <c r="Z67" s="2722"/>
      <c r="AA67" s="2722"/>
      <c r="AB67" s="2722"/>
      <c r="AC67" s="2722"/>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 thickTop="1">
      <c r="A69" s="483"/>
      <c r="B69" s="487" t="s">
        <v>1731</v>
      </c>
      <c r="C69" s="527" t="s">
        <v>1719</v>
      </c>
      <c r="D69" s="527" t="s">
        <v>1720</v>
      </c>
      <c r="E69" s="527" t="s">
        <v>1721</v>
      </c>
      <c r="F69" s="527" t="s">
        <v>1722</v>
      </c>
      <c r="G69" s="527" t="s">
        <v>1723</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 thickTop="1">
      <c r="A71" s="483"/>
      <c r="B71" s="487" t="s">
        <v>1850</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4.4"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4.4"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4.4"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4.4"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4.4"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4.4"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9.4" thickTop="1">
      <c r="A79" s="476" t="s">
        <v>1692</v>
      </c>
      <c r="B79" s="477" t="s">
        <v>1851</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 thickTop="1">
      <c r="A81" s="483"/>
      <c r="B81" s="487" t="s">
        <v>1852</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4.4"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1738</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1854</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1856</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1857</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4.4"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4.4"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4.4"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4.4"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4.4"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1829</v>
      </c>
      <c r="B1" s="1221" t="s">
        <v>3333</v>
      </c>
      <c r="C1" s="1222" t="s">
        <v>1660</v>
      </c>
      <c r="D1" s="1223"/>
      <c r="E1" s="3430"/>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1462</v>
      </c>
      <c r="B3" s="558" t="e">
        <f>IF(C2="——",C37,ROUND(B2*10000/D3,0))</f>
        <v>#DIV/0!</v>
      </c>
      <c r="C3" s="354" t="s">
        <v>1766</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4.4">
      <c r="A4" s="355" t="s">
        <v>1767</v>
      </c>
      <c r="B4" s="356"/>
      <c r="C4" s="3745" t="s">
        <v>1768</v>
      </c>
      <c r="D4" s="3746"/>
      <c r="E4" s="3747" t="s">
        <v>1769</v>
      </c>
      <c r="F4" s="3748"/>
      <c r="G4" s="3745" t="s">
        <v>1770</v>
      </c>
      <c r="H4" s="3746"/>
      <c r="I4" s="3745" t="s">
        <v>1771</v>
      </c>
      <c r="J4" s="3746"/>
      <c r="K4" s="559" t="s">
        <v>1772</v>
      </c>
      <c r="L4" s="2712"/>
      <c r="M4" s="2713"/>
      <c r="N4" s="2713"/>
      <c r="O4" s="2713"/>
      <c r="P4" s="3749" t="s">
        <v>1773</v>
      </c>
      <c r="Q4" s="3750"/>
      <c r="R4" s="3732" t="s">
        <v>1769</v>
      </c>
      <c r="S4" s="3733"/>
      <c r="T4" s="3732" t="s">
        <v>1770</v>
      </c>
      <c r="U4" s="3733"/>
      <c r="V4" s="3757" t="s">
        <v>1771</v>
      </c>
      <c r="W4" s="3757"/>
      <c r="X4" s="1353"/>
      <c r="Y4" s="3732" t="s">
        <v>1773</v>
      </c>
      <c r="Z4" s="3733"/>
      <c r="AA4" s="3727" t="s">
        <v>1769</v>
      </c>
      <c r="AB4" s="3728" t="s">
        <v>1770</v>
      </c>
      <c r="AC4" s="3727" t="s">
        <v>1771</v>
      </c>
    </row>
    <row r="5" spans="1:29">
      <c r="A5" s="358"/>
      <c r="B5" s="359"/>
      <c r="C5" s="3738" t="s">
        <v>1671</v>
      </c>
      <c r="D5" s="3739"/>
      <c r="E5" s="3736" t="s">
        <v>1672</v>
      </c>
      <c r="F5" s="3737"/>
      <c r="G5" s="3738" t="s">
        <v>1673</v>
      </c>
      <c r="H5" s="3739"/>
      <c r="I5" s="3738" t="s">
        <v>1674</v>
      </c>
      <c r="J5" s="3739"/>
      <c r="K5" s="559"/>
      <c r="L5" s="2712"/>
      <c r="M5" s="2713"/>
      <c r="N5" s="2713"/>
      <c r="O5" s="2713"/>
      <c r="P5" s="3751"/>
      <c r="Q5" s="3752"/>
      <c r="R5" s="3734"/>
      <c r="S5" s="3735"/>
      <c r="T5" s="3734"/>
      <c r="U5" s="3735"/>
      <c r="V5" s="3757"/>
      <c r="W5" s="3757"/>
      <c r="X5" s="1353"/>
      <c r="Y5" s="3734"/>
      <c r="Z5" s="3735"/>
      <c r="AA5" s="3728"/>
      <c r="AB5" s="3728"/>
      <c r="AC5" s="3728"/>
    </row>
    <row r="6" spans="1:29" ht="15" thickBot="1">
      <c r="A6" s="360"/>
      <c r="B6" s="361"/>
      <c r="C6" s="3740" t="s">
        <v>1675</v>
      </c>
      <c r="D6" s="3741"/>
      <c r="E6" s="3742" t="s">
        <v>1675</v>
      </c>
      <c r="F6" s="3743"/>
      <c r="G6" s="3740" t="s">
        <v>1675</v>
      </c>
      <c r="H6" s="3741"/>
      <c r="I6" s="3740" t="s">
        <v>1675</v>
      </c>
      <c r="J6" s="3741"/>
      <c r="K6" s="559" t="s">
        <v>1676</v>
      </c>
      <c r="L6" s="2712"/>
      <c r="M6" s="2713"/>
      <c r="N6" s="2713"/>
      <c r="O6" s="2713"/>
      <c r="P6" s="3753"/>
      <c r="Q6" s="3754"/>
      <c r="R6" s="3734"/>
      <c r="S6" s="3735"/>
      <c r="T6" s="3755"/>
      <c r="U6" s="3756"/>
      <c r="V6" s="3757"/>
      <c r="W6" s="3757"/>
      <c r="X6" s="1353"/>
      <c r="Y6" s="3755"/>
      <c r="Z6" s="3756"/>
      <c r="AA6" s="3729"/>
      <c r="AB6" s="3729"/>
      <c r="AC6" s="3729"/>
    </row>
    <row r="7" spans="1:29" s="108" customFormat="1" ht="15" thickBot="1">
      <c r="A7" s="362" t="s">
        <v>1677</v>
      </c>
      <c r="B7" s="363"/>
      <c r="C7" s="364">
        <f>'数据-取费表'!B2</f>
        <v>45504</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730" t="s">
        <v>1678</v>
      </c>
      <c r="Q7" s="3758"/>
      <c r="R7" s="699" t="s">
        <v>14</v>
      </c>
      <c r="S7" s="700">
        <f t="shared" ref="S7:S14" si="0">F7</f>
        <v>0</v>
      </c>
      <c r="T7" s="699" t="s">
        <v>14</v>
      </c>
      <c r="U7" s="700">
        <f t="shared" ref="U7:U14" si="1">H7</f>
        <v>0</v>
      </c>
      <c r="V7" s="699" t="s">
        <v>14</v>
      </c>
      <c r="W7" s="700">
        <f t="shared" ref="W7:W14" si="2">J7</f>
        <v>0</v>
      </c>
      <c r="X7" s="701"/>
      <c r="Y7" s="3730" t="s">
        <v>1678</v>
      </c>
      <c r="Z7" s="3731"/>
      <c r="AA7" s="702" t="e">
        <f>D7/F7</f>
        <v>#DIV/0!</v>
      </c>
      <c r="AB7" s="702" t="e">
        <f>D7/H7</f>
        <v>#DIV/0!</v>
      </c>
      <c r="AC7" s="702" t="e">
        <f>D7/J7</f>
        <v>#DIV/0!</v>
      </c>
    </row>
    <row r="8" spans="1:29" s="108" customFormat="1" ht="1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30" t="s">
        <v>1681</v>
      </c>
      <c r="Q8" s="3731"/>
      <c r="R8" s="699" t="s">
        <v>14</v>
      </c>
      <c r="S8" s="700">
        <f t="shared" si="0"/>
        <v>100</v>
      </c>
      <c r="T8" s="699" t="s">
        <v>14</v>
      </c>
      <c r="U8" s="700">
        <f t="shared" si="1"/>
        <v>100</v>
      </c>
      <c r="V8" s="699" t="s">
        <v>14</v>
      </c>
      <c r="W8" s="700">
        <f t="shared" si="2"/>
        <v>100</v>
      </c>
      <c r="X8" s="701"/>
      <c r="Y8" s="3730" t="s">
        <v>1681</v>
      </c>
      <c r="Z8" s="3731"/>
      <c r="AA8" s="702">
        <f t="shared" ref="AA8:AA34" si="3">D8/F8</f>
        <v>1</v>
      </c>
      <c r="AB8" s="702">
        <f t="shared" ref="AB8:AB34" si="4">D8/H8</f>
        <v>1</v>
      </c>
      <c r="AC8" s="702">
        <f t="shared" ref="AC8:AC34" si="5">D8/J8</f>
        <v>1</v>
      </c>
    </row>
    <row r="9" spans="1:29" s="108" customFormat="1" ht="14.4">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62" t="s">
        <v>1684</v>
      </c>
      <c r="Q9" s="1341" t="str">
        <f t="shared" ref="Q9:Q14" si="6">B9</f>
        <v>用途</v>
      </c>
      <c r="R9" s="699" t="s">
        <v>14</v>
      </c>
      <c r="S9" s="700">
        <f t="shared" si="0"/>
        <v>100</v>
      </c>
      <c r="T9" s="699" t="s">
        <v>14</v>
      </c>
      <c r="U9" s="700">
        <f t="shared" si="1"/>
        <v>100</v>
      </c>
      <c r="V9" s="699" t="s">
        <v>14</v>
      </c>
      <c r="W9" s="700">
        <f t="shared" si="2"/>
        <v>100</v>
      </c>
      <c r="X9" s="701"/>
      <c r="Y9" s="3674" t="s">
        <v>1685</v>
      </c>
      <c r="Z9" s="52" t="str">
        <f t="shared" ref="Z9:Z14" si="7">Q9</f>
        <v>用途</v>
      </c>
      <c r="AA9" s="702">
        <f t="shared" si="3"/>
        <v>1</v>
      </c>
      <c r="AB9" s="702">
        <f t="shared" si="4"/>
        <v>1</v>
      </c>
      <c r="AC9" s="702">
        <f t="shared" si="5"/>
        <v>1</v>
      </c>
    </row>
    <row r="10" spans="1:29" s="378" customFormat="1" ht="28.8">
      <c r="A10" s="374"/>
      <c r="B10" s="375" t="s">
        <v>1686</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62"/>
      <c r="Q10" s="1341" t="str">
        <f t="shared" si="6"/>
        <v>土地使用年限（年）</v>
      </c>
      <c r="R10" s="699" t="s">
        <v>14</v>
      </c>
      <c r="S10" s="700">
        <f t="shared" si="0"/>
        <v>100</v>
      </c>
      <c r="T10" s="699" t="s">
        <v>14</v>
      </c>
      <c r="U10" s="700">
        <f t="shared" si="1"/>
        <v>100</v>
      </c>
      <c r="V10" s="699" t="s">
        <v>14</v>
      </c>
      <c r="W10" s="700">
        <f t="shared" si="2"/>
        <v>100</v>
      </c>
      <c r="X10" s="701"/>
      <c r="Y10" s="3674"/>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62"/>
      <c r="Q11" s="1341">
        <f t="shared" si="6"/>
        <v>111</v>
      </c>
      <c r="R11" s="699" t="s">
        <v>14</v>
      </c>
      <c r="S11" s="700">
        <f t="shared" si="0"/>
        <v>100</v>
      </c>
      <c r="T11" s="699" t="s">
        <v>14</v>
      </c>
      <c r="U11" s="700">
        <f t="shared" si="1"/>
        <v>100</v>
      </c>
      <c r="V11" s="699" t="s">
        <v>14</v>
      </c>
      <c r="W11" s="700">
        <f t="shared" si="2"/>
        <v>100</v>
      </c>
      <c r="X11" s="701"/>
      <c r="Y11" s="3674"/>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62"/>
      <c r="Q12" s="1341">
        <f t="shared" si="6"/>
        <v>111</v>
      </c>
      <c r="R12" s="699" t="s">
        <v>14</v>
      </c>
      <c r="S12" s="700">
        <f t="shared" si="0"/>
        <v>100</v>
      </c>
      <c r="T12" s="699" t="s">
        <v>14</v>
      </c>
      <c r="U12" s="700">
        <f t="shared" si="1"/>
        <v>100</v>
      </c>
      <c r="V12" s="699" t="s">
        <v>14</v>
      </c>
      <c r="W12" s="700">
        <f t="shared" si="2"/>
        <v>100</v>
      </c>
      <c r="X12" s="701"/>
      <c r="Y12" s="3674"/>
      <c r="Z12" s="52">
        <f t="shared" si="7"/>
        <v>111</v>
      </c>
      <c r="AA12" s="702">
        <f>D12/F12</f>
        <v>1</v>
      </c>
      <c r="AB12" s="702">
        <f>D12/H12</f>
        <v>1</v>
      </c>
      <c r="AC12" s="702">
        <f>D12/J12</f>
        <v>1</v>
      </c>
    </row>
    <row r="13" spans="1:29" ht="15.6"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762"/>
      <c r="Q13" s="1341">
        <f t="shared" si="6"/>
        <v>111</v>
      </c>
      <c r="R13" s="699" t="s">
        <v>14</v>
      </c>
      <c r="S13" s="700">
        <f t="shared" si="0"/>
        <v>100</v>
      </c>
      <c r="T13" s="699" t="s">
        <v>14</v>
      </c>
      <c r="U13" s="700">
        <f t="shared" si="1"/>
        <v>100</v>
      </c>
      <c r="V13" s="699" t="s">
        <v>14</v>
      </c>
      <c r="W13" s="700">
        <f t="shared" si="2"/>
        <v>100</v>
      </c>
      <c r="X13" s="701"/>
      <c r="Y13" s="3674"/>
      <c r="Z13" s="52">
        <f t="shared" si="7"/>
        <v>111</v>
      </c>
      <c r="AA13" s="702">
        <f t="shared" si="3"/>
        <v>1</v>
      </c>
      <c r="AB13" s="702">
        <f t="shared" si="4"/>
        <v>1</v>
      </c>
      <c r="AC13" s="702">
        <f t="shared" si="5"/>
        <v>1</v>
      </c>
    </row>
    <row r="14" spans="1:29" ht="96.6">
      <c r="A14" s="391" t="s">
        <v>1688</v>
      </c>
      <c r="B14" s="61" t="s">
        <v>1831</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64" t="s">
        <v>1689</v>
      </c>
      <c r="Q14" s="1350" t="str">
        <f t="shared" si="6"/>
        <v>交通便捷度</v>
      </c>
      <c r="R14" s="703" t="s">
        <v>14</v>
      </c>
      <c r="S14" s="704">
        <f t="shared" si="0"/>
        <v>100</v>
      </c>
      <c r="T14" s="703" t="s">
        <v>14</v>
      </c>
      <c r="U14" s="704">
        <f t="shared" si="1"/>
        <v>100</v>
      </c>
      <c r="V14" s="703" t="s">
        <v>14</v>
      </c>
      <c r="W14" s="704">
        <f t="shared" si="2"/>
        <v>100</v>
      </c>
      <c r="X14" s="1353"/>
      <c r="Y14" s="3764"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765"/>
      <c r="Q15" s="1350"/>
      <c r="R15" s="703"/>
      <c r="S15" s="704"/>
      <c r="T15" s="703"/>
      <c r="U15" s="704"/>
      <c r="V15" s="703"/>
      <c r="W15" s="704"/>
      <c r="X15" s="1353"/>
      <c r="Y15" s="3765"/>
      <c r="Z15" s="1354"/>
      <c r="AA15" s="1351">
        <v>1</v>
      </c>
      <c r="AB15" s="1351">
        <v>1</v>
      </c>
      <c r="AC15" s="1351">
        <v>1</v>
      </c>
    </row>
    <row r="16" spans="1:29" ht="41.4">
      <c r="A16" s="379"/>
      <c r="B16" s="402" t="s">
        <v>1810</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65"/>
      <c r="Q16" s="1350" t="str">
        <f>B16</f>
        <v>公共配套设施</v>
      </c>
      <c r="R16" s="703" t="s">
        <v>14</v>
      </c>
      <c r="S16" s="704">
        <f>F16</f>
        <v>100</v>
      </c>
      <c r="T16" s="703" t="s">
        <v>14</v>
      </c>
      <c r="U16" s="704">
        <f>H16</f>
        <v>100</v>
      </c>
      <c r="V16" s="703" t="s">
        <v>14</v>
      </c>
      <c r="W16" s="704">
        <f>J16</f>
        <v>100</v>
      </c>
      <c r="X16" s="1353"/>
      <c r="Y16" s="3765"/>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765"/>
      <c r="Q17" s="1350"/>
      <c r="R17" s="703"/>
      <c r="S17" s="704"/>
      <c r="T17" s="703"/>
      <c r="U17" s="704"/>
      <c r="V17" s="703"/>
      <c r="W17" s="704"/>
      <c r="X17" s="1353"/>
      <c r="Y17" s="3765"/>
      <c r="Z17" s="1354"/>
      <c r="AA17" s="1351">
        <v>1</v>
      </c>
      <c r="AB17" s="1351">
        <v>1</v>
      </c>
      <c r="AC17" s="1351">
        <v>1</v>
      </c>
    </row>
    <row r="18" spans="1:29" ht="41.4">
      <c r="A18" s="379"/>
      <c r="B18" s="1129" t="s">
        <v>1811</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65"/>
      <c r="Q18" s="1350" t="str">
        <f>B18</f>
        <v>基础设施水平</v>
      </c>
      <c r="R18" s="703" t="s">
        <v>14</v>
      </c>
      <c r="S18" s="704">
        <f>F18</f>
        <v>100</v>
      </c>
      <c r="T18" s="703" t="s">
        <v>14</v>
      </c>
      <c r="U18" s="704">
        <f>H18</f>
        <v>100</v>
      </c>
      <c r="V18" s="703" t="s">
        <v>14</v>
      </c>
      <c r="W18" s="704">
        <f>J18</f>
        <v>100</v>
      </c>
      <c r="X18" s="1353"/>
      <c r="Y18" s="3765"/>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9"/>
      <c r="M19" s="2713"/>
      <c r="N19" s="2713"/>
      <c r="O19" s="2771"/>
      <c r="P19" s="3765"/>
      <c r="Q19" s="1350"/>
      <c r="R19" s="703"/>
      <c r="S19" s="704"/>
      <c r="T19" s="703"/>
      <c r="U19" s="704"/>
      <c r="V19" s="703"/>
      <c r="W19" s="704"/>
      <c r="X19" s="1353"/>
      <c r="Y19" s="3765"/>
      <c r="Z19" s="1354"/>
      <c r="AA19" s="1351">
        <v>1</v>
      </c>
      <c r="AB19" s="1351">
        <v>1</v>
      </c>
      <c r="AC19" s="1351">
        <v>1</v>
      </c>
    </row>
    <row r="20" spans="1:29" ht="55.2">
      <c r="A20" s="379"/>
      <c r="B20" s="402" t="s">
        <v>1832</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65"/>
      <c r="Q20" s="1350" t="str">
        <f>B20</f>
        <v>自然及人文环境</v>
      </c>
      <c r="R20" s="703" t="s">
        <v>14</v>
      </c>
      <c r="S20" s="704">
        <f>F20</f>
        <v>100</v>
      </c>
      <c r="T20" s="703" t="s">
        <v>14</v>
      </c>
      <c r="U20" s="704">
        <f>H20</f>
        <v>100</v>
      </c>
      <c r="V20" s="703" t="s">
        <v>14</v>
      </c>
      <c r="W20" s="704">
        <f>J20</f>
        <v>100</v>
      </c>
      <c r="X20" s="1353"/>
      <c r="Y20" s="3765"/>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765"/>
      <c r="Q21" s="1350"/>
      <c r="R21" s="703"/>
      <c r="S21" s="704"/>
      <c r="T21" s="703"/>
      <c r="U21" s="704"/>
      <c r="V21" s="703"/>
      <c r="W21" s="704"/>
      <c r="X21" s="1353"/>
      <c r="Y21" s="3765"/>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65"/>
      <c r="Q22" s="1350" t="str">
        <f>B22</f>
        <v>楼层</v>
      </c>
      <c r="R22" s="703" t="s">
        <v>14</v>
      </c>
      <c r="S22" s="704">
        <f>F22</f>
        <v>100</v>
      </c>
      <c r="T22" s="703" t="s">
        <v>14</v>
      </c>
      <c r="U22" s="704">
        <f>H22</f>
        <v>100</v>
      </c>
      <c r="V22" s="703" t="s">
        <v>14</v>
      </c>
      <c r="W22" s="704">
        <f>J22</f>
        <v>100</v>
      </c>
      <c r="X22" s="1353"/>
      <c r="Y22" s="3765"/>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65"/>
      <c r="Q23" s="1350">
        <f>B23</f>
        <v>111</v>
      </c>
      <c r="R23" s="703" t="s">
        <v>14</v>
      </c>
      <c r="S23" s="704">
        <f>F23</f>
        <v>100</v>
      </c>
      <c r="T23" s="703" t="s">
        <v>14</v>
      </c>
      <c r="U23" s="704">
        <f>H23</f>
        <v>100</v>
      </c>
      <c r="V23" s="703" t="s">
        <v>14</v>
      </c>
      <c r="W23" s="704">
        <f>J23</f>
        <v>100</v>
      </c>
      <c r="X23" s="1353"/>
      <c r="Y23" s="3765"/>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65"/>
      <c r="Q24" s="1350">
        <f t="shared" ref="Q24:Q34" si="11">B24</f>
        <v>111</v>
      </c>
      <c r="R24" s="703" t="s">
        <v>14</v>
      </c>
      <c r="S24" s="704">
        <f>F24</f>
        <v>100</v>
      </c>
      <c r="T24" s="703" t="s">
        <v>14</v>
      </c>
      <c r="U24" s="704">
        <f>H24</f>
        <v>100</v>
      </c>
      <c r="V24" s="703" t="s">
        <v>14</v>
      </c>
      <c r="W24" s="704">
        <f>J24</f>
        <v>100</v>
      </c>
      <c r="X24" s="1353"/>
      <c r="Y24" s="3765"/>
      <c r="Z24" s="1354">
        <f>Q24</f>
        <v>111</v>
      </c>
      <c r="AA24" s="1351">
        <f t="shared" si="3"/>
        <v>1</v>
      </c>
      <c r="AB24" s="1351">
        <f t="shared" si="4"/>
        <v>1</v>
      </c>
      <c r="AC24" s="1351">
        <f t="shared" si="5"/>
        <v>1</v>
      </c>
    </row>
    <row r="25" spans="1:29" s="108" customFormat="1" ht="15.6"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765"/>
      <c r="Q25" s="1341">
        <f t="shared" si="11"/>
        <v>111</v>
      </c>
      <c r="R25" s="699" t="s">
        <v>14</v>
      </c>
      <c r="S25" s="700">
        <f>F25</f>
        <v>100</v>
      </c>
      <c r="T25" s="699" t="s">
        <v>14</v>
      </c>
      <c r="U25" s="700">
        <f>H25</f>
        <v>100</v>
      </c>
      <c r="V25" s="699" t="s">
        <v>14</v>
      </c>
      <c r="W25" s="700">
        <f>J25</f>
        <v>100</v>
      </c>
      <c r="X25" s="701"/>
      <c r="Y25" s="3765"/>
      <c r="Z25" s="52">
        <f>Q25</f>
        <v>111</v>
      </c>
      <c r="AA25" s="1351">
        <f>D25/F25</f>
        <v>1</v>
      </c>
      <c r="AB25" s="1351">
        <f>D25/H25</f>
        <v>1</v>
      </c>
      <c r="AC25" s="1351">
        <f>D25/J25</f>
        <v>1</v>
      </c>
    </row>
    <row r="26" spans="1:29" ht="30">
      <c r="A26" s="417" t="s">
        <v>1692</v>
      </c>
      <c r="B26" s="63" t="s">
        <v>1836</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789" t="s">
        <v>1694</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69"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69"/>
      <c r="Q27" s="705" t="str">
        <f t="shared" si="11"/>
        <v>成新率</v>
      </c>
      <c r="R27" s="706" t="s">
        <v>14</v>
      </c>
      <c r="S27" s="707" t="e">
        <f t="shared" si="12"/>
        <v>#N/A</v>
      </c>
      <c r="T27" s="706" t="s">
        <v>14</v>
      </c>
      <c r="U27" s="707" t="e">
        <f t="shared" si="13"/>
        <v>#N/A</v>
      </c>
      <c r="V27" s="706" t="s">
        <v>14</v>
      </c>
      <c r="W27" s="707" t="e">
        <f t="shared" si="14"/>
        <v>#N/A</v>
      </c>
      <c r="X27" s="708"/>
      <c r="Y27" s="3769"/>
      <c r="Z27" s="709"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69"/>
      <c r="Q28" s="1350" t="str">
        <f t="shared" si="11"/>
        <v>物业等级</v>
      </c>
      <c r="R28" s="703" t="s">
        <v>14</v>
      </c>
      <c r="S28" s="704">
        <f t="shared" si="12"/>
        <v>100</v>
      </c>
      <c r="T28" s="703" t="s">
        <v>14</v>
      </c>
      <c r="U28" s="704">
        <f t="shared" si="13"/>
        <v>100</v>
      </c>
      <c r="V28" s="703" t="s">
        <v>14</v>
      </c>
      <c r="W28" s="704">
        <f t="shared" si="14"/>
        <v>100</v>
      </c>
      <c r="X28" s="1353"/>
      <c r="Y28" s="3769"/>
      <c r="Z28" s="1354" t="str">
        <f t="shared" si="15"/>
        <v>物业等级</v>
      </c>
      <c r="AA28" s="1351">
        <f t="shared" si="3"/>
        <v>1</v>
      </c>
      <c r="AB28" s="1351">
        <f t="shared" si="4"/>
        <v>1</v>
      </c>
      <c r="AC28" s="1351">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69"/>
      <c r="Q29" s="1350" t="str">
        <f t="shared" si="11"/>
        <v>有无电梯</v>
      </c>
      <c r="R29" s="703" t="s">
        <v>14</v>
      </c>
      <c r="S29" s="704">
        <f t="shared" si="12"/>
        <v>100</v>
      </c>
      <c r="T29" s="703" t="s">
        <v>14</v>
      </c>
      <c r="U29" s="704">
        <f t="shared" si="13"/>
        <v>100</v>
      </c>
      <c r="V29" s="703" t="s">
        <v>14</v>
      </c>
      <c r="W29" s="704">
        <f t="shared" si="14"/>
        <v>100</v>
      </c>
      <c r="X29" s="1353"/>
      <c r="Y29" s="3769"/>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69"/>
      <c r="Q30" s="1350" t="str">
        <f t="shared" si="11"/>
        <v>建筑面积</v>
      </c>
      <c r="R30" s="703" t="s">
        <v>14</v>
      </c>
      <c r="S30" s="704" t="e">
        <f t="shared" si="12"/>
        <v>#N/A</v>
      </c>
      <c r="T30" s="703" t="s">
        <v>14</v>
      </c>
      <c r="U30" s="704" t="e">
        <f t="shared" si="13"/>
        <v>#N/A</v>
      </c>
      <c r="V30" s="703" t="s">
        <v>14</v>
      </c>
      <c r="W30" s="704" t="e">
        <f t="shared" si="14"/>
        <v>#N/A</v>
      </c>
      <c r="X30" s="1353"/>
      <c r="Y30" s="3769"/>
      <c r="Z30" s="1354" t="str">
        <f t="shared" si="15"/>
        <v>建筑面积</v>
      </c>
      <c r="AA30" s="1351" t="e">
        <f t="shared" si="3"/>
        <v>#N/A</v>
      </c>
      <c r="AB30" s="1351" t="e">
        <f t="shared" si="4"/>
        <v>#N/A</v>
      </c>
      <c r="AC30" s="1351"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69"/>
      <c r="Q31" s="1341" t="str">
        <f t="shared" si="11"/>
        <v>是否封闭</v>
      </c>
      <c r="R31" s="699" t="s">
        <v>14</v>
      </c>
      <c r="S31" s="700">
        <f t="shared" si="12"/>
        <v>100</v>
      </c>
      <c r="T31" s="699" t="s">
        <v>14</v>
      </c>
      <c r="U31" s="700">
        <f t="shared" si="13"/>
        <v>100</v>
      </c>
      <c r="V31" s="699" t="s">
        <v>14</v>
      </c>
      <c r="W31" s="700">
        <f t="shared" si="14"/>
        <v>100</v>
      </c>
      <c r="X31" s="701"/>
      <c r="Y31" s="3769"/>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69" t="s">
        <v>1694</v>
      </c>
      <c r="Q32" s="1350">
        <f t="shared" si="11"/>
        <v>111</v>
      </c>
      <c r="R32" s="703" t="s">
        <v>14</v>
      </c>
      <c r="S32" s="704">
        <f t="shared" si="12"/>
        <v>100</v>
      </c>
      <c r="T32" s="703" t="s">
        <v>14</v>
      </c>
      <c r="U32" s="704">
        <f t="shared" si="13"/>
        <v>100</v>
      </c>
      <c r="V32" s="703" t="s">
        <v>14</v>
      </c>
      <c r="W32" s="704">
        <f t="shared" si="14"/>
        <v>100</v>
      </c>
      <c r="X32" s="1353"/>
      <c r="Y32" s="3769"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69"/>
      <c r="Q33" s="1350">
        <f t="shared" si="11"/>
        <v>111</v>
      </c>
      <c r="R33" s="703" t="s">
        <v>14</v>
      </c>
      <c r="S33" s="704">
        <f t="shared" si="12"/>
        <v>100</v>
      </c>
      <c r="T33" s="703" t="s">
        <v>14</v>
      </c>
      <c r="U33" s="704">
        <f t="shared" si="13"/>
        <v>100</v>
      </c>
      <c r="V33" s="703" t="s">
        <v>14</v>
      </c>
      <c r="W33" s="704">
        <f t="shared" si="14"/>
        <v>100</v>
      </c>
      <c r="X33" s="1353"/>
      <c r="Y33" s="3769"/>
      <c r="Z33" s="1354">
        <f t="shared" si="15"/>
        <v>111</v>
      </c>
      <c r="AA33" s="1351">
        <f t="shared" si="3"/>
        <v>1</v>
      </c>
      <c r="AB33" s="1351">
        <f t="shared" si="4"/>
        <v>1</v>
      </c>
      <c r="AC33" s="1351">
        <f t="shared" si="5"/>
        <v>1</v>
      </c>
    </row>
    <row r="34" spans="1:30" ht="15.6"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769"/>
      <c r="Q34" s="1350">
        <f t="shared" si="11"/>
        <v>111</v>
      </c>
      <c r="R34" s="703" t="s">
        <v>14</v>
      </c>
      <c r="S34" s="704">
        <f t="shared" si="12"/>
        <v>100</v>
      </c>
      <c r="T34" s="703" t="s">
        <v>14</v>
      </c>
      <c r="U34" s="704">
        <f t="shared" si="13"/>
        <v>100</v>
      </c>
      <c r="V34" s="703" t="s">
        <v>14</v>
      </c>
      <c r="W34" s="704">
        <f t="shared" si="14"/>
        <v>100</v>
      </c>
      <c r="X34" s="1353"/>
      <c r="Y34" s="3769"/>
      <c r="Z34" s="1354">
        <f t="shared" si="15"/>
        <v>111</v>
      </c>
      <c r="AA34" s="1351">
        <f t="shared" si="3"/>
        <v>1</v>
      </c>
      <c r="AB34" s="1351">
        <f t="shared" si="4"/>
        <v>1</v>
      </c>
      <c r="AC34" s="1351">
        <f t="shared" si="5"/>
        <v>1</v>
      </c>
    </row>
    <row r="35" spans="1:30" ht="14.4">
      <c r="A35" s="430" t="s">
        <v>1706</v>
      </c>
      <c r="B35" s="431"/>
      <c r="C35" s="1152" t="s">
        <v>0</v>
      </c>
      <c r="D35" s="1153"/>
      <c r="E35" s="1154"/>
      <c r="F35" s="1155"/>
      <c r="G35" s="1156"/>
      <c r="H35" s="1157"/>
      <c r="I35" s="1154"/>
      <c r="J35" s="1157"/>
      <c r="K35" s="712"/>
      <c r="L35" s="2721"/>
      <c r="M35" s="2722"/>
      <c r="N35" s="2713"/>
      <c r="O35" s="2722"/>
      <c r="P35" s="3762" t="str">
        <f>A35</f>
        <v>成交单价（元/平方米）</v>
      </c>
      <c r="Q35" s="3762"/>
      <c r="R35" s="3763">
        <f>E35</f>
        <v>0</v>
      </c>
      <c r="S35" s="3763"/>
      <c r="T35" s="3763">
        <f>G35</f>
        <v>0</v>
      </c>
      <c r="U35" s="3763"/>
      <c r="V35" s="3763">
        <f>I35</f>
        <v>0</v>
      </c>
      <c r="W35" s="3763"/>
      <c r="X35" s="688"/>
      <c r="Y35" s="710"/>
      <c r="Z35" s="688"/>
      <c r="AA35" s="688"/>
      <c r="AB35" s="688"/>
      <c r="AC35" s="688"/>
    </row>
    <row r="36" spans="1:30" ht="15" thickBot="1">
      <c r="A36" s="437" t="s">
        <v>1791</v>
      </c>
      <c r="B36" s="438"/>
      <c r="C36" s="1158" t="e">
        <f>R37</f>
        <v>#DIV/0!</v>
      </c>
      <c r="D36" s="2315" t="s">
        <v>2133</v>
      </c>
      <c r="E36" s="1159" t="e">
        <f>R36</f>
        <v>#DIV/0!</v>
      </c>
      <c r="F36" s="2316"/>
      <c r="G36" s="1158" t="e">
        <f>T36</f>
        <v>#DIV/0!</v>
      </c>
      <c r="H36" s="2316"/>
      <c r="I36" s="1159" t="e">
        <f>V36</f>
        <v>#DIV/0!</v>
      </c>
      <c r="J36" s="2316"/>
      <c r="K36" s="2318">
        <f>F36+H36+J36</f>
        <v>0</v>
      </c>
      <c r="L36" s="2721"/>
      <c r="M36" s="2722"/>
      <c r="N36" s="2713"/>
      <c r="O36" s="2722"/>
      <c r="P36" s="3762" t="str">
        <f>A36</f>
        <v>比较价值（元/平方米）</v>
      </c>
      <c r="Q36" s="3762"/>
      <c r="R36" s="3763" t="e">
        <f>IF(F1="售价",ROUND(PRODUCT(R35,AA7:AA34),0),ROUND(PRODUCT(R35,AA7:AA34),1))</f>
        <v>#DIV/0!</v>
      </c>
      <c r="S36" s="3763"/>
      <c r="T36" s="3763" t="e">
        <f>IF(F1="售价",ROUND(PRODUCT(T35,AB7:AB34),0),ROUND(PRODUCT(T35,AB7:AB34),1))</f>
        <v>#DIV/0!</v>
      </c>
      <c r="U36" s="3763"/>
      <c r="V36" s="3763" t="e">
        <f>IF(F1="售价",ROUND(PRODUCT(V35,AC7:AC34),0),ROUND(PRODUCT(V35,AC7:AC34),1))</f>
        <v>#DIV/0!</v>
      </c>
      <c r="W36" s="3763"/>
      <c r="X36" s="688"/>
      <c r="Y36" s="688"/>
      <c r="Z36" s="688"/>
      <c r="AA36" s="688"/>
      <c r="AB36" s="688"/>
      <c r="AC36" s="688"/>
    </row>
    <row r="37" spans="1:30" ht="15" thickBot="1">
      <c r="A37" s="441" t="s">
        <v>1792</v>
      </c>
      <c r="B37" s="442"/>
      <c r="C37" s="1161" t="e">
        <f>R37</f>
        <v>#DIV/0!</v>
      </c>
      <c r="D37" s="1161"/>
      <c r="E37" s="1161"/>
      <c r="F37" s="1161"/>
      <c r="G37" s="1161"/>
      <c r="H37" s="1161"/>
      <c r="I37" s="1161"/>
      <c r="J37" s="1161"/>
      <c r="K37" s="713"/>
      <c r="L37" s="2721"/>
      <c r="M37" s="2722"/>
      <c r="N37" s="2722"/>
      <c r="O37" s="2722"/>
      <c r="P37" s="3759" t="str">
        <f>A37</f>
        <v>估价对象XX用房的比较价值（楼面单价，元/平方米）</v>
      </c>
      <c r="Q37" s="3760"/>
      <c r="R37" s="3790" t="e">
        <f>IF(F1="售价",ROUND(IF(D36="简单平均",AVERAGE(R36:W36),R36*F36+T36*H36+V36*J36),0),ROUND(IF(D36="简单平均",AVERAGE(R36:V36),R36*F36+T36*H36+V36*J36),1))</f>
        <v>#DIV/0!</v>
      </c>
      <c r="S37" s="3790"/>
      <c r="T37" s="3790"/>
      <c r="U37" s="3790"/>
      <c r="V37" s="3790"/>
      <c r="W37" s="3790"/>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2" t="s">
        <v>1796</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4.4">
      <c r="A46" s="454" t="s">
        <v>1677</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3"/>
      <c r="Q46" s="2738"/>
      <c r="R46" s="2738"/>
      <c r="S46" s="2738"/>
      <c r="T46" s="2738"/>
      <c r="U46" s="2738"/>
      <c r="V46" s="2738"/>
      <c r="W46" s="2738"/>
      <c r="X46" s="2738"/>
      <c r="Y46" s="2738"/>
      <c r="Z46" s="2738"/>
      <c r="AA46" s="2738"/>
      <c r="AB46" s="2738"/>
      <c r="AC46" s="2738"/>
      <c r="AD46" s="2738"/>
    </row>
    <row r="47" spans="1:30" s="108" customFormat="1">
      <c r="A47" s="458"/>
      <c r="B47" s="459"/>
      <c r="C47" s="1181">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 thickBot="1">
      <c r="A48" s="464" t="s">
        <v>1714</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4.4">
      <c r="A49" s="470" t="s">
        <v>1679</v>
      </c>
      <c r="B49" s="459"/>
      <c r="C49" s="471" t="s">
        <v>1774</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ht="14.4">
      <c r="A51" s="476" t="s">
        <v>1717</v>
      </c>
      <c r="B51" s="477" t="s">
        <v>1683</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4.4"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9.4" thickTop="1">
      <c r="A53" s="483"/>
      <c r="B53" s="487" t="s">
        <v>1686</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4.4"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4.4"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4.4"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4.4"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4.4"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4.4"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4.4"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9.4" thickTop="1">
      <c r="A63" s="483"/>
      <c r="B63" s="487" t="s">
        <v>1861</v>
      </c>
      <c r="C63" s="527" t="s">
        <v>1719</v>
      </c>
      <c r="D63" s="527" t="s">
        <v>1720</v>
      </c>
      <c r="E63" s="527" t="s">
        <v>1721</v>
      </c>
      <c r="F63" s="527" t="s">
        <v>1722</v>
      </c>
      <c r="G63" s="527" t="s">
        <v>1723</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 thickTop="1">
      <c r="A65" s="483"/>
      <c r="B65" s="495" t="s">
        <v>1811</v>
      </c>
      <c r="C65" s="608" t="s">
        <v>1797</v>
      </c>
      <c r="D65" s="608" t="s">
        <v>1798</v>
      </c>
      <c r="E65" s="608" t="s">
        <v>1799</v>
      </c>
      <c r="F65" s="608" t="s">
        <v>1800</v>
      </c>
      <c r="G65" s="608" t="s">
        <v>1801</v>
      </c>
      <c r="H65" s="488"/>
      <c r="I65" s="488"/>
      <c r="J65" s="488"/>
      <c r="K65" s="488"/>
      <c r="L65" s="488"/>
      <c r="M65" s="1127"/>
      <c r="N65" s="2751"/>
      <c r="O65" s="2751"/>
      <c r="P65" s="2775"/>
      <c r="Q65" s="2736"/>
      <c r="R65" s="2722"/>
      <c r="S65" s="2722"/>
      <c r="T65" s="2722"/>
      <c r="U65" s="2722"/>
      <c r="V65" s="2722"/>
      <c r="W65" s="2722"/>
      <c r="X65" s="2722"/>
      <c r="Y65" s="2722"/>
      <c r="Z65" s="2722"/>
      <c r="AA65" s="2722"/>
      <c r="AB65" s="2722"/>
      <c r="AC65" s="2722"/>
      <c r="AD65" s="2722"/>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 thickTop="1">
      <c r="A67" s="483"/>
      <c r="B67" s="487" t="s">
        <v>1731</v>
      </c>
      <c r="C67" s="527" t="s">
        <v>1719</v>
      </c>
      <c r="D67" s="527" t="s">
        <v>1720</v>
      </c>
      <c r="E67" s="527" t="s">
        <v>1721</v>
      </c>
      <c r="F67" s="527" t="s">
        <v>1722</v>
      </c>
      <c r="G67" s="527" t="s">
        <v>1723</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 thickTop="1">
      <c r="A69" s="483"/>
      <c r="B69" s="487" t="s">
        <v>1850</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4.4"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4.4"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4.4"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1692</v>
      </c>
      <c r="B77" s="477" t="s">
        <v>1738</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1854</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1862</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4.4"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1864</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4.4"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4.4"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4.4"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4.4"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4.4"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4.4"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4.4"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1865</v>
      </c>
      <c r="B1" s="349"/>
      <c r="C1" s="350" t="s">
        <v>1866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1460</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1462</v>
      </c>
      <c r="B3" s="558" t="e">
        <f>ROUND(IF(D3="",B2*10000/'数据-汇总表'!E3,B2*10000/D3),0)</f>
        <v>#DIV/0!</v>
      </c>
      <c r="C3" s="203" t="s">
        <v>1867</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4.4">
      <c r="A4" s="355" t="s">
        <v>1767</v>
      </c>
      <c r="B4" s="356"/>
      <c r="C4" s="3745" t="s">
        <v>1768</v>
      </c>
      <c r="D4" s="3746"/>
      <c r="E4" s="3747" t="s">
        <v>1769</v>
      </c>
      <c r="F4" s="3748"/>
      <c r="G4" s="3745" t="s">
        <v>1770</v>
      </c>
      <c r="H4" s="3746"/>
      <c r="I4" s="3745" t="s">
        <v>1771</v>
      </c>
      <c r="J4" s="3746"/>
      <c r="K4" s="559" t="s">
        <v>1772</v>
      </c>
      <c r="L4" s="2712"/>
      <c r="M4" s="2713"/>
      <c r="N4" s="2713"/>
      <c r="O4" s="2713"/>
      <c r="P4" s="3749" t="s">
        <v>1773</v>
      </c>
      <c r="Q4" s="3750"/>
      <c r="R4" s="3732" t="s">
        <v>1769</v>
      </c>
      <c r="S4" s="3733"/>
      <c r="T4" s="3732" t="s">
        <v>1770</v>
      </c>
      <c r="U4" s="3733"/>
      <c r="V4" s="3757" t="s">
        <v>1771</v>
      </c>
      <c r="W4" s="3757"/>
      <c r="X4" s="1353"/>
      <c r="Y4" s="3732" t="s">
        <v>1773</v>
      </c>
      <c r="Z4" s="3733"/>
      <c r="AA4" s="3727" t="s">
        <v>1769</v>
      </c>
      <c r="AB4" s="3728" t="s">
        <v>1770</v>
      </c>
      <c r="AC4" s="3727" t="s">
        <v>1771</v>
      </c>
    </row>
    <row r="5" spans="1:30">
      <c r="A5" s="358"/>
      <c r="B5" s="359"/>
      <c r="C5" s="3738" t="s">
        <v>1671</v>
      </c>
      <c r="D5" s="3739"/>
      <c r="E5" s="3736" t="s">
        <v>1672</v>
      </c>
      <c r="F5" s="3737"/>
      <c r="G5" s="3738" t="s">
        <v>1673</v>
      </c>
      <c r="H5" s="3739"/>
      <c r="I5" s="3738" t="s">
        <v>1674</v>
      </c>
      <c r="J5" s="3739"/>
      <c r="K5" s="559"/>
      <c r="L5" s="2712"/>
      <c r="M5" s="2713"/>
      <c r="N5" s="2713"/>
      <c r="O5" s="2713"/>
      <c r="P5" s="3751"/>
      <c r="Q5" s="3752"/>
      <c r="R5" s="3734"/>
      <c r="S5" s="3735"/>
      <c r="T5" s="3734"/>
      <c r="U5" s="3735"/>
      <c r="V5" s="3757"/>
      <c r="W5" s="3757"/>
      <c r="X5" s="1353"/>
      <c r="Y5" s="3734"/>
      <c r="Z5" s="3735"/>
      <c r="AA5" s="3728"/>
      <c r="AB5" s="3728"/>
      <c r="AC5" s="3728"/>
    </row>
    <row r="6" spans="1:30" ht="15" thickBot="1">
      <c r="A6" s="360"/>
      <c r="B6" s="361"/>
      <c r="C6" s="3740" t="s">
        <v>1675</v>
      </c>
      <c r="D6" s="3741"/>
      <c r="E6" s="3742" t="s">
        <v>1675</v>
      </c>
      <c r="F6" s="3743"/>
      <c r="G6" s="3740" t="s">
        <v>1675</v>
      </c>
      <c r="H6" s="3741"/>
      <c r="I6" s="3740" t="s">
        <v>1675</v>
      </c>
      <c r="J6" s="3741"/>
      <c r="K6" s="559" t="s">
        <v>1676</v>
      </c>
      <c r="L6" s="2712"/>
      <c r="M6" s="2713"/>
      <c r="N6" s="2713"/>
      <c r="O6" s="2713"/>
      <c r="P6" s="3753"/>
      <c r="Q6" s="3754"/>
      <c r="R6" s="3734"/>
      <c r="S6" s="3735"/>
      <c r="T6" s="3755"/>
      <c r="U6" s="3756"/>
      <c r="V6" s="3757"/>
      <c r="W6" s="3757"/>
      <c r="X6" s="1353"/>
      <c r="Y6" s="3755"/>
      <c r="Z6" s="3756"/>
      <c r="AA6" s="3729"/>
      <c r="AB6" s="3729"/>
      <c r="AC6" s="3729"/>
    </row>
    <row r="7" spans="1:30" s="108" customFormat="1" ht="15" thickBot="1">
      <c r="A7" s="362" t="s">
        <v>1677</v>
      </c>
      <c r="B7" s="363"/>
      <c r="C7" s="364">
        <f>'数据-取费表'!B2</f>
        <v>45504</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730" t="s">
        <v>1678</v>
      </c>
      <c r="Q7" s="3758"/>
      <c r="R7" s="699" t="s">
        <v>14</v>
      </c>
      <c r="S7" s="700">
        <f t="shared" ref="S7:S15" si="0">F7</f>
        <v>0</v>
      </c>
      <c r="T7" s="699" t="s">
        <v>14</v>
      </c>
      <c r="U7" s="700">
        <f t="shared" ref="U7:U15" si="1">H7</f>
        <v>0</v>
      </c>
      <c r="V7" s="699" t="s">
        <v>14</v>
      </c>
      <c r="W7" s="700">
        <f t="shared" ref="W7:W15" si="2">J7</f>
        <v>0</v>
      </c>
      <c r="X7" s="701"/>
      <c r="Y7" s="3730" t="s">
        <v>1678</v>
      </c>
      <c r="Z7" s="3731"/>
      <c r="AA7" s="702" t="e">
        <f>D7/F7</f>
        <v>#DIV/0!</v>
      </c>
      <c r="AB7" s="702" t="e">
        <f>D7/H7</f>
        <v>#DIV/0!</v>
      </c>
      <c r="AC7" s="702" t="e">
        <f>D7/J7</f>
        <v>#DIV/0!</v>
      </c>
    </row>
    <row r="8" spans="1:30" s="108" customFormat="1" ht="1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30" t="s">
        <v>1681</v>
      </c>
      <c r="Q8" s="3731"/>
      <c r="R8" s="699" t="s">
        <v>14</v>
      </c>
      <c r="S8" s="700">
        <f t="shared" si="0"/>
        <v>0</v>
      </c>
      <c r="T8" s="699" t="s">
        <v>14</v>
      </c>
      <c r="U8" s="700">
        <f t="shared" si="1"/>
        <v>0</v>
      </c>
      <c r="V8" s="699" t="s">
        <v>14</v>
      </c>
      <c r="W8" s="700">
        <f t="shared" si="2"/>
        <v>0</v>
      </c>
      <c r="X8" s="701"/>
      <c r="Y8" s="3730" t="s">
        <v>1681</v>
      </c>
      <c r="Z8" s="3731"/>
      <c r="AA8" s="702" t="e">
        <f t="shared" ref="AA8:AA45" si="3">D8/F8</f>
        <v>#DIV/0!</v>
      </c>
      <c r="AB8" s="702" t="e">
        <f t="shared" ref="AB8:AB45" si="4">D8/H8</f>
        <v>#DIV/0!</v>
      </c>
      <c r="AC8" s="702" t="e">
        <f t="shared" ref="AC8:AC45" si="5">D8/J8</f>
        <v>#DIV/0!</v>
      </c>
    </row>
    <row r="9" spans="1:30" s="108" customFormat="1" ht="14.4">
      <c r="A9" s="369" t="s">
        <v>1682</v>
      </c>
      <c r="B9" s="63" t="s">
        <v>1683</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762" t="s">
        <v>1684</v>
      </c>
      <c r="Q9" s="1341" t="str">
        <f t="shared" ref="Q9:Q15" si="6">B9</f>
        <v>用途</v>
      </c>
      <c r="R9" s="699" t="s">
        <v>14</v>
      </c>
      <c r="S9" s="700">
        <f t="shared" si="0"/>
        <v>100</v>
      </c>
      <c r="T9" s="699" t="s">
        <v>14</v>
      </c>
      <c r="U9" s="700">
        <f t="shared" si="1"/>
        <v>100</v>
      </c>
      <c r="V9" s="699" t="s">
        <v>14</v>
      </c>
      <c r="W9" s="700">
        <f t="shared" si="2"/>
        <v>100</v>
      </c>
      <c r="X9" s="701"/>
      <c r="Y9" s="3674" t="s">
        <v>1685</v>
      </c>
      <c r="Z9" s="52" t="str">
        <f t="shared" ref="Z9:Z15" si="7">Q9</f>
        <v>用途</v>
      </c>
      <c r="AA9" s="702">
        <f t="shared" si="3"/>
        <v>1</v>
      </c>
      <c r="AB9" s="702">
        <f t="shared" si="4"/>
        <v>1</v>
      </c>
      <c r="AC9" s="702">
        <f t="shared" si="5"/>
        <v>1</v>
      </c>
    </row>
    <row r="10" spans="1:30" s="378" customFormat="1" ht="28.8">
      <c r="A10" s="374"/>
      <c r="B10" s="375" t="s">
        <v>1686</v>
      </c>
      <c r="C10" s="383"/>
      <c r="D10" s="127">
        <v>100</v>
      </c>
      <c r="E10" s="416"/>
      <c r="F10" s="127">
        <f>ROUND(100/'数据-取费表'!G16,0)</f>
        <v>112</v>
      </c>
      <c r="G10" s="414"/>
      <c r="H10" s="127">
        <f>ROUND(100/'数据-取费表'!G16,0)</f>
        <v>112</v>
      </c>
      <c r="I10" s="414"/>
      <c r="J10" s="127">
        <f>ROUND(100/'数据-取费表'!G16,0)</f>
        <v>112</v>
      </c>
      <c r="K10" s="620"/>
      <c r="L10" s="2716"/>
      <c r="M10" s="2717"/>
      <c r="N10" s="2717"/>
      <c r="O10" s="2770"/>
      <c r="P10" s="3762"/>
      <c r="Q10" s="1341" t="str">
        <f t="shared" si="6"/>
        <v>土地使用年限（年）</v>
      </c>
      <c r="R10" s="699" t="s">
        <v>14</v>
      </c>
      <c r="S10" s="700">
        <f t="shared" si="0"/>
        <v>112</v>
      </c>
      <c r="T10" s="699" t="s">
        <v>14</v>
      </c>
      <c r="U10" s="700">
        <f t="shared" si="1"/>
        <v>112</v>
      </c>
      <c r="V10" s="699" t="s">
        <v>14</v>
      </c>
      <c r="W10" s="700">
        <f t="shared" si="2"/>
        <v>112</v>
      </c>
      <c r="X10" s="701"/>
      <c r="Y10" s="3674"/>
      <c r="Z10" s="52" t="str">
        <f t="shared" si="7"/>
        <v>土地使用年限（年）</v>
      </c>
      <c r="AA10" s="702">
        <f t="shared" si="3"/>
        <v>0.8928571428571429</v>
      </c>
      <c r="AB10" s="702">
        <f t="shared" si="4"/>
        <v>0.8928571428571429</v>
      </c>
      <c r="AC10" s="702">
        <f t="shared" si="5"/>
        <v>0.8928571428571429</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62"/>
      <c r="Q11" s="1341" t="str">
        <f t="shared" si="6"/>
        <v>容积率</v>
      </c>
      <c r="R11" s="699" t="s">
        <v>14</v>
      </c>
      <c r="S11" s="700" t="e">
        <f t="shared" si="0"/>
        <v>#N/A</v>
      </c>
      <c r="T11" s="699" t="s">
        <v>14</v>
      </c>
      <c r="U11" s="700" t="e">
        <f t="shared" si="1"/>
        <v>#N/A</v>
      </c>
      <c r="V11" s="699" t="s">
        <v>14</v>
      </c>
      <c r="W11" s="700" t="e">
        <f t="shared" si="2"/>
        <v>#N/A</v>
      </c>
      <c r="X11" s="701"/>
      <c r="Y11" s="3674"/>
      <c r="Z11" s="52" t="str">
        <f t="shared" si="7"/>
        <v>容积率</v>
      </c>
      <c r="AA11" s="702" t="e">
        <f t="shared" si="3"/>
        <v>#N/A</v>
      </c>
      <c r="AB11" s="702" t="e">
        <f t="shared" si="4"/>
        <v>#N/A</v>
      </c>
      <c r="AC11" s="702" t="e">
        <f t="shared" si="5"/>
        <v>#N/A</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62"/>
      <c r="Q12" s="1341" t="str">
        <f t="shared" si="6"/>
        <v>配建</v>
      </c>
      <c r="R12" s="699" t="s">
        <v>14</v>
      </c>
      <c r="S12" s="700">
        <f t="shared" si="0"/>
        <v>100</v>
      </c>
      <c r="T12" s="699" t="s">
        <v>14</v>
      </c>
      <c r="U12" s="700">
        <f t="shared" si="1"/>
        <v>100</v>
      </c>
      <c r="V12" s="699" t="s">
        <v>14</v>
      </c>
      <c r="W12" s="700">
        <f t="shared" si="2"/>
        <v>100</v>
      </c>
      <c r="X12" s="701"/>
      <c r="Y12" s="3674"/>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62"/>
      <c r="Q13" s="1341">
        <f t="shared" si="6"/>
        <v>111</v>
      </c>
      <c r="R13" s="699" t="s">
        <v>14</v>
      </c>
      <c r="S13" s="700">
        <f t="shared" si="0"/>
        <v>100</v>
      </c>
      <c r="T13" s="699" t="s">
        <v>14</v>
      </c>
      <c r="U13" s="700">
        <f t="shared" si="1"/>
        <v>100</v>
      </c>
      <c r="V13" s="699" t="s">
        <v>14</v>
      </c>
      <c r="W13" s="700">
        <f t="shared" si="2"/>
        <v>100</v>
      </c>
      <c r="X13" s="701"/>
      <c r="Y13" s="3674"/>
      <c r="Z13" s="52">
        <f t="shared" si="7"/>
        <v>111</v>
      </c>
      <c r="AA13" s="702">
        <f>D13/F13</f>
        <v>1</v>
      </c>
      <c r="AB13" s="702">
        <f>D13/H13</f>
        <v>1</v>
      </c>
      <c r="AC13" s="702">
        <f>D13/J13</f>
        <v>1</v>
      </c>
    </row>
    <row r="14" spans="1:30" ht="15.6"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62"/>
      <c r="Q14" s="1341">
        <f t="shared" si="6"/>
        <v>111</v>
      </c>
      <c r="R14" s="699" t="s">
        <v>14</v>
      </c>
      <c r="S14" s="700">
        <f t="shared" si="0"/>
        <v>100</v>
      </c>
      <c r="T14" s="699" t="s">
        <v>14</v>
      </c>
      <c r="U14" s="700">
        <f t="shared" si="1"/>
        <v>100</v>
      </c>
      <c r="V14" s="699" t="s">
        <v>14</v>
      </c>
      <c r="W14" s="700">
        <f t="shared" si="2"/>
        <v>100</v>
      </c>
      <c r="X14" s="701"/>
      <c r="Y14" s="3674"/>
      <c r="Z14" s="52">
        <f t="shared" si="7"/>
        <v>111</v>
      </c>
      <c r="AA14" s="702">
        <f>D14/F14</f>
        <v>1</v>
      </c>
      <c r="AB14" s="702">
        <f>D14/H14</f>
        <v>1</v>
      </c>
      <c r="AC14" s="702">
        <f>D14/J14</f>
        <v>1</v>
      </c>
    </row>
    <row r="15" spans="1:30" ht="96.6">
      <c r="A15" s="391" t="s">
        <v>1688</v>
      </c>
      <c r="B15" s="61" t="s">
        <v>1255</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64" t="s">
        <v>1689</v>
      </c>
      <c r="Q15" s="1350" t="str">
        <f t="shared" si="6"/>
        <v>居住社区成熟度</v>
      </c>
      <c r="R15" s="703" t="s">
        <v>14</v>
      </c>
      <c r="S15" s="704">
        <f t="shared" si="0"/>
        <v>100</v>
      </c>
      <c r="T15" s="703" t="s">
        <v>14</v>
      </c>
      <c r="U15" s="704">
        <f t="shared" si="1"/>
        <v>100</v>
      </c>
      <c r="V15" s="703" t="s">
        <v>14</v>
      </c>
      <c r="W15" s="704">
        <f t="shared" si="2"/>
        <v>100</v>
      </c>
      <c r="X15" s="1353"/>
      <c r="Y15" s="3764" t="s">
        <v>1689</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9"/>
      <c r="M16" s="2713"/>
      <c r="N16" s="2713"/>
      <c r="O16" s="2771"/>
      <c r="P16" s="3765"/>
      <c r="Q16" s="1350"/>
      <c r="R16" s="703"/>
      <c r="S16" s="704"/>
      <c r="T16" s="703"/>
      <c r="U16" s="704"/>
      <c r="V16" s="703"/>
      <c r="W16" s="704"/>
      <c r="X16" s="1353"/>
      <c r="Y16" s="3765"/>
      <c r="Z16" s="1354"/>
      <c r="AA16" s="1351">
        <v>1</v>
      </c>
      <c r="AB16" s="1351">
        <v>1</v>
      </c>
      <c r="AC16" s="1351">
        <v>1</v>
      </c>
    </row>
    <row r="17" spans="1:29" ht="82.8">
      <c r="A17" s="379"/>
      <c r="B17" s="402" t="s">
        <v>1775</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65"/>
      <c r="Q17" s="1350" t="str">
        <f>B17</f>
        <v>商业繁华度</v>
      </c>
      <c r="R17" s="703" t="s">
        <v>14</v>
      </c>
      <c r="S17" s="704">
        <f>F17</f>
        <v>100</v>
      </c>
      <c r="T17" s="703" t="s">
        <v>14</v>
      </c>
      <c r="U17" s="704">
        <f>H17</f>
        <v>100</v>
      </c>
      <c r="V17" s="703" t="s">
        <v>14</v>
      </c>
      <c r="W17" s="704">
        <f>J17</f>
        <v>100</v>
      </c>
      <c r="X17" s="1353"/>
      <c r="Y17" s="3765"/>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9"/>
      <c r="M18" s="2713"/>
      <c r="N18" s="2713"/>
      <c r="O18" s="2771"/>
      <c r="P18" s="3765"/>
      <c r="Q18" s="1350"/>
      <c r="R18" s="703"/>
      <c r="S18" s="704"/>
      <c r="T18" s="703"/>
      <c r="U18" s="704"/>
      <c r="V18" s="703"/>
      <c r="W18" s="704"/>
      <c r="X18" s="1353"/>
      <c r="Y18" s="3765"/>
      <c r="Z18" s="1354"/>
      <c r="AA18" s="1351">
        <v>1</v>
      </c>
      <c r="AB18" s="1351">
        <v>1</v>
      </c>
      <c r="AC18" s="1351">
        <v>1</v>
      </c>
    </row>
    <row r="19" spans="1:29" ht="82.8">
      <c r="A19" s="379"/>
      <c r="B19" s="402" t="s">
        <v>1809</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65"/>
      <c r="Q19" s="1350" t="str">
        <f>B19</f>
        <v>办公集聚程度</v>
      </c>
      <c r="R19" s="703" t="s">
        <v>14</v>
      </c>
      <c r="S19" s="704">
        <f>F19</f>
        <v>100</v>
      </c>
      <c r="T19" s="703" t="s">
        <v>14</v>
      </c>
      <c r="U19" s="704">
        <f>H19</f>
        <v>100</v>
      </c>
      <c r="V19" s="703" t="s">
        <v>14</v>
      </c>
      <c r="W19" s="704">
        <f>J19</f>
        <v>100</v>
      </c>
      <c r="X19" s="1353"/>
      <c r="Y19" s="3765"/>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9"/>
      <c r="M20" s="2713"/>
      <c r="N20" s="2713"/>
      <c r="O20" s="2771"/>
      <c r="P20" s="3765"/>
      <c r="Q20" s="1350"/>
      <c r="R20" s="703"/>
      <c r="S20" s="704"/>
      <c r="T20" s="703"/>
      <c r="U20" s="704"/>
      <c r="V20" s="703"/>
      <c r="W20" s="704"/>
      <c r="X20" s="1353"/>
      <c r="Y20" s="3765"/>
      <c r="Z20" s="1354"/>
      <c r="AA20" s="1351">
        <v>1</v>
      </c>
      <c r="AB20" s="1351">
        <v>1</v>
      </c>
      <c r="AC20" s="1351">
        <v>1</v>
      </c>
    </row>
    <row r="21" spans="1:29" ht="96.6">
      <c r="A21" s="379"/>
      <c r="B21" s="402" t="s">
        <v>1831</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65"/>
      <c r="Q21" s="1350" t="str">
        <f>B21</f>
        <v>交通便捷度</v>
      </c>
      <c r="R21" s="703" t="s">
        <v>14</v>
      </c>
      <c r="S21" s="704">
        <f>F21</f>
        <v>100</v>
      </c>
      <c r="T21" s="703" t="s">
        <v>14</v>
      </c>
      <c r="U21" s="704">
        <f>H21</f>
        <v>100</v>
      </c>
      <c r="V21" s="703" t="s">
        <v>14</v>
      </c>
      <c r="W21" s="704">
        <f>J21</f>
        <v>100</v>
      </c>
      <c r="X21" s="1353"/>
      <c r="Y21" s="3765"/>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9"/>
      <c r="M22" s="2713"/>
      <c r="N22" s="2713"/>
      <c r="O22" s="2771"/>
      <c r="P22" s="3765"/>
      <c r="Q22" s="1350"/>
      <c r="R22" s="703"/>
      <c r="S22" s="704"/>
      <c r="T22" s="703"/>
      <c r="U22" s="704"/>
      <c r="V22" s="703"/>
      <c r="W22" s="704"/>
      <c r="X22" s="1353"/>
      <c r="Y22" s="3765"/>
      <c r="Z22" s="1354"/>
      <c r="AA22" s="1351">
        <v>1</v>
      </c>
      <c r="AB22" s="1351">
        <v>1</v>
      </c>
      <c r="AC22" s="1351">
        <v>1</v>
      </c>
    </row>
    <row r="23" spans="1:29" ht="28.8">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65"/>
      <c r="Q23" s="1350" t="str">
        <f t="shared" ref="Q23:Q37" si="8">B23</f>
        <v>区域土地利用方向</v>
      </c>
      <c r="R23" s="703" t="s">
        <v>14</v>
      </c>
      <c r="S23" s="704">
        <f>F23</f>
        <v>100</v>
      </c>
      <c r="T23" s="703" t="s">
        <v>14</v>
      </c>
      <c r="U23" s="704">
        <f>H23</f>
        <v>100</v>
      </c>
      <c r="V23" s="703" t="s">
        <v>14</v>
      </c>
      <c r="W23" s="704">
        <f>J23</f>
        <v>100</v>
      </c>
      <c r="X23" s="1353"/>
      <c r="Y23" s="3765"/>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9"/>
      <c r="M24" s="2713"/>
      <c r="N24" s="2713"/>
      <c r="O24" s="2771"/>
      <c r="P24" s="3765"/>
      <c r="Q24" s="1350"/>
      <c r="R24" s="703"/>
      <c r="S24" s="704"/>
      <c r="T24" s="703"/>
      <c r="U24" s="704"/>
      <c r="V24" s="703"/>
      <c r="W24" s="704"/>
      <c r="X24" s="1353"/>
      <c r="Y24" s="3765"/>
      <c r="Z24" s="1354"/>
      <c r="AA24" s="1351"/>
      <c r="AB24" s="1351"/>
      <c r="AC24" s="1351"/>
    </row>
    <row r="25" spans="1:29" ht="55.2">
      <c r="A25" s="358"/>
      <c r="B25" s="1129" t="s">
        <v>1870</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65"/>
      <c r="Q25" s="1350" t="str">
        <f t="shared" si="8"/>
        <v>自然及人文环境状况</v>
      </c>
      <c r="R25" s="703" t="s">
        <v>14</v>
      </c>
      <c r="S25" s="704">
        <f>F25</f>
        <v>100</v>
      </c>
      <c r="T25" s="703" t="s">
        <v>14</v>
      </c>
      <c r="U25" s="704">
        <f>H25</f>
        <v>100</v>
      </c>
      <c r="V25" s="703" t="s">
        <v>14</v>
      </c>
      <c r="W25" s="704">
        <f>J25</f>
        <v>100</v>
      </c>
      <c r="X25" s="1353"/>
      <c r="Y25" s="3765"/>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9"/>
      <c r="M26" s="2713"/>
      <c r="N26" s="2713"/>
      <c r="O26" s="2771"/>
      <c r="P26" s="3765"/>
      <c r="Q26" s="1350"/>
      <c r="R26" s="703"/>
      <c r="S26" s="704"/>
      <c r="T26" s="703"/>
      <c r="U26" s="704"/>
      <c r="V26" s="703"/>
      <c r="W26" s="704"/>
      <c r="X26" s="1353"/>
      <c r="Y26" s="3765"/>
      <c r="Z26" s="1354"/>
      <c r="AA26" s="1351">
        <v>1</v>
      </c>
      <c r="AB26" s="1351">
        <v>1</v>
      </c>
      <c r="AC26" s="1351">
        <v>1</v>
      </c>
    </row>
    <row r="27" spans="1:29" s="108" customFormat="1" ht="41.4">
      <c r="A27" s="597"/>
      <c r="B27" s="1129" t="s">
        <v>1776</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65"/>
      <c r="Q27" s="1341" t="str">
        <f t="shared" si="8"/>
        <v>公共配套设施</v>
      </c>
      <c r="R27" s="699" t="s">
        <v>14</v>
      </c>
      <c r="S27" s="700">
        <f>F27</f>
        <v>100</v>
      </c>
      <c r="T27" s="699" t="s">
        <v>14</v>
      </c>
      <c r="U27" s="700">
        <f>H27</f>
        <v>100</v>
      </c>
      <c r="V27" s="699" t="s">
        <v>14</v>
      </c>
      <c r="W27" s="700">
        <f>J27</f>
        <v>100</v>
      </c>
      <c r="X27" s="701"/>
      <c r="Y27" s="3765"/>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4"/>
      <c r="M28" s="2715"/>
      <c r="N28" s="2715"/>
      <c r="O28" s="2769"/>
      <c r="P28" s="3765"/>
      <c r="Q28" s="1341"/>
      <c r="R28" s="699"/>
      <c r="S28" s="700"/>
      <c r="T28" s="699"/>
      <c r="U28" s="700"/>
      <c r="V28" s="699"/>
      <c r="W28" s="700"/>
      <c r="X28" s="701"/>
      <c r="Y28" s="3765"/>
      <c r="Z28" s="52"/>
      <c r="AA28" s="1351">
        <v>1</v>
      </c>
      <c r="AB28" s="1351">
        <v>1</v>
      </c>
      <c r="AC28" s="1351">
        <v>1</v>
      </c>
    </row>
    <row r="29" spans="1:29" s="108" customFormat="1" ht="41.4">
      <c r="A29" s="597"/>
      <c r="B29" s="1129" t="s">
        <v>1777</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65"/>
      <c r="Q29" s="1341" t="str">
        <f t="shared" ref="Q29" si="9">B29</f>
        <v>基础设施水平</v>
      </c>
      <c r="R29" s="699" t="s">
        <v>14</v>
      </c>
      <c r="S29" s="700">
        <f>F29</f>
        <v>100</v>
      </c>
      <c r="T29" s="699" t="s">
        <v>14</v>
      </c>
      <c r="U29" s="700">
        <f>H29</f>
        <v>100</v>
      </c>
      <c r="V29" s="699" t="s">
        <v>14</v>
      </c>
      <c r="W29" s="700">
        <f>J29</f>
        <v>100</v>
      </c>
      <c r="X29" s="701"/>
      <c r="Y29" s="3765"/>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4"/>
      <c r="M30" s="2715"/>
      <c r="N30" s="2715"/>
      <c r="O30" s="2769"/>
      <c r="P30" s="3765"/>
      <c r="Q30" s="1341"/>
      <c r="R30" s="699"/>
      <c r="S30" s="700"/>
      <c r="T30" s="699"/>
      <c r="U30" s="700"/>
      <c r="V30" s="699"/>
      <c r="W30" s="700"/>
      <c r="X30" s="701"/>
      <c r="Y30" s="3765"/>
      <c r="Z30" s="52"/>
      <c r="AA30" s="1351">
        <v>1</v>
      </c>
      <c r="AB30" s="1351">
        <v>1</v>
      </c>
      <c r="AC30" s="1351">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65"/>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65"/>
      <c r="Z31" s="1354" t="str">
        <f t="shared" ref="Z31:Z45" si="13">Q31</f>
        <v>临街状况</v>
      </c>
      <c r="AA31" s="1351">
        <f t="shared" si="3"/>
        <v>1</v>
      </c>
      <c r="AB31" s="1351">
        <f t="shared" si="4"/>
        <v>1</v>
      </c>
      <c r="AC31" s="1351">
        <f t="shared" si="5"/>
        <v>1</v>
      </c>
    </row>
    <row r="32" spans="1:29" ht="28.8">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65"/>
      <c r="Q32" s="1350" t="str">
        <f t="shared" si="8"/>
        <v>毗邻道路的类型与等级</v>
      </c>
      <c r="R32" s="703" t="s">
        <v>14</v>
      </c>
      <c r="S32" s="704">
        <f t="shared" si="10"/>
        <v>100</v>
      </c>
      <c r="T32" s="703" t="s">
        <v>14</v>
      </c>
      <c r="U32" s="704">
        <f t="shared" si="11"/>
        <v>100</v>
      </c>
      <c r="V32" s="703" t="s">
        <v>14</v>
      </c>
      <c r="W32" s="704">
        <f t="shared" si="12"/>
        <v>100</v>
      </c>
      <c r="X32" s="1353"/>
      <c r="Y32" s="3765"/>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765"/>
      <c r="Q33" s="1350"/>
      <c r="R33" s="703"/>
      <c r="S33" s="704"/>
      <c r="T33" s="703"/>
      <c r="U33" s="704"/>
      <c r="V33" s="703"/>
      <c r="W33" s="704"/>
      <c r="X33" s="1353"/>
      <c r="Y33" s="3765"/>
      <c r="Z33" s="1354"/>
      <c r="AA33" s="1351">
        <v>1</v>
      </c>
      <c r="AB33" s="1351">
        <v>1</v>
      </c>
      <c r="AC33" s="1351">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65"/>
      <c r="Q34" s="1350" t="str">
        <f t="shared" si="8"/>
        <v>土地级别</v>
      </c>
      <c r="R34" s="703" t="s">
        <v>14</v>
      </c>
      <c r="S34" s="704">
        <f t="shared" si="10"/>
        <v>100</v>
      </c>
      <c r="T34" s="703" t="s">
        <v>14</v>
      </c>
      <c r="U34" s="704">
        <f t="shared" si="11"/>
        <v>100</v>
      </c>
      <c r="V34" s="703" t="s">
        <v>14</v>
      </c>
      <c r="W34" s="704">
        <f t="shared" si="12"/>
        <v>100</v>
      </c>
      <c r="X34" s="1353"/>
      <c r="Y34" s="3765"/>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65"/>
      <c r="Q35" s="1350">
        <f t="shared" si="8"/>
        <v>111</v>
      </c>
      <c r="R35" s="703" t="s">
        <v>14</v>
      </c>
      <c r="S35" s="704">
        <f t="shared" si="10"/>
        <v>100</v>
      </c>
      <c r="T35" s="703" t="s">
        <v>14</v>
      </c>
      <c r="U35" s="704">
        <f t="shared" si="11"/>
        <v>100</v>
      </c>
      <c r="V35" s="703" t="s">
        <v>14</v>
      </c>
      <c r="W35" s="704">
        <f t="shared" si="12"/>
        <v>100</v>
      </c>
      <c r="X35" s="1353"/>
      <c r="Y35" s="3765"/>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89" t="s">
        <v>1694</v>
      </c>
      <c r="Q36" s="1350">
        <f t="shared" si="8"/>
        <v>111</v>
      </c>
      <c r="R36" s="703" t="s">
        <v>14</v>
      </c>
      <c r="S36" s="704">
        <f t="shared" si="10"/>
        <v>100</v>
      </c>
      <c r="T36" s="703" t="s">
        <v>14</v>
      </c>
      <c r="U36" s="704">
        <f t="shared" si="11"/>
        <v>100</v>
      </c>
      <c r="V36" s="703" t="s">
        <v>14</v>
      </c>
      <c r="W36" s="704">
        <f t="shared" si="12"/>
        <v>100</v>
      </c>
      <c r="X36" s="1353"/>
      <c r="Y36" s="3769" t="s">
        <v>1694</v>
      </c>
      <c r="Z36" s="1354">
        <f t="shared" si="13"/>
        <v>111</v>
      </c>
      <c r="AA36" s="1351">
        <f t="shared" si="3"/>
        <v>1</v>
      </c>
      <c r="AB36" s="1351">
        <f t="shared" si="4"/>
        <v>1</v>
      </c>
      <c r="AC36" s="1351">
        <f t="shared" si="5"/>
        <v>1</v>
      </c>
    </row>
    <row r="37" spans="1:29" s="422" customFormat="1" ht="15.6"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69"/>
      <c r="Q37" s="1350">
        <f t="shared" si="8"/>
        <v>111</v>
      </c>
      <c r="R37" s="706" t="s">
        <v>14</v>
      </c>
      <c r="S37" s="707">
        <f t="shared" si="10"/>
        <v>100</v>
      </c>
      <c r="T37" s="706" t="s">
        <v>14</v>
      </c>
      <c r="U37" s="707">
        <f t="shared" si="11"/>
        <v>100</v>
      </c>
      <c r="V37" s="706" t="s">
        <v>14</v>
      </c>
      <c r="W37" s="707">
        <f t="shared" si="12"/>
        <v>100</v>
      </c>
      <c r="X37" s="708"/>
      <c r="Y37" s="3769"/>
      <c r="Z37" s="709">
        <f t="shared" si="13"/>
        <v>111</v>
      </c>
      <c r="AA37" s="1351">
        <f t="shared" si="3"/>
        <v>1</v>
      </c>
      <c r="AB37" s="1351">
        <f t="shared" si="4"/>
        <v>1</v>
      </c>
      <c r="AC37" s="1351">
        <f t="shared" si="5"/>
        <v>1</v>
      </c>
    </row>
    <row r="38" spans="1:29" ht="15.6">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69"/>
      <c r="Q38" s="1350" t="str">
        <f>B38</f>
        <v>宗地面积</v>
      </c>
      <c r="R38" s="703" t="s">
        <v>14</v>
      </c>
      <c r="S38" s="704" t="e">
        <f t="shared" si="10"/>
        <v>#N/A</v>
      </c>
      <c r="T38" s="703" t="s">
        <v>14</v>
      </c>
      <c r="U38" s="704" t="e">
        <f t="shared" si="11"/>
        <v>#N/A</v>
      </c>
      <c r="V38" s="703" t="s">
        <v>14</v>
      </c>
      <c r="W38" s="704" t="e">
        <f t="shared" si="12"/>
        <v>#N/A</v>
      </c>
      <c r="X38" s="1353"/>
      <c r="Y38" s="3769"/>
      <c r="Z38" s="1354" t="str">
        <f t="shared" si="13"/>
        <v>宗地面积</v>
      </c>
      <c r="AA38" s="1351" t="e">
        <f t="shared" si="3"/>
        <v>#N/A</v>
      </c>
      <c r="AB38" s="1351" t="e">
        <f t="shared" si="4"/>
        <v>#N/A</v>
      </c>
      <c r="AC38" s="1351" t="e">
        <f t="shared" si="5"/>
        <v>#N/A</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769"/>
      <c r="Q39" s="1350" t="str">
        <f t="shared" ref="Q39:Q45" si="14">B39</f>
        <v>宗地形状</v>
      </c>
      <c r="R39" s="703" t="s">
        <v>14</v>
      </c>
      <c r="S39" s="704">
        <f t="shared" si="10"/>
        <v>100</v>
      </c>
      <c r="T39" s="703" t="s">
        <v>14</v>
      </c>
      <c r="U39" s="704">
        <f t="shared" si="11"/>
        <v>100</v>
      </c>
      <c r="V39" s="703" t="s">
        <v>14</v>
      </c>
      <c r="W39" s="704">
        <f t="shared" si="12"/>
        <v>100</v>
      </c>
      <c r="X39" s="1353"/>
      <c r="Y39" s="3769"/>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769"/>
      <c r="Q40" s="1350" t="str">
        <f t="shared" si="14"/>
        <v>临街宽度及深度</v>
      </c>
      <c r="R40" s="703" t="s">
        <v>14</v>
      </c>
      <c r="S40" s="704">
        <f t="shared" si="10"/>
        <v>100</v>
      </c>
      <c r="T40" s="703" t="s">
        <v>14</v>
      </c>
      <c r="U40" s="704">
        <f t="shared" si="11"/>
        <v>100</v>
      </c>
      <c r="V40" s="703" t="s">
        <v>14</v>
      </c>
      <c r="W40" s="704">
        <f t="shared" si="12"/>
        <v>100</v>
      </c>
      <c r="X40" s="1353"/>
      <c r="Y40" s="3769"/>
      <c r="Z40" s="1354" t="str">
        <f t="shared" si="13"/>
        <v>临街宽度及深度</v>
      </c>
      <c r="AA40" s="1351">
        <f t="shared" si="3"/>
        <v>1</v>
      </c>
      <c r="AB40" s="1351">
        <f t="shared" si="4"/>
        <v>1</v>
      </c>
      <c r="AC40" s="1351">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769"/>
      <c r="Q41" s="1350" t="str">
        <f t="shared" si="14"/>
        <v>宗地开发程度</v>
      </c>
      <c r="R41" s="699" t="s">
        <v>14</v>
      </c>
      <c r="S41" s="700">
        <f t="shared" si="10"/>
        <v>100</v>
      </c>
      <c r="T41" s="699" t="s">
        <v>14</v>
      </c>
      <c r="U41" s="700">
        <f t="shared" si="11"/>
        <v>100</v>
      </c>
      <c r="V41" s="699" t="s">
        <v>14</v>
      </c>
      <c r="W41" s="700">
        <f t="shared" si="12"/>
        <v>100</v>
      </c>
      <c r="X41" s="701"/>
      <c r="Y41" s="3769"/>
      <c r="Z41" s="52" t="str">
        <f t="shared" si="13"/>
        <v>宗地开发程度</v>
      </c>
      <c r="AA41" s="702">
        <f t="shared" si="3"/>
        <v>1</v>
      </c>
      <c r="AB41" s="702">
        <f t="shared" si="4"/>
        <v>1</v>
      </c>
      <c r="AC41" s="702">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769" t="s">
        <v>1694</v>
      </c>
      <c r="Q42" s="1350" t="str">
        <f t="shared" si="14"/>
        <v>工程地质条件</v>
      </c>
      <c r="R42" s="703" t="s">
        <v>14</v>
      </c>
      <c r="S42" s="704">
        <f t="shared" si="10"/>
        <v>100</v>
      </c>
      <c r="T42" s="703" t="s">
        <v>14</v>
      </c>
      <c r="U42" s="704">
        <f t="shared" si="11"/>
        <v>100</v>
      </c>
      <c r="V42" s="703" t="s">
        <v>14</v>
      </c>
      <c r="W42" s="704">
        <f t="shared" si="12"/>
        <v>100</v>
      </c>
      <c r="X42" s="1353"/>
      <c r="Y42" s="3769" t="s">
        <v>1694</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69"/>
      <c r="Q43" s="1350">
        <f t="shared" si="14"/>
        <v>111</v>
      </c>
      <c r="R43" s="703" t="s">
        <v>14</v>
      </c>
      <c r="S43" s="704">
        <f t="shared" si="10"/>
        <v>100</v>
      </c>
      <c r="T43" s="703" t="s">
        <v>14</v>
      </c>
      <c r="U43" s="704">
        <f t="shared" si="11"/>
        <v>100</v>
      </c>
      <c r="V43" s="703" t="s">
        <v>14</v>
      </c>
      <c r="W43" s="704">
        <f t="shared" si="12"/>
        <v>100</v>
      </c>
      <c r="X43" s="1353"/>
      <c r="Y43" s="3769"/>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69"/>
      <c r="Q44" s="1350">
        <f t="shared" si="14"/>
        <v>111</v>
      </c>
      <c r="R44" s="703" t="s">
        <v>14</v>
      </c>
      <c r="S44" s="704">
        <f t="shared" si="10"/>
        <v>100</v>
      </c>
      <c r="T44" s="703" t="s">
        <v>14</v>
      </c>
      <c r="U44" s="704">
        <f t="shared" si="11"/>
        <v>100</v>
      </c>
      <c r="V44" s="703" t="s">
        <v>14</v>
      </c>
      <c r="W44" s="704">
        <f t="shared" si="12"/>
        <v>100</v>
      </c>
      <c r="X44" s="1353"/>
      <c r="Y44" s="3769"/>
      <c r="Z44" s="1354">
        <f t="shared" si="13"/>
        <v>111</v>
      </c>
      <c r="AA44" s="1351">
        <f t="shared" si="3"/>
        <v>1</v>
      </c>
      <c r="AB44" s="1351">
        <f t="shared" si="4"/>
        <v>1</v>
      </c>
      <c r="AC44" s="1351">
        <f t="shared" si="5"/>
        <v>1</v>
      </c>
    </row>
    <row r="45" spans="1:29" s="422" customFormat="1" ht="15.6"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69"/>
      <c r="Q45" s="1350">
        <f t="shared" si="14"/>
        <v>111</v>
      </c>
      <c r="R45" s="706" t="s">
        <v>14</v>
      </c>
      <c r="S45" s="707">
        <f t="shared" si="10"/>
        <v>100</v>
      </c>
      <c r="T45" s="706" t="s">
        <v>14</v>
      </c>
      <c r="U45" s="707">
        <f t="shared" si="11"/>
        <v>100</v>
      </c>
      <c r="V45" s="706" t="s">
        <v>14</v>
      </c>
      <c r="W45" s="707">
        <f t="shared" si="12"/>
        <v>100</v>
      </c>
      <c r="X45" s="708"/>
      <c r="Y45" s="3769"/>
      <c r="Z45" s="709">
        <f t="shared" si="13"/>
        <v>111</v>
      </c>
      <c r="AA45" s="1351">
        <f t="shared" si="3"/>
        <v>1</v>
      </c>
      <c r="AB45" s="1351">
        <f t="shared" si="4"/>
        <v>1</v>
      </c>
      <c r="AC45" s="1351">
        <f t="shared" si="5"/>
        <v>1</v>
      </c>
    </row>
    <row r="46" spans="1:29" ht="14.4">
      <c r="A46" s="430" t="s">
        <v>1842</v>
      </c>
      <c r="B46" s="1980" t="s">
        <v>1877</v>
      </c>
      <c r="C46" s="630" t="s">
        <v>0</v>
      </c>
      <c r="D46" s="432"/>
      <c r="E46" s="433"/>
      <c r="F46" s="434"/>
      <c r="G46" s="435"/>
      <c r="H46" s="436"/>
      <c r="I46" s="433"/>
      <c r="J46" s="436"/>
      <c r="K46" s="712"/>
      <c r="L46" s="2721"/>
      <c r="M46" s="2722"/>
      <c r="N46" s="2713"/>
      <c r="O46" s="2722"/>
      <c r="P46" s="3762" t="str">
        <f>A46</f>
        <v>成交单价</v>
      </c>
      <c r="Q46" s="3762"/>
      <c r="R46" s="3757">
        <f>E46</f>
        <v>0</v>
      </c>
      <c r="S46" s="3757"/>
      <c r="T46" s="3757">
        <f>G46</f>
        <v>0</v>
      </c>
      <c r="U46" s="3757"/>
      <c r="V46" s="3757">
        <f>I46</f>
        <v>0</v>
      </c>
      <c r="W46" s="3757"/>
      <c r="X46" s="688"/>
      <c r="Y46" s="710"/>
      <c r="Z46" s="688"/>
      <c r="AA46" s="688"/>
      <c r="AB46" s="688"/>
      <c r="AC46" s="688"/>
    </row>
    <row r="47" spans="1:29" ht="15" thickBot="1">
      <c r="A47" s="437" t="s">
        <v>1791</v>
      </c>
      <c r="B47" s="631"/>
      <c r="C47" s="440" t="e">
        <f>R48</f>
        <v>#DIV/0!</v>
      </c>
      <c r="D47" s="2315" t="s">
        <v>2133</v>
      </c>
      <c r="E47" s="440" t="e">
        <f>R47</f>
        <v>#DIV/0!</v>
      </c>
      <c r="F47" s="2316"/>
      <c r="G47" s="439" t="e">
        <f>T47</f>
        <v>#DIV/0!</v>
      </c>
      <c r="H47" s="2316"/>
      <c r="I47" s="440" t="e">
        <f>V47</f>
        <v>#DIV/0!</v>
      </c>
      <c r="J47" s="2316"/>
      <c r="K47" s="2318">
        <f>F47+H47+J47</f>
        <v>0</v>
      </c>
      <c r="L47" s="2721"/>
      <c r="M47" s="2722"/>
      <c r="N47" s="2722"/>
      <c r="O47" s="2722"/>
      <c r="P47" s="3762" t="str">
        <f>A47</f>
        <v>比较价值（元/平方米）</v>
      </c>
      <c r="Q47" s="3762"/>
      <c r="R47" s="3791" t="e">
        <f>ROUND(PRODUCT(R46,AA7:AA45),0)</f>
        <v>#DIV/0!</v>
      </c>
      <c r="S47" s="3791"/>
      <c r="T47" s="3791" t="e">
        <f>ROUND(PRODUCT(T46,AB7:AB45),0)</f>
        <v>#DIV/0!</v>
      </c>
      <c r="U47" s="3791"/>
      <c r="V47" s="3791" t="e">
        <f>ROUND(PRODUCT(V46,AC7:AC45),0)</f>
        <v>#DIV/0!</v>
      </c>
      <c r="W47" s="3791"/>
      <c r="X47" s="688"/>
      <c r="Y47" s="688"/>
      <c r="Z47" s="688"/>
      <c r="AA47" s="688"/>
      <c r="AB47" s="688"/>
      <c r="AC47" s="688"/>
    </row>
    <row r="48" spans="1:29" ht="15" thickBot="1">
      <c r="A48" s="441" t="s">
        <v>1878</v>
      </c>
      <c r="B48" s="442"/>
      <c r="C48" s="443" t="e">
        <f>R48</f>
        <v>#DIV/0!</v>
      </c>
      <c r="D48" s="443"/>
      <c r="E48" s="443"/>
      <c r="F48" s="443"/>
      <c r="G48" s="443"/>
      <c r="H48" s="443"/>
      <c r="I48" s="443"/>
      <c r="J48" s="443"/>
      <c r="K48" s="713"/>
      <c r="L48" s="2721"/>
      <c r="M48" s="2722"/>
      <c r="N48" s="2722"/>
      <c r="O48" s="2722"/>
      <c r="P48" s="3759" t="str">
        <f>A48</f>
        <v>估价对象XX用房的比较价值（楼面单价，元/平方米）</v>
      </c>
      <c r="Q48" s="3760"/>
      <c r="R48" s="3792" t="e">
        <f>ROUND(IF(D47="简单平均",AVERAGE(R47:W47),R47*F47+T47*H47+V47*J47),0)</f>
        <v>#DIV/0!</v>
      </c>
      <c r="S48" s="3792"/>
      <c r="T48" s="3792"/>
      <c r="U48" s="3792"/>
      <c r="V48" s="3792"/>
      <c r="W48" s="3792"/>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4.4"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1879</v>
      </c>
      <c r="B55" s="633" t="s">
        <v>1880</v>
      </c>
      <c r="C55" s="1981" t="s">
        <v>1881</v>
      </c>
      <c r="D55" s="1982" t="s">
        <v>1882</v>
      </c>
      <c r="E55" s="634" t="s">
        <v>1883</v>
      </c>
      <c r="F55" s="888" t="s">
        <v>1884</v>
      </c>
      <c r="G55" s="3745" t="s">
        <v>1885</v>
      </c>
      <c r="H55" s="3793"/>
      <c r="I55" s="135" t="s">
        <v>1886</v>
      </c>
      <c r="J55" s="1983">
        <f>项目基本情况!F35</f>
        <v>0</v>
      </c>
      <c r="K55" s="1984" t="s">
        <v>1887</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1888</v>
      </c>
      <c r="B56" s="637" t="e">
        <f>C48</f>
        <v>#DIV/0!</v>
      </c>
      <c r="C56" s="638">
        <v>1</v>
      </c>
      <c r="D56" s="942">
        <v>1</v>
      </c>
      <c r="E56" s="638">
        <f>'数据-汇总表'!E8+'数据-汇总表'!E9</f>
        <v>521.56999999999994</v>
      </c>
      <c r="F56" s="884" t="e">
        <f t="shared" ref="F56:F64" si="15">ROUND(B56*E56/10000,0)</f>
        <v>#DIV/0!</v>
      </c>
      <c r="G56" s="3744"/>
      <c r="H56" s="3762"/>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1889</v>
      </c>
      <c r="B57" s="218" t="e">
        <f>ROUND($C$48*C57*D57,0)</f>
        <v>#DIV/0!</v>
      </c>
      <c r="C57" s="171">
        <f t="shared" ref="C57:C64" si="16">IF($C$55="北京市系数",I57,J57)</f>
        <v>0.6</v>
      </c>
      <c r="D57" s="943">
        <v>0.25</v>
      </c>
      <c r="E57" s="642"/>
      <c r="F57" s="884" t="e">
        <f t="shared" si="15"/>
        <v>#DIV/0!</v>
      </c>
      <c r="G57" s="3003" t="s">
        <v>1890</v>
      </c>
      <c r="H57" s="885" t="str">
        <f>项目基本情况!B37</f>
        <v>七级</v>
      </c>
      <c r="I57" s="889">
        <f>SUMIF(修正!A57:A68,H57,修正!B57:B68)</f>
        <v>0.6</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1891</v>
      </c>
      <c r="B58" s="218" t="e">
        <f t="shared" ref="B58:B64" si="17">ROUND($C$48*C58*D58,0)</f>
        <v>#DIV/0!</v>
      </c>
      <c r="C58" s="171">
        <f t="shared" si="16"/>
        <v>0.3</v>
      </c>
      <c r="D58" s="943">
        <v>0.25</v>
      </c>
      <c r="E58" s="642"/>
      <c r="F58" s="884" t="e">
        <f t="shared" si="15"/>
        <v>#DIV/0!</v>
      </c>
      <c r="G58" s="3004"/>
      <c r="H58" s="885" t="str">
        <f>项目基本情况!B37</f>
        <v>七级</v>
      </c>
      <c r="I58" s="889">
        <f>SUMIF(修正!A57:A68,H58,修正!C57:C68)</f>
        <v>0.3</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1892</v>
      </c>
      <c r="B59" s="218" t="e">
        <f t="shared" si="17"/>
        <v>#DIV/0!</v>
      </c>
      <c r="C59" s="171">
        <f t="shared" si="16"/>
        <v>0.25</v>
      </c>
      <c r="D59" s="943">
        <v>0.25</v>
      </c>
      <c r="E59" s="642"/>
      <c r="F59" s="884" t="e">
        <f t="shared" si="15"/>
        <v>#DIV/0!</v>
      </c>
      <c r="G59" s="3004"/>
      <c r="H59" s="885" t="str">
        <f>项目基本情况!B37</f>
        <v>七级</v>
      </c>
      <c r="I59" s="889">
        <f>SUMIF(修正!A57:A68,H59,修正!D57:D68)</f>
        <v>0.25</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1893</v>
      </c>
      <c r="B60" s="218" t="e">
        <f t="shared" si="17"/>
        <v>#DIV/0!</v>
      </c>
      <c r="C60" s="171">
        <f t="shared" si="16"/>
        <v>0</v>
      </c>
      <c r="D60" s="943">
        <v>0.25</v>
      </c>
      <c r="E60" s="217">
        <f>'数据-汇总表'!E11</f>
        <v>0</v>
      </c>
      <c r="F60" s="884" t="e">
        <f t="shared" si="15"/>
        <v>#DIV/0!</v>
      </c>
      <c r="G60" s="1985" t="s">
        <v>1894</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1895</v>
      </c>
      <c r="B61" s="218" t="e">
        <f t="shared" si="17"/>
        <v>#DIV/0!</v>
      </c>
      <c r="C61" s="171">
        <f t="shared" si="16"/>
        <v>0</v>
      </c>
      <c r="D61" s="943">
        <v>0.25</v>
      </c>
      <c r="E61" s="217">
        <f>'数据-汇总表'!E12</f>
        <v>0</v>
      </c>
      <c r="F61" s="884" t="e">
        <f t="shared" si="15"/>
        <v>#DIV/0!</v>
      </c>
      <c r="G61" s="890" t="s">
        <v>1896</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1897</v>
      </c>
      <c r="B62" s="218" t="e">
        <f t="shared" si="17"/>
        <v>#DIV/0!</v>
      </c>
      <c r="C62" s="171">
        <f t="shared" si="16"/>
        <v>0</v>
      </c>
      <c r="D62" s="943">
        <v>0.25</v>
      </c>
      <c r="E62" s="217">
        <f>'数据-汇总表'!E13</f>
        <v>0</v>
      </c>
      <c r="F62" s="884" t="e">
        <f t="shared" si="15"/>
        <v>#DIV/0!</v>
      </c>
      <c r="G62" s="890" t="s">
        <v>1898</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1899</v>
      </c>
      <c r="B63" s="218" t="e">
        <f t="shared" si="17"/>
        <v>#DIV/0!</v>
      </c>
      <c r="C63" s="171">
        <f t="shared" si="16"/>
        <v>0.15</v>
      </c>
      <c r="D63" s="943">
        <v>0.25</v>
      </c>
      <c r="E63" s="217">
        <f>'数据-汇总表'!E14</f>
        <v>0</v>
      </c>
      <c r="F63" s="884" t="e">
        <f t="shared" si="15"/>
        <v>#DIV/0!</v>
      </c>
      <c r="G63" s="1985" t="s">
        <v>1890</v>
      </c>
      <c r="H63" s="885" t="str">
        <f>项目基本情况!B37</f>
        <v>七级</v>
      </c>
      <c r="I63" s="889">
        <f>SUMIF(修正!A57:A68,H63,修正!G57:G68)</f>
        <v>0.15</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4.4" thickBot="1">
      <c r="A64" s="641" t="s">
        <v>1900</v>
      </c>
      <c r="B64" s="218" t="e">
        <f t="shared" si="17"/>
        <v>#DIV/0!</v>
      </c>
      <c r="C64" s="171">
        <f t="shared" si="16"/>
        <v>0</v>
      </c>
      <c r="D64" s="943">
        <v>0.25</v>
      </c>
      <c r="E64" s="217">
        <f>'数据-汇总表'!E15</f>
        <v>0</v>
      </c>
      <c r="F64" s="884" t="e">
        <f t="shared" si="15"/>
        <v>#DIV/0!</v>
      </c>
      <c r="G64" s="1986" t="s">
        <v>1894</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thickBot="1">
      <c r="A65" s="643" t="s">
        <v>1901</v>
      </c>
      <c r="B65" s="644" t="s">
        <v>22</v>
      </c>
      <c r="C65" s="644" t="s">
        <v>23</v>
      </c>
      <c r="D65" s="644" t="s">
        <v>392</v>
      </c>
      <c r="E65" s="644">
        <f>IF(B46="楼面地价",SUM(E56:E64),'数据-汇总表'!D3)</f>
        <v>521.56999999999994</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22"/>
      <c r="Q67" s="2722"/>
      <c r="R67" s="2722"/>
      <c r="S67" s="2722"/>
      <c r="T67" s="2722"/>
      <c r="U67" s="2722"/>
      <c r="V67" s="2722"/>
      <c r="W67" s="2722"/>
      <c r="X67" s="2722"/>
      <c r="Y67" s="2722"/>
      <c r="Z67" s="2722"/>
      <c r="AA67" s="2722"/>
      <c r="AB67" s="2722"/>
      <c r="AC67" s="2722"/>
    </row>
    <row r="68" spans="1:29" ht="22.2" thickBot="1">
      <c r="A68" s="692" t="s">
        <v>1796</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4.4">
      <c r="A69" s="1987" t="s">
        <v>1902</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3"/>
      <c r="Q69" s="2738"/>
      <c r="R69" s="2738"/>
      <c r="S69" s="2738"/>
      <c r="T69" s="2738"/>
      <c r="U69" s="2738"/>
      <c r="V69" s="2738"/>
      <c r="W69" s="2738"/>
      <c r="X69" s="2738"/>
      <c r="Y69" s="2738"/>
      <c r="Z69" s="2738"/>
      <c r="AA69" s="2738"/>
      <c r="AB69" s="2738"/>
      <c r="AC69" s="2738"/>
    </row>
    <row r="70" spans="1:29" s="108" customFormat="1" ht="30" customHeight="1">
      <c r="A70" s="1988"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6"/>
      <c r="Q70" s="2658"/>
      <c r="R70" s="2658"/>
      <c r="S70" s="2658"/>
      <c r="T70" s="2658"/>
      <c r="U70" s="2658"/>
      <c r="V70" s="2658"/>
      <c r="W70" s="2658"/>
      <c r="X70" s="2658"/>
      <c r="Y70" s="2658"/>
      <c r="Z70" s="2658"/>
      <c r="AA70" s="2658"/>
      <c r="AB70" s="2658"/>
      <c r="AC70" s="2658"/>
    </row>
    <row r="71" spans="1:29" s="108" customFormat="1" ht="15" thickBot="1">
      <c r="A71" s="464" t="s">
        <v>1714</v>
      </c>
      <c r="B71" s="465"/>
      <c r="C71" s="466"/>
      <c r="D71" s="467"/>
      <c r="E71" s="467"/>
      <c r="F71" s="467"/>
      <c r="G71" s="467"/>
      <c r="H71" s="467"/>
      <c r="I71" s="467"/>
      <c r="J71" s="467"/>
      <c r="K71" s="467"/>
      <c r="L71" s="467"/>
      <c r="M71" s="468"/>
      <c r="N71" s="467"/>
      <c r="O71" s="941"/>
      <c r="P71" s="2736"/>
      <c r="Q71" s="2736"/>
      <c r="R71" s="2658"/>
      <c r="S71" s="2658"/>
      <c r="T71" s="2658"/>
      <c r="U71" s="2658"/>
      <c r="V71" s="2658"/>
      <c r="W71" s="2658"/>
      <c r="X71" s="2658"/>
      <c r="Y71" s="2658"/>
      <c r="Z71" s="2658"/>
      <c r="AA71" s="2658"/>
      <c r="AB71" s="2658"/>
      <c r="AC71" s="2658"/>
    </row>
    <row r="72" spans="1:29" s="108" customFormat="1" ht="14.4">
      <c r="A72" s="470" t="s">
        <v>1679</v>
      </c>
      <c r="B72" s="459"/>
      <c r="C72" s="471" t="s">
        <v>1774</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4.4"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ht="14.4">
      <c r="A74" s="476" t="s">
        <v>1717</v>
      </c>
      <c r="B74" s="477" t="s">
        <v>1683</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4.4"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9.4" thickTop="1">
      <c r="A76" s="483"/>
      <c r="B76" s="487" t="s">
        <v>1686</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4.4"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4.4"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4.4"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4.4"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4.4"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4.4"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4.4"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ht="14.4">
      <c r="A87" s="476" t="s">
        <v>1688</v>
      </c>
      <c r="B87" s="477" t="s">
        <v>1718</v>
      </c>
      <c r="C87" s="522" t="s">
        <v>1719</v>
      </c>
      <c r="D87" s="522" t="s">
        <v>1720</v>
      </c>
      <c r="E87" s="522" t="s">
        <v>1721</v>
      </c>
      <c r="F87" s="522" t="s">
        <v>1722</v>
      </c>
      <c r="G87" s="522" t="s">
        <v>1723</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 thickTop="1">
      <c r="A89" s="483"/>
      <c r="B89" s="487" t="s">
        <v>1904</v>
      </c>
      <c r="C89" s="527" t="s">
        <v>1719</v>
      </c>
      <c r="D89" s="527" t="s">
        <v>1720</v>
      </c>
      <c r="E89" s="527" t="s">
        <v>1721</v>
      </c>
      <c r="F89" s="527" t="s">
        <v>1722</v>
      </c>
      <c r="G89" s="527" t="s">
        <v>1723</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 thickTop="1">
      <c r="A91" s="483"/>
      <c r="B91" s="487" t="s">
        <v>1819</v>
      </c>
      <c r="C91" s="527" t="s">
        <v>1719</v>
      </c>
      <c r="D91" s="527" t="s">
        <v>1720</v>
      </c>
      <c r="E91" s="527" t="s">
        <v>1721</v>
      </c>
      <c r="F91" s="527" t="s">
        <v>1722</v>
      </c>
      <c r="G91" s="527" t="s">
        <v>1723</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 thickTop="1">
      <c r="A93" s="483"/>
      <c r="B93" s="487" t="s">
        <v>1724</v>
      </c>
      <c r="C93" s="527" t="s">
        <v>1719</v>
      </c>
      <c r="D93" s="527" t="s">
        <v>1720</v>
      </c>
      <c r="E93" s="527" t="s">
        <v>1721</v>
      </c>
      <c r="F93" s="527" t="s">
        <v>1722</v>
      </c>
      <c r="G93" s="527" t="s">
        <v>1723</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29.4" thickTop="1">
      <c r="A95" s="528"/>
      <c r="B95" s="487" t="s">
        <v>1905</v>
      </c>
      <c r="C95" s="527" t="s">
        <v>1719</v>
      </c>
      <c r="D95" s="527" t="s">
        <v>1720</v>
      </c>
      <c r="E95" s="527" t="s">
        <v>1721</v>
      </c>
      <c r="F95" s="527" t="s">
        <v>1722</v>
      </c>
      <c r="G95" s="527" t="s">
        <v>1723</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9.4" thickTop="1">
      <c r="A97" s="528"/>
      <c r="B97" s="487" t="s">
        <v>1906</v>
      </c>
      <c r="C97" s="522" t="s">
        <v>1719</v>
      </c>
      <c r="D97" s="522" t="s">
        <v>1720</v>
      </c>
      <c r="E97" s="522" t="s">
        <v>1721</v>
      </c>
      <c r="F97" s="522" t="s">
        <v>1722</v>
      </c>
      <c r="G97" s="522" t="s">
        <v>1723</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 thickTop="1">
      <c r="A99" s="502"/>
      <c r="B99" s="487" t="s">
        <v>1776</v>
      </c>
      <c r="C99" s="522" t="s">
        <v>1719</v>
      </c>
      <c r="D99" s="522" t="s">
        <v>1720</v>
      </c>
      <c r="E99" s="522" t="s">
        <v>1721</v>
      </c>
      <c r="F99" s="522" t="s">
        <v>1722</v>
      </c>
      <c r="G99" s="522" t="s">
        <v>1723</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 thickTop="1">
      <c r="A101" s="502"/>
      <c r="B101" s="495" t="s">
        <v>1777</v>
      </c>
      <c r="C101" s="608" t="s">
        <v>1797</v>
      </c>
      <c r="D101" s="608" t="s">
        <v>1798</v>
      </c>
      <c r="E101" s="608" t="s">
        <v>1799</v>
      </c>
      <c r="F101" s="608" t="s">
        <v>1800</v>
      </c>
      <c r="G101" s="608" t="s">
        <v>1801</v>
      </c>
      <c r="H101" s="549"/>
      <c r="I101" s="549"/>
      <c r="J101" s="549"/>
      <c r="K101" s="549"/>
      <c r="L101" s="549"/>
      <c r="M101" s="1130"/>
      <c r="N101" s="2752"/>
      <c r="O101" s="2752"/>
      <c r="P101" s="2776"/>
      <c r="Q101" s="2743"/>
      <c r="R101" s="2744"/>
      <c r="S101" s="2744"/>
      <c r="T101" s="2744"/>
      <c r="U101" s="2744"/>
      <c r="V101" s="2744"/>
      <c r="W101" s="2744"/>
      <c r="X101" s="2744"/>
      <c r="Y101" s="2744"/>
      <c r="Z101" s="2744"/>
      <c r="AA101" s="2744"/>
      <c r="AB101" s="2744"/>
      <c r="AC101" s="2744"/>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0"/>
      <c r="N102" s="2752"/>
      <c r="O102" s="2752"/>
      <c r="P102" s="2776"/>
      <c r="Q102" s="2743"/>
      <c r="R102" s="2744"/>
      <c r="S102" s="2744"/>
      <c r="T102" s="2744"/>
      <c r="U102" s="2744"/>
      <c r="V102" s="2744"/>
      <c r="W102" s="2744"/>
      <c r="X102" s="2744"/>
      <c r="Y102" s="2744"/>
      <c r="Z102" s="2744"/>
      <c r="AA102" s="2744"/>
      <c r="AB102" s="2744"/>
      <c r="AC102" s="2744"/>
    </row>
    <row r="103" spans="1:29" ht="15" thickTop="1">
      <c r="A103" s="483"/>
      <c r="B103" s="487" t="str">
        <f>B31</f>
        <v>临街状况</v>
      </c>
      <c r="C103" s="488" t="s">
        <v>1907</v>
      </c>
      <c r="D103" s="488" t="s">
        <v>1908</v>
      </c>
      <c r="E103" s="488" t="s">
        <v>1909</v>
      </c>
      <c r="F103" s="488" t="s">
        <v>1910</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3"/>
      <c r="B105" s="487" t="s">
        <v>1813</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3"/>
      <c r="B107" s="487" t="s">
        <v>1871</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4.4"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4.4"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4.4"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4.4"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4.4"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ht="14.4">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4.4"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1912</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1913</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1914</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1915</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4.4"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4.4"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4.4"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4.4"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4.4"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1865</v>
      </c>
      <c r="B1" s="349"/>
      <c r="C1" s="350" t="s">
        <v>1916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1460</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1462</v>
      </c>
      <c r="B3" s="558" t="e">
        <f>ROUND(IF(D3="",B2*10000/'数据-汇总表'!E3,B2*10000/D3),0)</f>
        <v>#DIV/0!</v>
      </c>
      <c r="C3" s="203" t="s">
        <v>1867</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4.4">
      <c r="A4" s="355" t="s">
        <v>1767</v>
      </c>
      <c r="B4" s="356"/>
      <c r="C4" s="3745" t="s">
        <v>1768</v>
      </c>
      <c r="D4" s="3746"/>
      <c r="E4" s="3747" t="s">
        <v>1769</v>
      </c>
      <c r="F4" s="3748"/>
      <c r="G4" s="3745" t="s">
        <v>1770</v>
      </c>
      <c r="H4" s="3746"/>
      <c r="I4" s="3745" t="s">
        <v>1771</v>
      </c>
      <c r="J4" s="3746"/>
      <c r="K4" s="559" t="s">
        <v>1772</v>
      </c>
      <c r="L4" s="2712"/>
      <c r="M4" s="2713"/>
      <c r="N4" s="2713"/>
      <c r="O4" s="2713"/>
      <c r="P4" s="3749" t="s">
        <v>1773</v>
      </c>
      <c r="Q4" s="3750"/>
      <c r="R4" s="3732" t="s">
        <v>1769</v>
      </c>
      <c r="S4" s="3733"/>
      <c r="T4" s="3732" t="s">
        <v>1770</v>
      </c>
      <c r="U4" s="3733"/>
      <c r="V4" s="3757" t="s">
        <v>1771</v>
      </c>
      <c r="W4" s="3757"/>
      <c r="X4" s="1353"/>
      <c r="Y4" s="3732" t="s">
        <v>1773</v>
      </c>
      <c r="Z4" s="3733"/>
      <c r="AA4" s="3727" t="s">
        <v>1769</v>
      </c>
      <c r="AB4" s="3728" t="s">
        <v>1770</v>
      </c>
      <c r="AC4" s="3727" t="s">
        <v>1771</v>
      </c>
    </row>
    <row r="5" spans="1:29">
      <c r="A5" s="358"/>
      <c r="B5" s="359"/>
      <c r="C5" s="3738" t="s">
        <v>1671</v>
      </c>
      <c r="D5" s="3739"/>
      <c r="E5" s="3736" t="s">
        <v>1672</v>
      </c>
      <c r="F5" s="3737"/>
      <c r="G5" s="3738" t="s">
        <v>1673</v>
      </c>
      <c r="H5" s="3739"/>
      <c r="I5" s="3738" t="s">
        <v>1674</v>
      </c>
      <c r="J5" s="3739"/>
      <c r="K5" s="559"/>
      <c r="L5" s="2712"/>
      <c r="M5" s="2713"/>
      <c r="N5" s="2713"/>
      <c r="O5" s="2713"/>
      <c r="P5" s="3751"/>
      <c r="Q5" s="3752"/>
      <c r="R5" s="3734"/>
      <c r="S5" s="3735"/>
      <c r="T5" s="3734"/>
      <c r="U5" s="3735"/>
      <c r="V5" s="3757"/>
      <c r="W5" s="3757"/>
      <c r="X5" s="1353"/>
      <c r="Y5" s="3734"/>
      <c r="Z5" s="3735"/>
      <c r="AA5" s="3728"/>
      <c r="AB5" s="3728"/>
      <c r="AC5" s="3728"/>
    </row>
    <row r="6" spans="1:29" ht="15" thickBot="1">
      <c r="A6" s="360"/>
      <c r="B6" s="361"/>
      <c r="C6" s="3794" t="s">
        <v>1917</v>
      </c>
      <c r="D6" s="3795"/>
      <c r="E6" s="3796" t="s">
        <v>1917</v>
      </c>
      <c r="F6" s="3797"/>
      <c r="G6" s="3794" t="s">
        <v>1917</v>
      </c>
      <c r="H6" s="3795"/>
      <c r="I6" s="3794" t="s">
        <v>1917</v>
      </c>
      <c r="J6" s="3795"/>
      <c r="K6" s="559" t="s">
        <v>1676</v>
      </c>
      <c r="L6" s="2712"/>
      <c r="M6" s="2713"/>
      <c r="N6" s="2713"/>
      <c r="O6" s="2713"/>
      <c r="P6" s="3753"/>
      <c r="Q6" s="3754"/>
      <c r="R6" s="3734"/>
      <c r="S6" s="3735"/>
      <c r="T6" s="3755"/>
      <c r="U6" s="3756"/>
      <c r="V6" s="3757"/>
      <c r="W6" s="3757"/>
      <c r="X6" s="1353"/>
      <c r="Y6" s="3755"/>
      <c r="Z6" s="3756"/>
      <c r="AA6" s="3729"/>
      <c r="AB6" s="3729"/>
      <c r="AC6" s="3729"/>
    </row>
    <row r="7" spans="1:29" s="108" customFormat="1" ht="15" thickBot="1">
      <c r="A7" s="362" t="s">
        <v>1677</v>
      </c>
      <c r="B7" s="363"/>
      <c r="C7" s="364">
        <f>'数据-取费表'!B2</f>
        <v>45504</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730" t="s">
        <v>1678</v>
      </c>
      <c r="Q7" s="3758"/>
      <c r="R7" s="699" t="s">
        <v>14</v>
      </c>
      <c r="S7" s="700">
        <f t="shared" ref="S7:S15" si="0">F7</f>
        <v>0</v>
      </c>
      <c r="T7" s="699" t="s">
        <v>14</v>
      </c>
      <c r="U7" s="700">
        <f t="shared" ref="U7:U15" si="1">H7</f>
        <v>0</v>
      </c>
      <c r="V7" s="699" t="s">
        <v>14</v>
      </c>
      <c r="W7" s="700">
        <f t="shared" ref="W7:W15" si="2">J7</f>
        <v>0</v>
      </c>
      <c r="X7" s="701"/>
      <c r="Y7" s="3730" t="s">
        <v>1678</v>
      </c>
      <c r="Z7" s="3731"/>
      <c r="AA7" s="702" t="e">
        <f>D7/F7</f>
        <v>#DIV/0!</v>
      </c>
      <c r="AB7" s="702" t="e">
        <f>D7/H7</f>
        <v>#DIV/0!</v>
      </c>
      <c r="AC7" s="702" t="e">
        <f>D7/J7</f>
        <v>#DIV/0!</v>
      </c>
    </row>
    <row r="8" spans="1:29" s="108" customFormat="1" ht="1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30" t="s">
        <v>1681</v>
      </c>
      <c r="Q8" s="3731"/>
      <c r="R8" s="699" t="s">
        <v>14</v>
      </c>
      <c r="S8" s="700">
        <f t="shared" si="0"/>
        <v>0</v>
      </c>
      <c r="T8" s="699" t="s">
        <v>14</v>
      </c>
      <c r="U8" s="700">
        <f t="shared" si="1"/>
        <v>0</v>
      </c>
      <c r="V8" s="699" t="s">
        <v>14</v>
      </c>
      <c r="W8" s="700">
        <f t="shared" si="2"/>
        <v>0</v>
      </c>
      <c r="X8" s="701"/>
      <c r="Y8" s="3730" t="s">
        <v>1681</v>
      </c>
      <c r="Z8" s="3731"/>
      <c r="AA8" s="702" t="e">
        <f t="shared" ref="AA8:AA40" si="3">D8/F8</f>
        <v>#DIV/0!</v>
      </c>
      <c r="AB8" s="702" t="e">
        <f t="shared" ref="AB8:AB40" si="4">D8/H8</f>
        <v>#DIV/0!</v>
      </c>
      <c r="AC8" s="702" t="e">
        <f t="shared" ref="AC8:AC40" si="5">D8/J8</f>
        <v>#DIV/0!</v>
      </c>
    </row>
    <row r="9" spans="1:29" s="108" customFormat="1" ht="14.4">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762" t="s">
        <v>1684</v>
      </c>
      <c r="Q9" s="1341" t="str">
        <f t="shared" ref="Q9:Q15" si="6">B9</f>
        <v>用途</v>
      </c>
      <c r="R9" s="699" t="s">
        <v>14</v>
      </c>
      <c r="S9" s="700">
        <f t="shared" si="0"/>
        <v>100</v>
      </c>
      <c r="T9" s="699" t="s">
        <v>14</v>
      </c>
      <c r="U9" s="700">
        <f t="shared" si="1"/>
        <v>100</v>
      </c>
      <c r="V9" s="699" t="s">
        <v>14</v>
      </c>
      <c r="W9" s="700">
        <f t="shared" si="2"/>
        <v>100</v>
      </c>
      <c r="X9" s="701"/>
      <c r="Y9" s="3674" t="s">
        <v>1685</v>
      </c>
      <c r="Z9" s="52" t="str">
        <f t="shared" ref="Z9:Z15" si="7">Q9</f>
        <v>用途</v>
      </c>
      <c r="AA9" s="702">
        <f t="shared" si="3"/>
        <v>1</v>
      </c>
      <c r="AB9" s="702">
        <f t="shared" si="4"/>
        <v>1</v>
      </c>
      <c r="AC9" s="702">
        <f t="shared" si="5"/>
        <v>1</v>
      </c>
    </row>
    <row r="10" spans="1:29" s="378" customFormat="1" ht="28.8">
      <c r="A10" s="374"/>
      <c r="B10" s="375" t="s">
        <v>1686</v>
      </c>
      <c r="C10" s="383"/>
      <c r="D10" s="127">
        <v>100</v>
      </c>
      <c r="E10" s="383"/>
      <c r="F10" s="127">
        <f>ROUND(100/'数据-取费表'!G16,0)</f>
        <v>112</v>
      </c>
      <c r="G10" s="383"/>
      <c r="H10" s="127">
        <f>ROUND(100/'数据-取费表'!G16,0)</f>
        <v>112</v>
      </c>
      <c r="I10" s="383"/>
      <c r="J10" s="127">
        <f>ROUND(100/'数据-取费表'!G16,0)</f>
        <v>112</v>
      </c>
      <c r="K10" s="620"/>
      <c r="L10" s="2716"/>
      <c r="M10" s="2717"/>
      <c r="N10" s="2717"/>
      <c r="O10" s="2770"/>
      <c r="P10" s="3762"/>
      <c r="Q10" s="1341" t="str">
        <f t="shared" si="6"/>
        <v>土地使用年限（年）</v>
      </c>
      <c r="R10" s="699" t="s">
        <v>14</v>
      </c>
      <c r="S10" s="700">
        <f t="shared" si="0"/>
        <v>112</v>
      </c>
      <c r="T10" s="699" t="s">
        <v>14</v>
      </c>
      <c r="U10" s="700">
        <f t="shared" si="1"/>
        <v>112</v>
      </c>
      <c r="V10" s="699" t="s">
        <v>14</v>
      </c>
      <c r="W10" s="700">
        <f t="shared" si="2"/>
        <v>112</v>
      </c>
      <c r="X10" s="701"/>
      <c r="Y10" s="3674"/>
      <c r="Z10" s="52" t="str">
        <f t="shared" si="7"/>
        <v>土地使用年限（年）</v>
      </c>
      <c r="AA10" s="702">
        <f t="shared" si="3"/>
        <v>0.8928571428571429</v>
      </c>
      <c r="AB10" s="702">
        <f t="shared" si="4"/>
        <v>0.8928571428571429</v>
      </c>
      <c r="AC10" s="702">
        <f t="shared" si="5"/>
        <v>0.8928571428571429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62"/>
      <c r="Q11" s="1341" t="str">
        <f t="shared" si="6"/>
        <v>容积率</v>
      </c>
      <c r="R11" s="699" t="s">
        <v>14</v>
      </c>
      <c r="S11" s="700" t="e">
        <f t="shared" si="0"/>
        <v>#N/A</v>
      </c>
      <c r="T11" s="699" t="s">
        <v>14</v>
      </c>
      <c r="U11" s="700" t="e">
        <f t="shared" si="1"/>
        <v>#N/A</v>
      </c>
      <c r="V11" s="699" t="s">
        <v>14</v>
      </c>
      <c r="W11" s="700" t="e">
        <f t="shared" si="2"/>
        <v>#N/A</v>
      </c>
      <c r="X11" s="701"/>
      <c r="Y11" s="3674"/>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62"/>
      <c r="Q12" s="1341">
        <f t="shared" si="6"/>
        <v>111</v>
      </c>
      <c r="R12" s="699" t="s">
        <v>14</v>
      </c>
      <c r="S12" s="700">
        <f t="shared" si="0"/>
        <v>100</v>
      </c>
      <c r="T12" s="699" t="s">
        <v>14</v>
      </c>
      <c r="U12" s="700">
        <f t="shared" si="1"/>
        <v>100</v>
      </c>
      <c r="V12" s="699" t="s">
        <v>14</v>
      </c>
      <c r="W12" s="700">
        <f t="shared" si="2"/>
        <v>100</v>
      </c>
      <c r="X12" s="701"/>
      <c r="Y12" s="3674"/>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62"/>
      <c r="Q13" s="1341">
        <f t="shared" si="6"/>
        <v>111</v>
      </c>
      <c r="R13" s="699" t="s">
        <v>14</v>
      </c>
      <c r="S13" s="700">
        <f t="shared" si="0"/>
        <v>100</v>
      </c>
      <c r="T13" s="699" t="s">
        <v>14</v>
      </c>
      <c r="U13" s="700">
        <f t="shared" si="1"/>
        <v>100</v>
      </c>
      <c r="V13" s="699" t="s">
        <v>14</v>
      </c>
      <c r="W13" s="700">
        <f t="shared" si="2"/>
        <v>100</v>
      </c>
      <c r="X13" s="701"/>
      <c r="Y13" s="3674"/>
      <c r="Z13" s="52">
        <f t="shared" si="7"/>
        <v>111</v>
      </c>
      <c r="AA13" s="702">
        <f t="shared" si="3"/>
        <v>1</v>
      </c>
      <c r="AB13" s="702">
        <f t="shared" si="4"/>
        <v>1</v>
      </c>
      <c r="AC13" s="702">
        <f t="shared" si="5"/>
        <v>1</v>
      </c>
    </row>
    <row r="14" spans="1:29" ht="15.6"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62"/>
      <c r="Q14" s="1341">
        <f t="shared" si="6"/>
        <v>111</v>
      </c>
      <c r="R14" s="699" t="s">
        <v>14</v>
      </c>
      <c r="S14" s="700">
        <f t="shared" si="0"/>
        <v>100</v>
      </c>
      <c r="T14" s="699" t="s">
        <v>14</v>
      </c>
      <c r="U14" s="700">
        <f t="shared" si="1"/>
        <v>100</v>
      </c>
      <c r="V14" s="699" t="s">
        <v>14</v>
      </c>
      <c r="W14" s="700">
        <f t="shared" si="2"/>
        <v>100</v>
      </c>
      <c r="X14" s="701"/>
      <c r="Y14" s="3674"/>
      <c r="Z14" s="52">
        <f t="shared" si="7"/>
        <v>111</v>
      </c>
      <c r="AA14" s="702">
        <f t="shared" si="3"/>
        <v>1</v>
      </c>
      <c r="AB14" s="702">
        <f t="shared" si="4"/>
        <v>1</v>
      </c>
      <c r="AC14" s="702">
        <f t="shared" si="5"/>
        <v>1</v>
      </c>
    </row>
    <row r="15" spans="1:29" ht="69">
      <c r="A15" s="391" t="s">
        <v>1688</v>
      </c>
      <c r="B15" s="577" t="s">
        <v>1918</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64" t="s">
        <v>1689</v>
      </c>
      <c r="Q15" s="1350" t="str">
        <f t="shared" si="6"/>
        <v>产业集聚程度</v>
      </c>
      <c r="R15" s="703" t="s">
        <v>14</v>
      </c>
      <c r="S15" s="704">
        <f t="shared" si="0"/>
        <v>100</v>
      </c>
      <c r="T15" s="703" t="s">
        <v>14</v>
      </c>
      <c r="U15" s="704">
        <f t="shared" si="1"/>
        <v>100</v>
      </c>
      <c r="V15" s="703" t="s">
        <v>14</v>
      </c>
      <c r="W15" s="704">
        <f t="shared" si="2"/>
        <v>100</v>
      </c>
      <c r="X15" s="1353"/>
      <c r="Y15" s="3764" t="s">
        <v>1689</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9"/>
      <c r="M16" s="2713"/>
      <c r="N16" s="2713"/>
      <c r="O16" s="2771"/>
      <c r="P16" s="3765"/>
      <c r="Q16" s="1350"/>
      <c r="R16" s="703"/>
      <c r="S16" s="704"/>
      <c r="T16" s="703"/>
      <c r="U16" s="704"/>
      <c r="V16" s="703"/>
      <c r="W16" s="704"/>
      <c r="X16" s="1353"/>
      <c r="Y16" s="3765"/>
      <c r="Z16" s="1354"/>
      <c r="AA16" s="1351">
        <v>1</v>
      </c>
      <c r="AB16" s="1351">
        <v>1</v>
      </c>
      <c r="AC16" s="1351">
        <v>1</v>
      </c>
    </row>
    <row r="17" spans="1:29" ht="96.6">
      <c r="A17" s="379"/>
      <c r="B17" s="579" t="s">
        <v>1831</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65"/>
      <c r="Q17" s="1350" t="str">
        <f>B17</f>
        <v>交通便捷度</v>
      </c>
      <c r="R17" s="703" t="s">
        <v>14</v>
      </c>
      <c r="S17" s="704">
        <f>F17</f>
        <v>100</v>
      </c>
      <c r="T17" s="703" t="s">
        <v>14</v>
      </c>
      <c r="U17" s="704">
        <f>H17</f>
        <v>100</v>
      </c>
      <c r="V17" s="703" t="s">
        <v>14</v>
      </c>
      <c r="W17" s="704">
        <f>J17</f>
        <v>100</v>
      </c>
      <c r="X17" s="1353"/>
      <c r="Y17" s="3765"/>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9"/>
      <c r="M18" s="2713"/>
      <c r="N18" s="2713"/>
      <c r="O18" s="2771"/>
      <c r="P18" s="3765"/>
      <c r="Q18" s="1350"/>
      <c r="R18" s="703"/>
      <c r="S18" s="704"/>
      <c r="T18" s="703"/>
      <c r="U18" s="704"/>
      <c r="V18" s="703"/>
      <c r="W18" s="704"/>
      <c r="X18" s="1353"/>
      <c r="Y18" s="3765"/>
      <c r="Z18" s="1354"/>
      <c r="AA18" s="1351">
        <v>1</v>
      </c>
      <c r="AB18" s="1351">
        <v>1</v>
      </c>
      <c r="AC18" s="1351">
        <v>1</v>
      </c>
    </row>
    <row r="19" spans="1:29" ht="28.8">
      <c r="A19" s="379"/>
      <c r="B19" s="579"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65"/>
      <c r="Q19" s="1350" t="str">
        <f t="shared" ref="Q19:Q33" si="8">B19</f>
        <v>区域土地利用方向</v>
      </c>
      <c r="R19" s="703" t="s">
        <v>14</v>
      </c>
      <c r="S19" s="704">
        <f>F19</f>
        <v>100</v>
      </c>
      <c r="T19" s="703" t="s">
        <v>14</v>
      </c>
      <c r="U19" s="704">
        <f>H19</f>
        <v>100</v>
      </c>
      <c r="V19" s="703" t="s">
        <v>14</v>
      </c>
      <c r="W19" s="704">
        <f>J19</f>
        <v>100</v>
      </c>
      <c r="X19" s="1353"/>
      <c r="Y19" s="3765"/>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9"/>
      <c r="M20" s="2713"/>
      <c r="N20" s="2713"/>
      <c r="O20" s="2771"/>
      <c r="P20" s="3765"/>
      <c r="Q20" s="1350"/>
      <c r="R20" s="703"/>
      <c r="S20" s="704"/>
      <c r="T20" s="703"/>
      <c r="U20" s="704"/>
      <c r="V20" s="703"/>
      <c r="W20" s="704"/>
      <c r="X20" s="1353"/>
      <c r="Y20" s="3765"/>
      <c r="Z20" s="1354"/>
      <c r="AA20" s="1351"/>
      <c r="AB20" s="1351"/>
      <c r="AC20" s="1351"/>
    </row>
    <row r="21" spans="1:29" ht="82.8">
      <c r="A21" s="358"/>
      <c r="B21" s="579"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65"/>
      <c r="Q21" s="1350" t="str">
        <f t="shared" si="8"/>
        <v>环境状况</v>
      </c>
      <c r="R21" s="703" t="s">
        <v>14</v>
      </c>
      <c r="S21" s="704">
        <f>F21</f>
        <v>100</v>
      </c>
      <c r="T21" s="703" t="s">
        <v>14</v>
      </c>
      <c r="U21" s="704">
        <f>H21</f>
        <v>100</v>
      </c>
      <c r="V21" s="703" t="s">
        <v>14</v>
      </c>
      <c r="W21" s="704">
        <f>J21</f>
        <v>100</v>
      </c>
      <c r="X21" s="1353"/>
      <c r="Y21" s="3765"/>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9"/>
      <c r="M22" s="2713"/>
      <c r="N22" s="2713"/>
      <c r="O22" s="2771"/>
      <c r="P22" s="3765"/>
      <c r="Q22" s="1350"/>
      <c r="R22" s="703"/>
      <c r="S22" s="704"/>
      <c r="T22" s="703"/>
      <c r="U22" s="704"/>
      <c r="V22" s="703"/>
      <c r="W22" s="704"/>
      <c r="X22" s="1353"/>
      <c r="Y22" s="3765"/>
      <c r="Z22" s="1354"/>
      <c r="AA22" s="1351">
        <v>1</v>
      </c>
      <c r="AB22" s="1351">
        <v>1</v>
      </c>
      <c r="AC22" s="1351">
        <v>1</v>
      </c>
    </row>
    <row r="23" spans="1:29" s="108" customFormat="1" ht="41.4">
      <c r="A23" s="597"/>
      <c r="B23" s="581" t="s">
        <v>1776</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65"/>
      <c r="Q23" s="1341" t="str">
        <f t="shared" si="8"/>
        <v>公共配套设施</v>
      </c>
      <c r="R23" s="699" t="s">
        <v>14</v>
      </c>
      <c r="S23" s="700">
        <f>F23</f>
        <v>100</v>
      </c>
      <c r="T23" s="699" t="s">
        <v>14</v>
      </c>
      <c r="U23" s="700">
        <f>H23</f>
        <v>100</v>
      </c>
      <c r="V23" s="699" t="s">
        <v>14</v>
      </c>
      <c r="W23" s="700">
        <f>J23</f>
        <v>100</v>
      </c>
      <c r="X23" s="701"/>
      <c r="Y23" s="3765"/>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4"/>
      <c r="M24" s="2715"/>
      <c r="N24" s="2715"/>
      <c r="O24" s="2769"/>
      <c r="P24" s="3765"/>
      <c r="Q24" s="1341"/>
      <c r="R24" s="699"/>
      <c r="S24" s="700"/>
      <c r="T24" s="699"/>
      <c r="U24" s="700"/>
      <c r="V24" s="699"/>
      <c r="W24" s="700"/>
      <c r="X24" s="701"/>
      <c r="Y24" s="3765"/>
      <c r="Z24" s="52"/>
      <c r="AA24" s="702">
        <v>1</v>
      </c>
      <c r="AB24" s="702">
        <v>1</v>
      </c>
      <c r="AC24" s="702">
        <v>1</v>
      </c>
    </row>
    <row r="25" spans="1:29" s="108" customFormat="1" ht="41.4">
      <c r="A25" s="597"/>
      <c r="B25" s="581" t="s">
        <v>1777</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65"/>
      <c r="Q25" s="1341" t="str">
        <f t="shared" ref="Q25" si="9">B25</f>
        <v>基础设施水平</v>
      </c>
      <c r="R25" s="699" t="s">
        <v>14</v>
      </c>
      <c r="S25" s="700">
        <f>F25</f>
        <v>100</v>
      </c>
      <c r="T25" s="699" t="s">
        <v>14</v>
      </c>
      <c r="U25" s="700">
        <f>H25</f>
        <v>100</v>
      </c>
      <c r="V25" s="699" t="s">
        <v>14</v>
      </c>
      <c r="W25" s="700">
        <f>J25</f>
        <v>100</v>
      </c>
      <c r="X25" s="701"/>
      <c r="Y25" s="3765"/>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4"/>
      <c r="M26" s="2715"/>
      <c r="N26" s="2715"/>
      <c r="O26" s="2769"/>
      <c r="P26" s="3765"/>
      <c r="Q26" s="1341"/>
      <c r="R26" s="699"/>
      <c r="S26" s="700"/>
      <c r="T26" s="699"/>
      <c r="U26" s="700"/>
      <c r="V26" s="699"/>
      <c r="W26" s="700"/>
      <c r="X26" s="701"/>
      <c r="Y26" s="3765"/>
      <c r="Z26" s="52"/>
      <c r="AA26" s="702">
        <v>1</v>
      </c>
      <c r="AB26" s="702">
        <v>1</v>
      </c>
      <c r="AC26" s="702">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65"/>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65"/>
      <c r="Z27" s="1354" t="str">
        <f t="shared" ref="Z27:Z40" si="13">Q27</f>
        <v>临街状况</v>
      </c>
      <c r="AA27" s="1351">
        <f t="shared" si="3"/>
        <v>1</v>
      </c>
      <c r="AB27" s="1351">
        <f t="shared" si="4"/>
        <v>1</v>
      </c>
      <c r="AC27" s="1351">
        <f t="shared" si="5"/>
        <v>1</v>
      </c>
    </row>
    <row r="28" spans="1:29" ht="28.8">
      <c r="A28" s="379"/>
      <c r="B28" s="581"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65"/>
      <c r="Q28" s="1350" t="str">
        <f t="shared" si="8"/>
        <v>毗邻道路的类型与等级</v>
      </c>
      <c r="R28" s="703" t="s">
        <v>14</v>
      </c>
      <c r="S28" s="704">
        <f t="shared" si="10"/>
        <v>100</v>
      </c>
      <c r="T28" s="703" t="s">
        <v>14</v>
      </c>
      <c r="U28" s="704">
        <f t="shared" si="11"/>
        <v>100</v>
      </c>
      <c r="V28" s="703" t="s">
        <v>14</v>
      </c>
      <c r="W28" s="704">
        <f t="shared" si="12"/>
        <v>100</v>
      </c>
      <c r="X28" s="1353"/>
      <c r="Y28" s="3765"/>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9"/>
      <c r="M29" s="2713"/>
      <c r="N29" s="2713"/>
      <c r="O29" s="2771"/>
      <c r="P29" s="3765"/>
      <c r="Q29" s="1350"/>
      <c r="R29" s="703"/>
      <c r="S29" s="704"/>
      <c r="T29" s="703"/>
      <c r="U29" s="704"/>
      <c r="V29" s="703"/>
      <c r="W29" s="704"/>
      <c r="X29" s="1353"/>
      <c r="Y29" s="3765"/>
      <c r="Z29" s="1354"/>
      <c r="AA29" s="1351">
        <v>1</v>
      </c>
      <c r="AB29" s="1351">
        <v>1</v>
      </c>
      <c r="AC29" s="1351">
        <v>1</v>
      </c>
    </row>
    <row r="30" spans="1:29" ht="15">
      <c r="A30" s="379"/>
      <c r="B30" s="602" t="s">
        <v>1871</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65"/>
      <c r="Q30" s="1350" t="str">
        <f t="shared" si="8"/>
        <v>土地级别</v>
      </c>
      <c r="R30" s="703" t="s">
        <v>14</v>
      </c>
      <c r="S30" s="704">
        <f t="shared" si="10"/>
        <v>100</v>
      </c>
      <c r="T30" s="703" t="s">
        <v>14</v>
      </c>
      <c r="U30" s="704">
        <f t="shared" si="11"/>
        <v>100</v>
      </c>
      <c r="V30" s="703" t="s">
        <v>14</v>
      </c>
      <c r="W30" s="704">
        <f t="shared" si="12"/>
        <v>100</v>
      </c>
      <c r="X30" s="1353"/>
      <c r="Y30" s="3765"/>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65"/>
      <c r="Q31" s="1350">
        <f t="shared" si="8"/>
        <v>111</v>
      </c>
      <c r="R31" s="703" t="s">
        <v>14</v>
      </c>
      <c r="S31" s="704">
        <f t="shared" si="10"/>
        <v>100</v>
      </c>
      <c r="T31" s="703" t="s">
        <v>14</v>
      </c>
      <c r="U31" s="704">
        <f t="shared" si="11"/>
        <v>100</v>
      </c>
      <c r="V31" s="703" t="s">
        <v>14</v>
      </c>
      <c r="W31" s="704">
        <f t="shared" si="12"/>
        <v>100</v>
      </c>
      <c r="X31" s="1353"/>
      <c r="Y31" s="3765"/>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89" t="s">
        <v>1694</v>
      </c>
      <c r="Q32" s="1350">
        <f t="shared" si="8"/>
        <v>111</v>
      </c>
      <c r="R32" s="703" t="s">
        <v>14</v>
      </c>
      <c r="S32" s="704">
        <f t="shared" si="10"/>
        <v>100</v>
      </c>
      <c r="T32" s="703" t="s">
        <v>14</v>
      </c>
      <c r="U32" s="704">
        <f t="shared" si="11"/>
        <v>100</v>
      </c>
      <c r="V32" s="703" t="s">
        <v>14</v>
      </c>
      <c r="W32" s="704">
        <f t="shared" si="12"/>
        <v>100</v>
      </c>
      <c r="X32" s="1353"/>
      <c r="Y32" s="3769" t="s">
        <v>1694</v>
      </c>
      <c r="Z32" s="1354">
        <f t="shared" si="13"/>
        <v>111</v>
      </c>
      <c r="AA32" s="1351">
        <f t="shared" si="3"/>
        <v>1</v>
      </c>
      <c r="AB32" s="1351">
        <f t="shared" si="4"/>
        <v>1</v>
      </c>
      <c r="AC32" s="1351">
        <f t="shared" si="5"/>
        <v>1</v>
      </c>
    </row>
    <row r="33" spans="1:31" s="422" customFormat="1" ht="15.6"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69"/>
      <c r="Q33" s="1350">
        <f t="shared" si="8"/>
        <v>111</v>
      </c>
      <c r="R33" s="706" t="s">
        <v>14</v>
      </c>
      <c r="S33" s="707">
        <f t="shared" si="10"/>
        <v>100</v>
      </c>
      <c r="T33" s="706" t="s">
        <v>14</v>
      </c>
      <c r="U33" s="707">
        <f t="shared" si="11"/>
        <v>100</v>
      </c>
      <c r="V33" s="706" t="s">
        <v>14</v>
      </c>
      <c r="W33" s="707">
        <f t="shared" si="12"/>
        <v>100</v>
      </c>
      <c r="X33" s="708"/>
      <c r="Y33" s="3769"/>
      <c r="Z33" s="709">
        <f t="shared" si="13"/>
        <v>111</v>
      </c>
      <c r="AA33" s="1351">
        <f t="shared" si="3"/>
        <v>1</v>
      </c>
      <c r="AB33" s="1351">
        <f t="shared" si="4"/>
        <v>1</v>
      </c>
      <c r="AC33" s="1351">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69"/>
      <c r="Q34" s="1350" t="str">
        <f>B34</f>
        <v>宗地面积</v>
      </c>
      <c r="R34" s="703" t="s">
        <v>14</v>
      </c>
      <c r="S34" s="704" t="e">
        <f t="shared" si="10"/>
        <v>#N/A</v>
      </c>
      <c r="T34" s="703" t="s">
        <v>14</v>
      </c>
      <c r="U34" s="704" t="e">
        <f t="shared" si="11"/>
        <v>#N/A</v>
      </c>
      <c r="V34" s="703" t="s">
        <v>14</v>
      </c>
      <c r="W34" s="704" t="e">
        <f t="shared" si="12"/>
        <v>#N/A</v>
      </c>
      <c r="X34" s="1353"/>
      <c r="Y34" s="3769"/>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769"/>
      <c r="Q35" s="1350" t="str">
        <f t="shared" ref="Q35:Q40" si="14">B35</f>
        <v>宗地形状</v>
      </c>
      <c r="R35" s="703" t="s">
        <v>14</v>
      </c>
      <c r="S35" s="704">
        <f t="shared" si="10"/>
        <v>100</v>
      </c>
      <c r="T35" s="703" t="s">
        <v>14</v>
      </c>
      <c r="U35" s="704">
        <f t="shared" si="11"/>
        <v>100</v>
      </c>
      <c r="V35" s="703" t="s">
        <v>14</v>
      </c>
      <c r="W35" s="704">
        <f t="shared" si="12"/>
        <v>100</v>
      </c>
      <c r="X35" s="1353"/>
      <c r="Y35" s="3769"/>
      <c r="Z35" s="1354" t="str">
        <f t="shared" si="13"/>
        <v>宗地形状</v>
      </c>
      <c r="AA35" s="1351">
        <f t="shared" si="3"/>
        <v>1</v>
      </c>
      <c r="AB35" s="1351">
        <f t="shared" si="4"/>
        <v>1</v>
      </c>
      <c r="AC35" s="1351">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769"/>
      <c r="Q36" s="1350" t="str">
        <f t="shared" si="14"/>
        <v>宗地开发程度</v>
      </c>
      <c r="R36" s="699" t="s">
        <v>14</v>
      </c>
      <c r="S36" s="700">
        <f t="shared" si="10"/>
        <v>100</v>
      </c>
      <c r="T36" s="699" t="s">
        <v>14</v>
      </c>
      <c r="U36" s="700">
        <f t="shared" si="11"/>
        <v>100</v>
      </c>
      <c r="V36" s="699" t="s">
        <v>14</v>
      </c>
      <c r="W36" s="700">
        <f t="shared" si="12"/>
        <v>100</v>
      </c>
      <c r="X36" s="701"/>
      <c r="Y36" s="3769"/>
      <c r="Z36" s="52" t="str">
        <f t="shared" si="13"/>
        <v>宗地开发程度</v>
      </c>
      <c r="AA36" s="702">
        <f t="shared" si="3"/>
        <v>1</v>
      </c>
      <c r="AB36" s="702">
        <f t="shared" si="4"/>
        <v>1</v>
      </c>
      <c r="AC36" s="702">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769" t="s">
        <v>1694</v>
      </c>
      <c r="Q37" s="1350" t="str">
        <f t="shared" si="14"/>
        <v>工程地质条件</v>
      </c>
      <c r="R37" s="703" t="s">
        <v>14</v>
      </c>
      <c r="S37" s="704">
        <f t="shared" si="10"/>
        <v>100</v>
      </c>
      <c r="T37" s="703" t="s">
        <v>14</v>
      </c>
      <c r="U37" s="704">
        <f t="shared" si="11"/>
        <v>100</v>
      </c>
      <c r="V37" s="703" t="s">
        <v>14</v>
      </c>
      <c r="W37" s="704">
        <f t="shared" si="12"/>
        <v>100</v>
      </c>
      <c r="X37" s="1353"/>
      <c r="Y37" s="3769" t="s">
        <v>1694</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69"/>
      <c r="Q38" s="1350">
        <f t="shared" si="14"/>
        <v>111</v>
      </c>
      <c r="R38" s="703" t="s">
        <v>14</v>
      </c>
      <c r="S38" s="704">
        <f t="shared" si="10"/>
        <v>100</v>
      </c>
      <c r="T38" s="703" t="s">
        <v>14</v>
      </c>
      <c r="U38" s="704">
        <f t="shared" si="11"/>
        <v>100</v>
      </c>
      <c r="V38" s="703" t="s">
        <v>14</v>
      </c>
      <c r="W38" s="704">
        <f t="shared" si="12"/>
        <v>100</v>
      </c>
      <c r="X38" s="1353"/>
      <c r="Y38" s="3769"/>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69"/>
      <c r="Q39" s="1350">
        <f t="shared" si="14"/>
        <v>111</v>
      </c>
      <c r="R39" s="703" t="s">
        <v>14</v>
      </c>
      <c r="S39" s="704">
        <f t="shared" si="10"/>
        <v>100</v>
      </c>
      <c r="T39" s="703" t="s">
        <v>14</v>
      </c>
      <c r="U39" s="704">
        <f t="shared" si="11"/>
        <v>100</v>
      </c>
      <c r="V39" s="703" t="s">
        <v>14</v>
      </c>
      <c r="W39" s="704">
        <f t="shared" si="12"/>
        <v>100</v>
      </c>
      <c r="X39" s="1353"/>
      <c r="Y39" s="3769"/>
      <c r="Z39" s="1354">
        <f t="shared" si="13"/>
        <v>111</v>
      </c>
      <c r="AA39" s="1351">
        <f t="shared" si="3"/>
        <v>1</v>
      </c>
      <c r="AB39" s="1351">
        <f t="shared" si="4"/>
        <v>1</v>
      </c>
      <c r="AC39" s="1351">
        <f t="shared" si="5"/>
        <v>1</v>
      </c>
    </row>
    <row r="40" spans="1:31" s="422" customFormat="1" ht="15.6"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69"/>
      <c r="Q40" s="1350">
        <f t="shared" si="14"/>
        <v>111</v>
      </c>
      <c r="R40" s="706" t="s">
        <v>14</v>
      </c>
      <c r="S40" s="707">
        <f t="shared" si="10"/>
        <v>100</v>
      </c>
      <c r="T40" s="706" t="s">
        <v>14</v>
      </c>
      <c r="U40" s="707">
        <f t="shared" si="11"/>
        <v>100</v>
      </c>
      <c r="V40" s="706" t="s">
        <v>14</v>
      </c>
      <c r="W40" s="707">
        <f t="shared" si="12"/>
        <v>100</v>
      </c>
      <c r="X40" s="708"/>
      <c r="Y40" s="3769"/>
      <c r="Z40" s="709">
        <f t="shared" si="13"/>
        <v>111</v>
      </c>
      <c r="AA40" s="1351">
        <f t="shared" si="3"/>
        <v>1</v>
      </c>
      <c r="AB40" s="1351">
        <f t="shared" si="4"/>
        <v>1</v>
      </c>
      <c r="AC40" s="1351">
        <f t="shared" si="5"/>
        <v>1</v>
      </c>
    </row>
    <row r="41" spans="1:31" ht="14.4">
      <c r="A41" s="430" t="s">
        <v>1842</v>
      </c>
      <c r="B41" s="1980" t="s">
        <v>1920</v>
      </c>
      <c r="C41" s="630" t="s">
        <v>0</v>
      </c>
      <c r="D41" s="432"/>
      <c r="E41" s="433"/>
      <c r="F41" s="434"/>
      <c r="G41" s="435"/>
      <c r="H41" s="436"/>
      <c r="I41" s="433"/>
      <c r="J41" s="436"/>
      <c r="K41" s="712"/>
      <c r="L41" s="2721"/>
      <c r="M41" s="2713"/>
      <c r="N41" s="2713"/>
      <c r="O41" s="2722"/>
      <c r="P41" s="3762" t="str">
        <f>A41</f>
        <v>成交单价</v>
      </c>
      <c r="Q41" s="3762"/>
      <c r="R41" s="3757">
        <f>E41</f>
        <v>0</v>
      </c>
      <c r="S41" s="3757"/>
      <c r="T41" s="3757">
        <f>G41</f>
        <v>0</v>
      </c>
      <c r="U41" s="3757"/>
      <c r="V41" s="3757">
        <f>I41</f>
        <v>0</v>
      </c>
      <c r="W41" s="3757"/>
      <c r="X41" s="688"/>
      <c r="Y41" s="710"/>
      <c r="Z41" s="688"/>
      <c r="AA41" s="688"/>
      <c r="AB41" s="688"/>
      <c r="AC41" s="688"/>
    </row>
    <row r="42" spans="1:31" ht="15" thickBot="1">
      <c r="A42" s="437" t="s">
        <v>1791</v>
      </c>
      <c r="B42" s="631"/>
      <c r="C42" s="440" t="e">
        <f>R43</f>
        <v>#DIV/0!</v>
      </c>
      <c r="D42" s="2315" t="s">
        <v>2133</v>
      </c>
      <c r="E42" s="440" t="e">
        <f>R42</f>
        <v>#DIV/0!</v>
      </c>
      <c r="F42" s="2316"/>
      <c r="G42" s="439" t="e">
        <f>T42</f>
        <v>#DIV/0!</v>
      </c>
      <c r="H42" s="2316"/>
      <c r="I42" s="440" t="e">
        <f>V42</f>
        <v>#DIV/0!</v>
      </c>
      <c r="J42" s="2316"/>
      <c r="K42" s="2318">
        <f>F42+H42+J42</f>
        <v>0</v>
      </c>
      <c r="L42" s="2721"/>
      <c r="M42" s="2713"/>
      <c r="N42" s="2713"/>
      <c r="O42" s="2722"/>
      <c r="P42" s="3762" t="str">
        <f>A42</f>
        <v>比较价值（元/平方米）</v>
      </c>
      <c r="Q42" s="3762"/>
      <c r="R42" s="3791" t="e">
        <f>ROUND(PRODUCT(R41,AA7:AA40),0)</f>
        <v>#DIV/0!</v>
      </c>
      <c r="S42" s="3791"/>
      <c r="T42" s="3791" t="e">
        <f>ROUND(PRODUCT(T41,AB7:AB40),0)</f>
        <v>#DIV/0!</v>
      </c>
      <c r="U42" s="3791"/>
      <c r="V42" s="3791" t="e">
        <f>ROUND(PRODUCT(V41,AC7:AC40),0)</f>
        <v>#DIV/0!</v>
      </c>
      <c r="W42" s="3791"/>
      <c r="X42" s="688"/>
      <c r="Y42" s="688"/>
      <c r="Z42" s="688"/>
      <c r="AA42" s="688"/>
      <c r="AB42" s="688"/>
      <c r="AC42" s="688"/>
    </row>
    <row r="43" spans="1:31" ht="15" thickBot="1">
      <c r="A43" s="441" t="s">
        <v>1792</v>
      </c>
      <c r="B43" s="442"/>
      <c r="C43" s="443" t="e">
        <f>R43</f>
        <v>#DIV/0!</v>
      </c>
      <c r="D43" s="443"/>
      <c r="E43" s="443"/>
      <c r="F43" s="443"/>
      <c r="G43" s="443"/>
      <c r="H43" s="443"/>
      <c r="I43" s="443"/>
      <c r="J43" s="443"/>
      <c r="K43" s="713"/>
      <c r="L43" s="2721"/>
      <c r="M43" s="2713"/>
      <c r="N43" s="2713"/>
      <c r="O43" s="2722"/>
      <c r="P43" s="3759" t="str">
        <f>A43</f>
        <v>估价对象XX用房的比较价值（楼面单价，元/平方米）</v>
      </c>
      <c r="Q43" s="3760"/>
      <c r="R43" s="3792" t="e">
        <f>ROUND(IF(D42="简单平均",AVERAGE(R42:W42),R42*F42+T42*H42+V42*J42),0)</f>
        <v>#DIV/0!</v>
      </c>
      <c r="S43" s="3792"/>
      <c r="T43" s="3792"/>
      <c r="U43" s="3792"/>
      <c r="V43" s="3792"/>
      <c r="W43" s="3792"/>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4.4"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2" t="s">
        <v>1879</v>
      </c>
      <c r="B50" s="633" t="s">
        <v>1880</v>
      </c>
      <c r="C50" s="1981" t="s">
        <v>1881</v>
      </c>
      <c r="D50" s="1982" t="s">
        <v>1882</v>
      </c>
      <c r="E50" s="634" t="s">
        <v>1883</v>
      </c>
      <c r="F50" s="635" t="s">
        <v>1884</v>
      </c>
      <c r="G50" s="3745" t="s">
        <v>1885</v>
      </c>
      <c r="H50" s="3793"/>
      <c r="I50" s="1354" t="s">
        <v>1921</v>
      </c>
      <c r="J50" s="1354">
        <f>项目基本情况!F35</f>
        <v>0</v>
      </c>
      <c r="K50" s="1984" t="s">
        <v>1887</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1888</v>
      </c>
      <c r="B51" s="637" t="e">
        <f>C43</f>
        <v>#DIV/0!</v>
      </c>
      <c r="C51" s="638">
        <v>1</v>
      </c>
      <c r="D51" s="942">
        <v>1</v>
      </c>
      <c r="E51" s="638">
        <f>'数据-汇总表'!E8+'数据-汇总表'!E9</f>
        <v>521.56999999999994</v>
      </c>
      <c r="F51" s="639" t="e">
        <f t="shared" ref="F51:F60" si="15">ROUND(B51*E51/10000,0)</f>
        <v>#DIV/0!</v>
      </c>
      <c r="G51" s="3744"/>
      <c r="H51" s="3762"/>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1889</v>
      </c>
      <c r="B52" s="218" t="e">
        <f>ROUND($C$43*C52*D52,0)</f>
        <v>#DIV/0!</v>
      </c>
      <c r="C52" s="171">
        <f t="shared" ref="C52:C60" si="16">IF($C$50="北京市系数",I52,J52)</f>
        <v>0.6</v>
      </c>
      <c r="D52" s="943">
        <v>0.25</v>
      </c>
      <c r="E52" s="642"/>
      <c r="F52" s="639" t="e">
        <f t="shared" si="15"/>
        <v>#DIV/0!</v>
      </c>
      <c r="G52" s="3003" t="s">
        <v>1890</v>
      </c>
      <c r="H52" s="885" t="str">
        <f>项目基本情况!B37</f>
        <v>七级</v>
      </c>
      <c r="I52" s="771">
        <f>SUMIF(修正!A57:A68,H52,修正!B57:B68)</f>
        <v>0.6</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1891</v>
      </c>
      <c r="B53" s="218" t="e">
        <f t="shared" ref="B53:B60" si="17">ROUND($C$43*C53*D53,0)</f>
        <v>#DIV/0!</v>
      </c>
      <c r="C53" s="171">
        <f t="shared" si="16"/>
        <v>0.3</v>
      </c>
      <c r="D53" s="943">
        <v>0.25</v>
      </c>
      <c r="E53" s="642"/>
      <c r="F53" s="639" t="e">
        <f t="shared" si="15"/>
        <v>#DIV/0!</v>
      </c>
      <c r="G53" s="3004"/>
      <c r="H53" s="885" t="str">
        <f>项目基本情况!B37</f>
        <v>七级</v>
      </c>
      <c r="I53" s="771">
        <f>SUMIF(修正!A57:A68,H53,修正!C57:C68)</f>
        <v>0.3</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1892</v>
      </c>
      <c r="B54" s="218" t="e">
        <f t="shared" si="17"/>
        <v>#DIV/0!</v>
      </c>
      <c r="C54" s="171">
        <f t="shared" si="16"/>
        <v>0.25</v>
      </c>
      <c r="D54" s="943">
        <v>0.25</v>
      </c>
      <c r="E54" s="642"/>
      <c r="F54" s="639" t="e">
        <f t="shared" si="15"/>
        <v>#DIV/0!</v>
      </c>
      <c r="G54" s="3004"/>
      <c r="H54" s="885" t="str">
        <f>项目基本情况!B37</f>
        <v>七级</v>
      </c>
      <c r="I54" s="771">
        <f>SUMIF(修正!A57:A68,H54,修正!D57:D68)</f>
        <v>0.25</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1893</v>
      </c>
      <c r="B56" s="218" t="e">
        <f t="shared" si="17"/>
        <v>#DIV/0!</v>
      </c>
      <c r="C56" s="171">
        <f t="shared" si="16"/>
        <v>0</v>
      </c>
      <c r="D56" s="943">
        <v>0.25</v>
      </c>
      <c r="E56" s="217">
        <f>'数据-汇总表'!E11</f>
        <v>0</v>
      </c>
      <c r="F56" s="639" t="e">
        <f t="shared" si="15"/>
        <v>#DIV/0!</v>
      </c>
      <c r="G56" s="1985" t="s">
        <v>1894</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1895</v>
      </c>
      <c r="B57" s="218" t="e">
        <f t="shared" si="17"/>
        <v>#DIV/0!</v>
      </c>
      <c r="C57" s="171">
        <f t="shared" si="16"/>
        <v>0</v>
      </c>
      <c r="D57" s="943">
        <v>0.25</v>
      </c>
      <c r="E57" s="217">
        <f>'数据-汇总表'!E12</f>
        <v>0</v>
      </c>
      <c r="F57" s="639" t="e">
        <f t="shared" si="15"/>
        <v>#DIV/0!</v>
      </c>
      <c r="G57" s="890" t="s">
        <v>1896</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1897</v>
      </c>
      <c r="B58" s="218" t="e">
        <f t="shared" si="17"/>
        <v>#DIV/0!</v>
      </c>
      <c r="C58" s="171">
        <f t="shared" si="16"/>
        <v>0</v>
      </c>
      <c r="D58" s="943">
        <v>0.25</v>
      </c>
      <c r="E58" s="217">
        <f>'数据-汇总表'!E13</f>
        <v>0</v>
      </c>
      <c r="F58" s="639" t="e">
        <f t="shared" si="15"/>
        <v>#DIV/0!</v>
      </c>
      <c r="G58" s="890" t="s">
        <v>1898</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1899</v>
      </c>
      <c r="B59" s="218" t="e">
        <f t="shared" si="17"/>
        <v>#DIV/0!</v>
      </c>
      <c r="C59" s="171">
        <f t="shared" si="16"/>
        <v>0.15</v>
      </c>
      <c r="D59" s="943">
        <v>0.25</v>
      </c>
      <c r="E59" s="217">
        <f>'数据-汇总表'!E14</f>
        <v>0</v>
      </c>
      <c r="F59" s="639" t="e">
        <f t="shared" si="15"/>
        <v>#DIV/0!</v>
      </c>
      <c r="G59" s="1985" t="s">
        <v>1890</v>
      </c>
      <c r="H59" s="885" t="str">
        <f>项目基本情况!B37</f>
        <v>七级</v>
      </c>
      <c r="I59" s="771">
        <f>SUMIF(修正!A57:A68,H59,修正!G57:G68)</f>
        <v>0.15</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4.4" thickBot="1">
      <c r="A60" s="641" t="s">
        <v>1900</v>
      </c>
      <c r="B60" s="218" t="e">
        <f t="shared" si="17"/>
        <v>#DIV/0!</v>
      </c>
      <c r="C60" s="171">
        <f t="shared" si="16"/>
        <v>0</v>
      </c>
      <c r="D60" s="943">
        <v>0.25</v>
      </c>
      <c r="E60" s="217">
        <f>'数据-汇总表'!E15</f>
        <v>0</v>
      </c>
      <c r="F60" s="639" t="e">
        <f t="shared" si="15"/>
        <v>#DIV/0!</v>
      </c>
      <c r="G60" s="1986" t="s">
        <v>1894</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4.4" thickBot="1">
      <c r="A61" s="643" t="s">
        <v>1901</v>
      </c>
      <c r="B61" s="644" t="s">
        <v>22</v>
      </c>
      <c r="C61" s="644" t="s">
        <v>23</v>
      </c>
      <c r="D61" s="644" t="s">
        <v>392</v>
      </c>
      <c r="E61" s="644">
        <f>IF(B41="楼面地价",SUM(E51:E60),'数据-汇总表'!D3)</f>
        <v>0</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22"/>
      <c r="Q63" s="2722"/>
      <c r="R63" s="2722"/>
      <c r="S63" s="2722"/>
      <c r="T63" s="2722"/>
      <c r="U63" s="2722"/>
      <c r="V63" s="2722"/>
      <c r="W63" s="2722"/>
      <c r="X63" s="2722"/>
      <c r="Y63" s="2722"/>
      <c r="Z63" s="2722"/>
      <c r="AA63" s="2722"/>
      <c r="AB63" s="2722"/>
      <c r="AC63" s="2722"/>
      <c r="AD63" s="2722"/>
      <c r="AE63" s="2722"/>
    </row>
    <row r="64" spans="1:31" ht="22.2" thickBot="1">
      <c r="A64" s="692" t="s">
        <v>1796</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4.4">
      <c r="A65" s="1987" t="s">
        <v>1902</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6"/>
      <c r="Q66" s="2658"/>
      <c r="R66" s="2658"/>
      <c r="S66" s="2658"/>
      <c r="T66" s="2658"/>
      <c r="U66" s="2658"/>
      <c r="V66" s="2658"/>
      <c r="W66" s="2658"/>
      <c r="X66" s="2658"/>
      <c r="Y66" s="2658"/>
      <c r="Z66" s="2658"/>
      <c r="AA66" s="2658"/>
      <c r="AB66" s="2658"/>
      <c r="AC66" s="2658"/>
      <c r="AD66" s="2658"/>
      <c r="AE66" s="2658"/>
    </row>
    <row r="67" spans="1:31" s="108" customFormat="1" ht="15" thickBot="1">
      <c r="A67" s="464" t="s">
        <v>1714</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4.4">
      <c r="A68" s="470" t="s">
        <v>1679</v>
      </c>
      <c r="B68" s="459"/>
      <c r="C68" s="471" t="s">
        <v>1774</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4.4"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ht="14.4">
      <c r="A70" s="476" t="s">
        <v>1717</v>
      </c>
      <c r="B70" s="477" t="s">
        <v>1683</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3"/>
      <c r="B72" s="487" t="s">
        <v>1686</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4.4"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4.4"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4.4"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4.4"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4.4"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4.4"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ht="14.4">
      <c r="A83" s="476" t="s">
        <v>1688</v>
      </c>
      <c r="B83" s="477" t="s">
        <v>1827</v>
      </c>
      <c r="C83" s="522" t="s">
        <v>1719</v>
      </c>
      <c r="D83" s="522" t="s">
        <v>1720</v>
      </c>
      <c r="E83" s="522" t="s">
        <v>1721</v>
      </c>
      <c r="F83" s="522" t="s">
        <v>1722</v>
      </c>
      <c r="G83" s="522" t="s">
        <v>1723</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3"/>
      <c r="B85" s="487" t="s">
        <v>1724</v>
      </c>
      <c r="C85" s="527" t="s">
        <v>1719</v>
      </c>
      <c r="D85" s="527" t="s">
        <v>1720</v>
      </c>
      <c r="E85" s="527" t="s">
        <v>1721</v>
      </c>
      <c r="F85" s="527" t="s">
        <v>1722</v>
      </c>
      <c r="G85" s="527" t="s">
        <v>1723</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9.4" thickTop="1">
      <c r="A87" s="528"/>
      <c r="B87" s="487" t="s">
        <v>1905</v>
      </c>
      <c r="C87" s="522" t="s">
        <v>1719</v>
      </c>
      <c r="D87" s="522" t="s">
        <v>1720</v>
      </c>
      <c r="E87" s="522" t="s">
        <v>1721</v>
      </c>
      <c r="F87" s="522" t="s">
        <v>1722</v>
      </c>
      <c r="G87" s="522" t="s">
        <v>1723</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4" thickTop="1">
      <c r="A89" s="528"/>
      <c r="B89" s="487" t="s">
        <v>1906</v>
      </c>
      <c r="C89" s="522" t="s">
        <v>1719</v>
      </c>
      <c r="D89" s="522" t="s">
        <v>1720</v>
      </c>
      <c r="E89" s="522" t="s">
        <v>1721</v>
      </c>
      <c r="F89" s="522" t="s">
        <v>1722</v>
      </c>
      <c r="G89" s="522" t="s">
        <v>1723</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 thickTop="1">
      <c r="A91" s="502"/>
      <c r="B91" s="487" t="s">
        <v>1776</v>
      </c>
      <c r="C91" s="522" t="s">
        <v>1719</v>
      </c>
      <c r="D91" s="522" t="s">
        <v>1720</v>
      </c>
      <c r="E91" s="522" t="s">
        <v>1721</v>
      </c>
      <c r="F91" s="522" t="s">
        <v>1722</v>
      </c>
      <c r="G91" s="522" t="s">
        <v>1723</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 thickTop="1">
      <c r="A93" s="502"/>
      <c r="B93" s="495" t="s">
        <v>1923</v>
      </c>
      <c r="C93" s="608" t="s">
        <v>1797</v>
      </c>
      <c r="D93" s="608" t="s">
        <v>1798</v>
      </c>
      <c r="E93" s="608" t="s">
        <v>1799</v>
      </c>
      <c r="F93" s="608" t="s">
        <v>1800</v>
      </c>
      <c r="G93" s="608" t="s">
        <v>1801</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0"/>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3"/>
      <c r="B95" s="487" t="str">
        <f>B27</f>
        <v>临街状况</v>
      </c>
      <c r="C95" s="488" t="s">
        <v>1907</v>
      </c>
      <c r="D95" s="488" t="s">
        <v>1908</v>
      </c>
      <c r="E95" s="488" t="s">
        <v>1909</v>
      </c>
      <c r="F95" s="488" t="s">
        <v>1910</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3"/>
      <c r="B97" s="487" t="s">
        <v>1813</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3"/>
      <c r="B99" s="487" t="s">
        <v>1871</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4.4"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4.4"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14.4">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1912</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1914</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1915</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4.4"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4.4"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6" sqref="F26"/>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2081</v>
      </c>
      <c r="C1" s="3801" t="s">
        <v>2082</v>
      </c>
      <c r="D1" s="3802"/>
      <c r="E1" s="3802"/>
      <c r="F1" s="3802"/>
      <c r="G1" s="3802"/>
      <c r="H1" s="3802"/>
      <c r="I1" s="3802"/>
      <c r="J1" s="3802"/>
      <c r="K1" s="3802"/>
      <c r="L1" s="3802"/>
      <c r="M1" s="3802"/>
      <c r="N1" s="3802"/>
      <c r="O1" s="3802"/>
      <c r="P1" s="3802"/>
      <c r="Q1" s="3802"/>
      <c r="R1" s="3802"/>
      <c r="S1" s="3803"/>
      <c r="T1" s="981" t="s">
        <v>2083</v>
      </c>
    </row>
    <row r="2" spans="1:45" s="655" customFormat="1" ht="26.4">
      <c r="A2" s="982"/>
      <c r="B2" s="651" t="s">
        <v>2084</v>
      </c>
      <c r="C2" s="652" t="str">
        <f t="shared" ref="C2:L2" si="0">C3&amp;"(含)"&amp;"-"&amp;D3</f>
        <v>0(含)-100</v>
      </c>
      <c r="D2" s="653" t="str">
        <f t="shared" si="0"/>
        <v>100(含)-300</v>
      </c>
      <c r="E2" s="653" t="str">
        <f t="shared" si="0"/>
        <v>300(含)-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3.8">
      <c r="A3" s="984"/>
      <c r="B3" s="656"/>
      <c r="C3" s="544">
        <v>0</v>
      </c>
      <c r="D3" s="544">
        <v>100</v>
      </c>
      <c r="E3" s="544">
        <v>300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4.4" thickBot="1">
      <c r="A4" s="985"/>
      <c r="B4" s="986"/>
      <c r="C4" s="509">
        <v>100</v>
      </c>
      <c r="D4" s="485">
        <f>C4-2</f>
        <v>98</v>
      </c>
      <c r="E4" s="485">
        <f>D4-2</f>
        <v>96</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24.6" thickTop="1">
      <c r="A5" s="992"/>
      <c r="B5" s="3482" t="s">
        <v>3494</v>
      </c>
      <c r="C5" s="3483" t="s">
        <v>3495</v>
      </c>
      <c r="D5" s="3484" t="s">
        <v>3496</v>
      </c>
      <c r="E5" s="994"/>
      <c r="F5" s="1310"/>
      <c r="G5" s="1310"/>
      <c r="H5" s="1310"/>
      <c r="I5" s="1310"/>
      <c r="J5" s="1310"/>
      <c r="K5" s="1310"/>
      <c r="L5" s="1311"/>
      <c r="M5" s="1312"/>
      <c r="N5" s="1312"/>
      <c r="O5" s="1310"/>
      <c r="P5" s="1310"/>
      <c r="Q5" s="1310"/>
      <c r="R5" s="1310"/>
      <c r="S5" s="1313"/>
      <c r="T5" s="996">
        <v>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8" thickBot="1">
      <c r="A6" s="992"/>
      <c r="B6" s="897"/>
      <c r="C6" s="903">
        <v>100</v>
      </c>
      <c r="D6" s="900">
        <f>C6-$T5</f>
        <v>95</v>
      </c>
      <c r="E6" s="900">
        <f t="shared" ref="E6:S6" si="7">D6-$T5</f>
        <v>90</v>
      </c>
      <c r="F6" s="1314">
        <f t="shared" si="7"/>
        <v>85</v>
      </c>
      <c r="G6" s="1314">
        <f t="shared" si="7"/>
        <v>80</v>
      </c>
      <c r="H6" s="1314">
        <f t="shared" si="7"/>
        <v>75</v>
      </c>
      <c r="I6" s="1314">
        <f t="shared" si="7"/>
        <v>70</v>
      </c>
      <c r="J6" s="1314">
        <f t="shared" si="7"/>
        <v>65</v>
      </c>
      <c r="K6" s="1314">
        <f t="shared" si="7"/>
        <v>60</v>
      </c>
      <c r="L6" s="1314">
        <f t="shared" si="7"/>
        <v>55</v>
      </c>
      <c r="M6" s="1314">
        <f t="shared" si="7"/>
        <v>50</v>
      </c>
      <c r="N6" s="1314">
        <f t="shared" si="7"/>
        <v>45</v>
      </c>
      <c r="O6" s="1314">
        <f t="shared" si="7"/>
        <v>40</v>
      </c>
      <c r="P6" s="1314">
        <f t="shared" si="7"/>
        <v>35</v>
      </c>
      <c r="Q6" s="1314">
        <f t="shared" si="7"/>
        <v>30</v>
      </c>
      <c r="R6" s="1314">
        <f t="shared" si="7"/>
        <v>25</v>
      </c>
      <c r="S6" s="1314">
        <f t="shared" si="7"/>
        <v>20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3485"/>
      <c r="C7" s="3486"/>
      <c r="D7" s="3487"/>
      <c r="E7" s="896"/>
      <c r="F7" s="1315"/>
      <c r="G7" s="1315"/>
      <c r="H7" s="1315"/>
      <c r="I7" s="1315"/>
      <c r="J7" s="1315"/>
      <c r="K7" s="1315"/>
      <c r="L7" s="1315"/>
      <c r="M7" s="1316"/>
      <c r="N7" s="1317"/>
      <c r="O7" s="1318"/>
      <c r="P7" s="1319"/>
      <c r="Q7" s="1320"/>
      <c r="R7" s="1321"/>
      <c r="S7" s="1322"/>
      <c r="T7" s="659">
        <v>2</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8" thickBot="1">
      <c r="A8" s="992"/>
      <c r="B8" s="897"/>
      <c r="C8" s="903">
        <v>100</v>
      </c>
      <c r="D8" s="900">
        <f>C8-$T7</f>
        <v>98</v>
      </c>
      <c r="E8" s="900">
        <f t="shared" ref="E8:S8" si="8">D8-$T7</f>
        <v>96</v>
      </c>
      <c r="F8" s="1314">
        <f t="shared" si="8"/>
        <v>94</v>
      </c>
      <c r="G8" s="1314">
        <f t="shared" si="8"/>
        <v>92</v>
      </c>
      <c r="H8" s="1314">
        <f t="shared" si="8"/>
        <v>90</v>
      </c>
      <c r="I8" s="1314">
        <f t="shared" si="8"/>
        <v>88</v>
      </c>
      <c r="J8" s="1314">
        <f t="shared" si="8"/>
        <v>86</v>
      </c>
      <c r="K8" s="1314">
        <f t="shared" si="8"/>
        <v>84</v>
      </c>
      <c r="L8" s="1314">
        <f t="shared" si="8"/>
        <v>82</v>
      </c>
      <c r="M8" s="1314">
        <f t="shared" si="8"/>
        <v>80</v>
      </c>
      <c r="N8" s="1314">
        <f t="shared" si="8"/>
        <v>78</v>
      </c>
      <c r="O8" s="1314">
        <f t="shared" si="8"/>
        <v>76</v>
      </c>
      <c r="P8" s="1314">
        <f t="shared" si="8"/>
        <v>74</v>
      </c>
      <c r="Q8" s="1314">
        <f t="shared" si="8"/>
        <v>72</v>
      </c>
      <c r="R8" s="1314">
        <f t="shared" si="8"/>
        <v>70</v>
      </c>
      <c r="S8" s="1314">
        <f t="shared" si="8"/>
        <v>68</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2085</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8"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2086</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8"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2087</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8"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2088</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8"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2089</v>
      </c>
      <c r="B17" s="2147" t="s">
        <v>2090</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8"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2091</v>
      </c>
      <c r="E19" s="1338"/>
      <c r="F19" s="1338"/>
      <c r="G19" s="1338"/>
      <c r="H19" s="1057"/>
      <c r="I19" s="159"/>
      <c r="J19" s="159"/>
      <c r="K19" s="159"/>
      <c r="L19" s="159"/>
      <c r="M19" s="159"/>
      <c r="N19" s="159"/>
      <c r="O19" s="159"/>
      <c r="P19" s="159"/>
      <c r="Q19" s="159"/>
      <c r="R19" s="716"/>
      <c r="S19" s="129"/>
    </row>
    <row r="20" spans="1:45" ht="16.2" thickBot="1">
      <c r="A20" s="660" t="s">
        <v>2092</v>
      </c>
      <c r="B20" s="294">
        <f ca="1">IF(D20="——",S22,S22-F20)</f>
        <v>1733</v>
      </c>
      <c r="C20" s="159"/>
      <c r="D20" s="2149" t="s">
        <v>43</v>
      </c>
      <c r="E20" s="1339"/>
      <c r="F20" s="981" t="e">
        <f ca="1">SUMIF(INDIRECT("'"&amp;H20&amp;"'"&amp;"!A:A"),"承租人权益价值",INDIRECT("'"&amp;H20&amp;"'"&amp;"!c:c"))</f>
        <v>#REF!</v>
      </c>
      <c r="G20" s="981" t="s">
        <v>2093</v>
      </c>
      <c r="H20" s="2150"/>
      <c r="I20" s="159"/>
      <c r="J20" s="159"/>
      <c r="K20" s="159"/>
      <c r="L20" s="159"/>
      <c r="M20" s="159"/>
      <c r="N20" s="159"/>
      <c r="O20" s="159"/>
      <c r="P20" s="159"/>
      <c r="Q20" s="159"/>
      <c r="R20" s="716"/>
      <c r="S20" s="129"/>
    </row>
    <row r="21" spans="1:45" ht="15.6">
      <c r="A21" s="660" t="s">
        <v>2094</v>
      </c>
      <c r="B21" s="294">
        <f ca="1">ROUND(B20*10000/B22,0)</f>
        <v>33227</v>
      </c>
      <c r="C21" s="159"/>
      <c r="D21" s="159"/>
      <c r="E21" s="159"/>
      <c r="F21" s="159"/>
      <c r="G21" s="159"/>
      <c r="H21" s="159"/>
      <c r="I21" s="159"/>
      <c r="J21" s="159"/>
      <c r="K21" s="159"/>
      <c r="L21" s="159"/>
      <c r="M21" s="159"/>
      <c r="N21" s="159"/>
      <c r="O21" s="159"/>
      <c r="P21" s="159"/>
      <c r="Q21" s="159"/>
      <c r="R21" s="716"/>
      <c r="S21" s="129"/>
    </row>
    <row r="22" spans="1:45">
      <c r="A22" s="316" t="s">
        <v>2095</v>
      </c>
      <c r="B22" s="21">
        <f>SUM(B24:B10000)</f>
        <v>521.56999999999994</v>
      </c>
      <c r="C22" s="3798" t="s">
        <v>27</v>
      </c>
      <c r="D22" s="3799"/>
      <c r="E22" s="3799"/>
      <c r="F22" s="3799"/>
      <c r="G22" s="3799"/>
      <c r="H22" s="3799"/>
      <c r="I22" s="3799"/>
      <c r="J22" s="3799"/>
      <c r="K22" s="3799"/>
      <c r="L22" s="3799"/>
      <c r="M22" s="3799"/>
      <c r="N22" s="3799"/>
      <c r="O22" s="3799"/>
      <c r="P22" s="3799"/>
      <c r="Q22" s="3800"/>
      <c r="R22" s="661">
        <f ca="1">ROUND(S22*10000/B22,0)</f>
        <v>33227</v>
      </c>
      <c r="S22" s="21">
        <f ca="1">SUM(S24:S10000)</f>
        <v>1733</v>
      </c>
    </row>
    <row r="23" spans="1:45" s="9" customFormat="1" ht="26.4">
      <c r="A23" s="8" t="s">
        <v>2096</v>
      </c>
      <c r="B23" s="8" t="s">
        <v>2097</v>
      </c>
      <c r="C23" s="8" t="s">
        <v>2098</v>
      </c>
      <c r="D23" s="8" t="str">
        <f>B5</f>
        <v>平面位置可视性</v>
      </c>
      <c r="E23" s="8" t="s">
        <v>2098</v>
      </c>
      <c r="F23" s="8">
        <f>B7</f>
        <v>0</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2" t="s">
        <v>2099</v>
      </c>
      <c r="S23" s="8" t="s">
        <v>2100</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110</v>
      </c>
      <c r="B24" s="663">
        <f>'数据-汇总表'!E19</f>
        <v>268.52</v>
      </c>
      <c r="C24" s="2807">
        <v>1</v>
      </c>
      <c r="D24" s="2808" t="s">
        <v>3448</v>
      </c>
      <c r="E24" s="2807">
        <v>1</v>
      </c>
      <c r="F24" s="2808"/>
      <c r="G24" s="2807">
        <v>1</v>
      </c>
      <c r="H24" s="2808"/>
      <c r="I24" s="2807">
        <v>1</v>
      </c>
      <c r="J24" s="2808"/>
      <c r="K24" s="2807">
        <v>1</v>
      </c>
      <c r="L24" s="2808"/>
      <c r="M24" s="2807">
        <v>1</v>
      </c>
      <c r="N24" s="2808"/>
      <c r="O24" s="2807">
        <v>1</v>
      </c>
      <c r="P24" s="2808"/>
      <c r="Q24" s="2807">
        <v>1</v>
      </c>
      <c r="R24" s="666">
        <f ca="1">结果表110!H102</f>
        <v>34052</v>
      </c>
      <c r="S24" s="664">
        <f t="shared" ref="S24:S54" ca="1" si="11">ROUND(R24*B24/10000,0)</f>
        <v>914</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104</v>
      </c>
      <c r="B25" s="54">
        <f>'数据-汇总表'!E20</f>
        <v>253.05</v>
      </c>
      <c r="C25" s="21">
        <f>IF(B25="",1,(LOOKUP(B25,$3:$3,$4:$4)-LOOKUP($B$24,$3:$3,$4:$4)+100)/100)</f>
        <v>1</v>
      </c>
      <c r="D25" s="665" t="s">
        <v>3447</v>
      </c>
      <c r="E25" s="21">
        <f>(SUMIF($5:$5,D25,$6:$6)-SUMIF($5:$5,$D$24,$6:$6)+100)/100</f>
        <v>0.95</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32349</v>
      </c>
      <c r="S25" s="316">
        <f t="shared" ca="1" si="11"/>
        <v>819</v>
      </c>
    </row>
    <row r="26" spans="1:45">
      <c r="A26" s="150"/>
      <c r="B26" s="54"/>
      <c r="C26" s="21">
        <f t="shared" ref="C26:C89" si="12">IF(B26="",1,(LOOKUP(B26,$3:$3,$4:$4)-LOOKUP($B$24,$3:$3,$4:$4)+100)/100)</f>
        <v>1</v>
      </c>
      <c r="D26" s="665"/>
      <c r="E26" s="21">
        <f t="shared" ref="E26:E89" si="13">(SUMIF($5:$5,D26,$6:$6)-SUMIF($5:$5,$D$24,$6:$6)+100)/100</f>
        <v>0</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0</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0</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0</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0</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0</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0</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0</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0</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0</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0</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v>110</v>
      </c>
      <c r="B437" s="54"/>
      <c r="C437" s="21">
        <f t="shared" si="74"/>
        <v>1</v>
      </c>
      <c r="D437" s="665"/>
      <c r="E437" s="21">
        <f t="shared" si="75"/>
        <v>0</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0" customWidth="1"/>
    <col min="2" max="2" width="37.21875" style="1490" customWidth="1"/>
    <col min="3" max="3" width="11.33203125" style="1490" customWidth="1"/>
    <col min="4" max="4" width="31.77734375" style="1490" customWidth="1"/>
    <col min="5" max="5" width="0.44140625" style="1490" customWidth="1"/>
    <col min="6" max="7" width="13" style="1490" customWidth="1"/>
    <col min="8" max="16384" width="9" style="1490"/>
  </cols>
  <sheetData>
    <row r="1" spans="1:5" ht="17.399999999999999">
      <c r="A1" s="1488" t="s">
        <v>906</v>
      </c>
      <c r="B1" s="1489"/>
      <c r="C1" s="1489"/>
      <c r="D1" s="1489"/>
      <c r="E1" s="1489"/>
    </row>
    <row r="2" spans="1:5" ht="78" customHeight="1">
      <c r="A2" s="35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0"/>
      <c r="C2" s="3520"/>
      <c r="D2" s="3520"/>
      <c r="E2" s="3520"/>
    </row>
    <row r="3" spans="1:5" ht="17.399999999999999">
      <c r="A3" s="3521" t="str">
        <f>IF(项目基本情况!B9="房地产市场价值","估价结果一览表（市场价值不需“结果表-1”）","估价结果一览表")</f>
        <v>估价结果一览表</v>
      </c>
      <c r="B3" s="3521"/>
      <c r="C3" s="3521"/>
      <c r="D3" s="3521"/>
      <c r="E3" s="3521"/>
    </row>
    <row r="4" spans="1:5" ht="18" thickBot="1">
      <c r="A4" s="1491"/>
      <c r="B4" s="3519" t="s">
        <v>915</v>
      </c>
      <c r="C4" s="3519"/>
      <c r="D4" s="3519"/>
      <c r="E4" s="1491"/>
    </row>
    <row r="5" spans="1:5" ht="16.2" thickTop="1">
      <c r="A5" s="1489"/>
      <c r="B5" s="3517" t="s">
        <v>907</v>
      </c>
      <c r="C5" s="1492" t="s">
        <v>908</v>
      </c>
      <c r="D5" s="848">
        <f ca="1">结果表110!H101</f>
        <v>914</v>
      </c>
      <c r="E5" s="1489"/>
    </row>
    <row r="6" spans="1:5" ht="15.6">
      <c r="A6" s="1489"/>
      <c r="B6" s="3517"/>
      <c r="C6" s="1492" t="s">
        <v>909</v>
      </c>
      <c r="D6" s="848" t="str">
        <f ca="1">NUMBERSTRING(INT(D5*10000),2)&amp;"元整"</f>
        <v>玖佰壹拾肆万元整</v>
      </c>
      <c r="E6" s="1489"/>
    </row>
    <row r="7" spans="1:5" ht="15.6">
      <c r="A7" s="1489"/>
      <c r="B7" s="3522"/>
      <c r="C7" s="1493" t="s">
        <v>910</v>
      </c>
      <c r="D7" s="849">
        <f ca="1">结果表110!H102</f>
        <v>34052</v>
      </c>
      <c r="E7" s="1489"/>
    </row>
    <row r="8" spans="1:5" ht="15.6">
      <c r="A8" s="1489"/>
      <c r="B8" s="3523" t="str">
        <f>结果表110!E103</f>
        <v>2.估价师知悉的法定优先受偿款</v>
      </c>
      <c r="C8" s="1494" t="s">
        <v>911</v>
      </c>
      <c r="D8" s="849">
        <f>结果表110!H103</f>
        <v>0</v>
      </c>
      <c r="E8" s="1489"/>
    </row>
    <row r="9" spans="1:5" ht="15.6">
      <c r="A9" s="1489"/>
      <c r="B9" s="3525"/>
      <c r="C9" s="1492" t="s">
        <v>909</v>
      </c>
      <c r="D9" s="848" t="str">
        <f>NUMBERSTRING(INT(D8*10000),2)&amp;"元整"</f>
        <v>零元整</v>
      </c>
      <c r="E9" s="1489"/>
    </row>
    <row r="10" spans="1:5" ht="15.6">
      <c r="A10" s="1489"/>
      <c r="B10" s="1495" t="s">
        <v>914</v>
      </c>
      <c r="C10" s="1496" t="s">
        <v>912</v>
      </c>
      <c r="D10" s="850">
        <f>结果表110!H104</f>
        <v>0</v>
      </c>
      <c r="E10" s="1489"/>
    </row>
    <row r="11" spans="1:5" ht="15.6">
      <c r="A11" s="1489"/>
      <c r="B11" s="1495" t="s">
        <v>916</v>
      </c>
      <c r="C11" s="1496" t="s">
        <v>917</v>
      </c>
      <c r="D11" s="850">
        <f>结果表110!H105</f>
        <v>0</v>
      </c>
      <c r="E11" s="1489"/>
    </row>
    <row r="12" spans="1:5" ht="15.6">
      <c r="A12" s="1489"/>
      <c r="B12" s="1495" t="s">
        <v>918</v>
      </c>
      <c r="C12" s="1496" t="s">
        <v>917</v>
      </c>
      <c r="D12" s="850">
        <f>结果表110!H106</f>
        <v>0</v>
      </c>
      <c r="E12" s="1489"/>
    </row>
    <row r="13" spans="1:5" ht="15.6">
      <c r="A13" s="1489"/>
      <c r="B13" s="3516" t="str">
        <f>结果表110!E107</f>
        <v>3.房地产抵押价值</v>
      </c>
      <c r="C13" s="1497" t="s">
        <v>908</v>
      </c>
      <c r="D13" s="851">
        <f ca="1">结果表110!H107</f>
        <v>914</v>
      </c>
      <c r="E13" s="1489"/>
    </row>
    <row r="14" spans="1:5" ht="15.6">
      <c r="A14" s="1489"/>
      <c r="B14" s="3517"/>
      <c r="C14" s="1492" t="s">
        <v>909</v>
      </c>
      <c r="D14" s="848" t="str">
        <f ca="1">NUMBERSTRING(INT(D13*10000),2)&amp;"元整"</f>
        <v>玖佰壹拾肆万元整</v>
      </c>
      <c r="E14" s="1489"/>
    </row>
    <row r="15" spans="1:5" ht="15.6">
      <c r="A15" s="1489"/>
      <c r="B15" s="3522"/>
      <c r="C15" s="1493" t="s">
        <v>919</v>
      </c>
      <c r="D15" s="857">
        <f ca="1">结果表110!H108</f>
        <v>34052</v>
      </c>
      <c r="E15" s="1489"/>
    </row>
    <row r="16" spans="1:5" ht="15.6">
      <c r="A16" s="1489"/>
      <c r="B16" s="3523" t="str">
        <f>结果表110!E109</f>
        <v>——</v>
      </c>
      <c r="C16" s="1497" t="s">
        <v>920</v>
      </c>
      <c r="D16" s="1498" t="str">
        <f>结果表110!H109</f>
        <v>——</v>
      </c>
      <c r="E16" s="1489"/>
    </row>
    <row r="17" spans="1:5" ht="15.6">
      <c r="A17" s="1489"/>
      <c r="B17" s="3524"/>
      <c r="C17" s="1492" t="s">
        <v>921</v>
      </c>
      <c r="D17" s="848" t="e">
        <f>NUMBERSTRING(INT(D16*10000),2)&amp;"元整"</f>
        <v>#VALUE!</v>
      </c>
      <c r="E17" s="1489"/>
    </row>
    <row r="18" spans="1:5" ht="15.6">
      <c r="A18" s="1489"/>
      <c r="B18" s="3525"/>
      <c r="C18" s="1493" t="s">
        <v>910</v>
      </c>
      <c r="D18" s="857" t="str">
        <f>结果表110!H110</f>
        <v>——</v>
      </c>
      <c r="E18" s="1489"/>
    </row>
    <row r="19" spans="1:5" ht="15.6">
      <c r="A19" s="1489"/>
      <c r="B19" s="3516" t="str">
        <f>结果表110!E111</f>
        <v>——</v>
      </c>
      <c r="C19" s="1497" t="s">
        <v>908</v>
      </c>
      <c r="D19" s="849" t="str">
        <f>结果表110!H111</f>
        <v>——</v>
      </c>
      <c r="E19" s="1489"/>
    </row>
    <row r="20" spans="1:5" ht="15.6">
      <c r="A20" s="1489"/>
      <c r="B20" s="3517"/>
      <c r="C20" s="1492" t="s">
        <v>921</v>
      </c>
      <c r="D20" s="848" t="e">
        <f>NUMBERSTRING(INT(D19*10000),2)&amp;"元整"</f>
        <v>#VALUE!</v>
      </c>
      <c r="E20" s="1489"/>
    </row>
    <row r="21" spans="1:5" ht="16.2" thickBot="1">
      <c r="A21" s="1489"/>
      <c r="B21" s="3518"/>
      <c r="C21" s="1499" t="s">
        <v>919</v>
      </c>
      <c r="D21" s="858" t="str">
        <f>结果表110!H112</f>
        <v>——</v>
      </c>
      <c r="E21" s="1489"/>
    </row>
    <row r="22" spans="1:5" ht="14.4" thickTop="1">
      <c r="A22" s="1489"/>
      <c r="B22" s="1500" t="s">
        <v>922</v>
      </c>
      <c r="C22" s="1489"/>
      <c r="D22" s="1489"/>
      <c r="E22" s="1489"/>
    </row>
    <row r="23" spans="1:5">
      <c r="A23" s="1489"/>
      <c r="B23" s="1489"/>
      <c r="C23" s="1489"/>
      <c r="D23" s="1489"/>
      <c r="E23" s="1489"/>
    </row>
    <row r="24" spans="1:5" ht="17.399999999999999">
      <c r="A24" s="1501"/>
      <c r="B24" s="1502" t="s">
        <v>913</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5" customWidth="1"/>
    <col min="2" max="2" width="12.44140625" style="1475" customWidth="1"/>
    <col min="3" max="3" width="12.109375" style="1475" customWidth="1"/>
    <col min="4" max="4" width="14.109375" style="1475" customWidth="1"/>
    <col min="5" max="5" width="12.44140625" style="1475" customWidth="1"/>
    <col min="6" max="16384" width="9" style="1475"/>
  </cols>
  <sheetData>
    <row r="1" spans="1:16" ht="21.6">
      <c r="A1" s="1865" t="s">
        <v>2079</v>
      </c>
      <c r="B1" s="2145"/>
      <c r="C1" s="2145"/>
      <c r="D1" s="2145"/>
      <c r="E1" s="2145"/>
      <c r="F1" s="2790"/>
      <c r="G1" s="2790"/>
      <c r="H1" s="2790"/>
      <c r="I1" s="2790"/>
      <c r="J1" s="2790"/>
      <c r="K1" s="2790"/>
      <c r="L1" s="2790"/>
      <c r="M1" s="2790"/>
      <c r="N1" s="2790"/>
      <c r="O1" s="2790"/>
      <c r="P1" s="2790"/>
    </row>
    <row r="2" spans="1:16" ht="15.6">
      <c r="A2" s="2143" t="s">
        <v>2071</v>
      </c>
      <c r="B2" s="2599">
        <f ca="1">SUMIF(B6:B13,"&lt;&gt;#ref!",B6:B13)</f>
        <v>0</v>
      </c>
      <c r="C2" s="2143" t="s">
        <v>2072</v>
      </c>
      <c r="D2" s="2143" t="s">
        <v>2073</v>
      </c>
      <c r="E2" s="2609">
        <f ca="1">SUMIF(E6:E13,"&lt;&gt;#ref!",E6:E13)</f>
        <v>268.52</v>
      </c>
      <c r="F2" s="2790"/>
      <c r="G2" s="2790"/>
      <c r="H2" s="2790"/>
      <c r="I2" s="2790"/>
      <c r="J2" s="2790"/>
      <c r="K2" s="2790"/>
      <c r="L2" s="2790"/>
      <c r="M2" s="2790"/>
      <c r="N2" s="2790"/>
      <c r="O2" s="2790"/>
      <c r="P2" s="2790"/>
    </row>
    <row r="3" spans="1:16" ht="15.6">
      <c r="A3" s="2143" t="s">
        <v>2074</v>
      </c>
      <c r="B3" s="2599">
        <f ca="1">ROUND(B2*10000/E2,0)</f>
        <v>0</v>
      </c>
      <c r="C3" s="2143" t="s">
        <v>2080</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2075</v>
      </c>
      <c r="B5" s="2607" t="s">
        <v>2076</v>
      </c>
      <c r="C5" s="2144"/>
      <c r="D5" s="2790"/>
      <c r="E5" s="2608" t="s">
        <v>2077</v>
      </c>
      <c r="F5" s="2790"/>
      <c r="G5" s="2790"/>
      <c r="H5" s="2790"/>
      <c r="I5" s="2790"/>
      <c r="J5" s="2790"/>
      <c r="K5" s="2790"/>
      <c r="L5" s="2790"/>
      <c r="M5" s="2790"/>
      <c r="N5" s="2790"/>
      <c r="O5" s="2790"/>
      <c r="P5" s="2790"/>
    </row>
    <row r="6" spans="1:16" ht="15.6">
      <c r="A6" s="2606" t="s">
        <v>2078</v>
      </c>
      <c r="B6" s="2599">
        <f ca="1">SUMIF(INDIRECT("'"&amp;A6&amp;"'"&amp;"!A:A"),"总价",INDIRECT("'"&amp;A6&amp;"'"&amp;"!B:B"))</f>
        <v>0</v>
      </c>
      <c r="C6" s="2143" t="s">
        <v>2072</v>
      </c>
      <c r="D6" s="2790"/>
      <c r="E6" s="2609">
        <f ca="1">SUMIF(INDIRECT("'"&amp;A6&amp;"'"&amp;"!C:C"),"建筑面积",INDIRECT("'"&amp;A6&amp;"'"&amp;"!D:D"))</f>
        <v>268.52</v>
      </c>
      <c r="F6" s="2790"/>
      <c r="G6" s="2790"/>
      <c r="H6" s="2790"/>
      <c r="I6" s="2790"/>
      <c r="J6" s="2790"/>
      <c r="K6" s="2790"/>
      <c r="L6" s="2790"/>
      <c r="M6" s="2790"/>
      <c r="N6" s="2790"/>
      <c r="O6" s="2790"/>
      <c r="P6" s="2790"/>
    </row>
    <row r="7" spans="1:16" ht="15.6">
      <c r="A7" s="2606"/>
      <c r="B7" s="2599" t="e">
        <f ca="1">SUMIF(INDIRECT("'"&amp;A7&amp;"'"&amp;"!A:A"),"总价",INDIRECT("'"&amp;A7&amp;"'"&amp;"!B:B"))</f>
        <v>#REF!</v>
      </c>
      <c r="C7" s="2143" t="s">
        <v>2072</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3" t="s">
        <v>2072</v>
      </c>
      <c r="D8" s="2790"/>
      <c r="E8" s="2609" t="e">
        <f t="shared" ca="1" si="0"/>
        <v>#REF!</v>
      </c>
      <c r="F8" s="2790"/>
      <c r="G8" s="2790"/>
      <c r="H8" s="2790"/>
      <c r="I8" s="2790"/>
      <c r="J8" s="2790"/>
      <c r="K8" s="2790"/>
      <c r="L8" s="2790"/>
      <c r="M8" s="2790"/>
      <c r="N8" s="2790"/>
      <c r="O8" s="2790"/>
      <c r="P8" s="2790"/>
    </row>
    <row r="9" spans="1:16" ht="15.6">
      <c r="A9" s="2606"/>
      <c r="B9" s="2599" t="e">
        <f t="shared" ca="1" si="1"/>
        <v>#REF!</v>
      </c>
      <c r="C9" s="2143" t="s">
        <v>2072</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3" t="s">
        <v>2072</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3" t="s">
        <v>2072</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3" t="s">
        <v>2072</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3" t="s">
        <v>2072</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88" zoomScale="70" zoomScaleNormal="80" zoomScaleSheetLayoutView="70" workbookViewId="0">
      <selection activeCell="E26" sqref="E26"/>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19" customWidth="1"/>
    <col min="33" max="36" width="9.33203125" style="2051" customWidth="1"/>
    <col min="37" max="38" width="9.33203125" style="1996" customWidth="1"/>
    <col min="39" max="16384" width="12" style="1996"/>
  </cols>
  <sheetData>
    <row r="1" spans="1:36" ht="31.2">
      <c r="A1" s="196" t="s">
        <v>1924</v>
      </c>
      <c r="B1" s="197"/>
      <c r="C1" s="201" t="s">
        <v>1925</v>
      </c>
      <c r="D1" s="342">
        <f>SUM(D33:D34,D37:D42)</f>
        <v>268.52</v>
      </c>
      <c r="E1" s="1993"/>
      <c r="F1" s="1993"/>
      <c r="G1" s="1993"/>
      <c r="H1" s="1993"/>
      <c r="I1" s="1993"/>
      <c r="J1" s="1993"/>
      <c r="K1" s="1117"/>
      <c r="L1" s="1994" t="s">
        <v>1926</v>
      </c>
      <c r="M1" s="861">
        <f>SUMPRODUCT((区片价!B5:B9=I2)*(区片价!C3:G3=E2)*(区片价!C5:G9))</f>
        <v>0</v>
      </c>
      <c r="N1" s="864">
        <f>SUMPRODUCT((因素修正幅度!B5:B9=I2)*(因素修正幅度!C3:G3=E2)*(因素修正幅度!C5:G9))</f>
        <v>0</v>
      </c>
      <c r="O1" s="1995"/>
      <c r="P1" s="1995"/>
      <c r="Q1" s="1117"/>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6">
      <c r="A2" s="201" t="s">
        <v>1932</v>
      </c>
      <c r="B2" s="204">
        <f>C30</f>
        <v>0</v>
      </c>
      <c r="C2" s="1997" t="s">
        <v>1933</v>
      </c>
      <c r="D2" s="1998" t="s">
        <v>1934</v>
      </c>
      <c r="E2" s="3419" t="s">
        <v>671</v>
      </c>
      <c r="F2" s="1998" t="s">
        <v>1935</v>
      </c>
      <c r="G2" s="1999" t="str">
        <f>IF(E2="商业",项目基本情况!B37,IF(E2="办公",项目基本情况!C37,IF(E2="住宅",项目基本情况!D37,IF(E2="工业",项目基本情况!E37,项目基本情况!F37))))</f>
        <v>七级</v>
      </c>
      <c r="H2" s="1998" t="s">
        <v>1936</v>
      </c>
      <c r="I2" s="1999" t="str">
        <f>IF(E2="商业",项目基本情况!B38,IF(E2="办公",项目基本情况!C38,IF(E2="住宅",项目基本情况!D38,IF(E2="工业",项目基本情况!E38,项目基本情况!F38))))</f>
        <v>Ⅶ-02</v>
      </c>
      <c r="J2" s="2000"/>
      <c r="K2" s="1117"/>
      <c r="L2" s="2001" t="s">
        <v>1937</v>
      </c>
      <c r="M2" s="862">
        <f>SUMPRODUCT((区片价!B10:B29=I2)*(区片价!C3:G3=E2)*(区片价!C10:G29))</f>
        <v>0</v>
      </c>
      <c r="N2" s="864">
        <f>SUMPRODUCT((因素修正幅度!B10:B29=I2)*(因素修正幅度!C3:G3=E2)*(因素修正幅度!C10:G29))</f>
        <v>0</v>
      </c>
      <c r="O2" s="1117"/>
      <c r="P2" s="1117"/>
      <c r="Q2" s="1117"/>
      <c r="R2" s="1210">
        <v>1</v>
      </c>
      <c r="S2" s="3358">
        <f>ROUND(SUMPRODUCT((B106:B110=R2)*(C105:N105=G2)*(C106:N110)),4)</f>
        <v>1.5019</v>
      </c>
      <c r="T2" s="3358">
        <f t="shared" ref="T2:T16" si="0">ROUND($C$5*$C$22*$C$23*$C$24*S2*$C$28,0)</f>
        <v>13815</v>
      </c>
      <c r="U2" s="1211"/>
      <c r="V2" s="3358">
        <f>ROUND(T2*U2/10000,0)</f>
        <v>0</v>
      </c>
      <c r="W2" s="1214"/>
      <c r="X2" s="1214"/>
      <c r="Y2" s="1214"/>
      <c r="Z2" s="1214"/>
      <c r="AA2" s="1214"/>
      <c r="AB2" s="1214"/>
      <c r="AC2" s="1215"/>
      <c r="AD2" s="1216"/>
      <c r="AE2" s="1216"/>
      <c r="AF2" s="1216"/>
      <c r="AG2" s="1216"/>
      <c r="AH2" s="1216"/>
      <c r="AI2" s="1216"/>
      <c r="AJ2" s="1217"/>
    </row>
    <row r="3" spans="1:36" ht="15.6">
      <c r="A3" s="203" t="s">
        <v>1938</v>
      </c>
      <c r="B3" s="204">
        <f>ROUND(B2*10000/D1,0)</f>
        <v>0</v>
      </c>
      <c r="C3" s="1997" t="s">
        <v>1939</v>
      </c>
      <c r="D3" s="1998" t="s">
        <v>1940</v>
      </c>
      <c r="E3" s="3417" t="s">
        <v>2438</v>
      </c>
      <c r="F3" s="2002"/>
      <c r="G3" s="750">
        <f>IF(F3="宗地容积率",'数据-汇总表'!I4,IF(F3="估价对象容积率",'数据-汇总表'!I6,'数据-汇总表'!I7))</f>
        <v>0</v>
      </c>
      <c r="H3" s="170" t="s">
        <v>1941</v>
      </c>
      <c r="I3" s="773"/>
      <c r="J3" s="2000" t="s">
        <v>1942</v>
      </c>
      <c r="K3" s="1117"/>
      <c r="L3" s="2001" t="s">
        <v>1943</v>
      </c>
      <c r="M3" s="862">
        <f>SUMPRODUCT((区片价!B30:B54=I2)*(区片价!C3:G3=E2)*(区片价!C30:G54))</f>
        <v>0</v>
      </c>
      <c r="N3" s="864">
        <f>SUMPRODUCT((因素修正幅度!B30:B54=I2)*(因素修正幅度!C3:G3=E2)*(因素修正幅度!C30:G54))</f>
        <v>0</v>
      </c>
      <c r="O3" s="1117"/>
      <c r="P3" s="1117"/>
      <c r="Q3" s="1117"/>
      <c r="R3" s="1210">
        <v>2</v>
      </c>
      <c r="S3" s="3358">
        <f>ROUND(SUMPRODUCT((B106:B110=R3)*(C105:N105=G2)*(C106:N110)),4)</f>
        <v>1.1838</v>
      </c>
      <c r="T3" s="3358">
        <f t="shared" si="0"/>
        <v>10889</v>
      </c>
      <c r="U3" s="1211"/>
      <c r="V3" s="3358">
        <f t="shared" ref="V3:V16" si="1">ROUND(T3*U3/10000,0)</f>
        <v>0</v>
      </c>
      <c r="W3" s="1214"/>
      <c r="X3" s="1214"/>
      <c r="Y3" s="1214"/>
      <c r="Z3" s="1214"/>
      <c r="AA3" s="1214"/>
      <c r="AB3" s="1214"/>
      <c r="AC3" s="1215"/>
      <c r="AD3" s="1216"/>
      <c r="AE3" s="1216"/>
      <c r="AF3" s="1216"/>
      <c r="AG3" s="1216"/>
      <c r="AH3" s="1216"/>
      <c r="AI3" s="1216"/>
      <c r="AJ3" s="1217"/>
    </row>
    <row r="4" spans="1:36" ht="15.6">
      <c r="A4" s="3811"/>
      <c r="B4" s="3812"/>
      <c r="C4" s="3812"/>
      <c r="D4" s="3813"/>
      <c r="E4" s="3813"/>
      <c r="F4" s="3813"/>
      <c r="G4" s="3813"/>
      <c r="H4" s="3813"/>
      <c r="I4" s="3813"/>
      <c r="J4" s="3814"/>
      <c r="K4" s="1117"/>
      <c r="L4" s="2001" t="s">
        <v>1944</v>
      </c>
      <c r="M4" s="862">
        <f>SUMPRODUCT((区片价!B55:B86=I2)*(区片价!C3:G3=E2)*(区片价!C55:G86))</f>
        <v>0</v>
      </c>
      <c r="N4" s="864">
        <f>SUMPRODUCT((因素修正幅度!B55:B86=I2)*(因素修正幅度!C3:G3=E2)*(因素修正幅度!C55:G86))</f>
        <v>0</v>
      </c>
      <c r="O4" s="1117"/>
      <c r="P4" s="1117"/>
      <c r="Q4" s="1117"/>
      <c r="R4" s="1210">
        <v>3</v>
      </c>
      <c r="S4" s="3358">
        <f>ROUND(SUMPRODUCT((B106:B110=R4)*(C105:N105=G2)*(C106:N110)),4)</f>
        <v>1.0004999999999999</v>
      </c>
      <c r="T4" s="3358">
        <f t="shared" si="0"/>
        <v>9203</v>
      </c>
      <c r="U4" s="1211"/>
      <c r="V4" s="3358">
        <f t="shared" si="1"/>
        <v>0</v>
      </c>
      <c r="W4" s="1214"/>
      <c r="X4" s="1214"/>
      <c r="Y4" s="1214"/>
      <c r="Z4" s="1214"/>
      <c r="AA4" s="1214"/>
      <c r="AB4" s="1214"/>
      <c r="AC4" s="1215"/>
      <c r="AD4" s="1216"/>
      <c r="AE4" s="1216"/>
      <c r="AF4" s="1216"/>
      <c r="AG4" s="1216"/>
      <c r="AH4" s="1216"/>
      <c r="AI4" s="1216"/>
      <c r="AJ4" s="1217"/>
    </row>
    <row r="5" spans="1:36" s="2012" customFormat="1" ht="15.6" thickBot="1">
      <c r="A5" s="2003" t="s">
        <v>362</v>
      </c>
      <c r="B5" s="2004" t="s">
        <v>1945</v>
      </c>
      <c r="C5" s="751">
        <f>ROUND(IF(E2="商业",C6*C7*C17+C20,(IF(E2="住宅",C6*C13*C17+C20,IF(E2="办公",C6*C12*C17+C20,C6+C20)))),0)</f>
        <v>9654</v>
      </c>
      <c r="D5" s="1337">
        <f>ROUND(C6*C17+C20,0)</f>
        <v>9654</v>
      </c>
      <c r="E5" s="1337"/>
      <c r="F5" s="2005"/>
      <c r="G5" s="2006"/>
      <c r="H5" s="2006"/>
      <c r="I5" s="2006"/>
      <c r="J5" s="2007"/>
      <c r="K5" s="2008"/>
      <c r="L5" s="2001" t="s">
        <v>1946</v>
      </c>
      <c r="M5" s="862">
        <f>SUMPRODUCT((区片价!B87:B126=I2)*(区片价!C3:G3=E2)*(区片价!C87:G126))</f>
        <v>0</v>
      </c>
      <c r="N5" s="864">
        <f>SUMPRODUCT((因素修正幅度!B87:B126=I2)*(因素修正幅度!C3:G3=E2)*(因素修正幅度!C87:G126))</f>
        <v>0</v>
      </c>
      <c r="O5" s="1117"/>
      <c r="P5" s="1117"/>
      <c r="Q5" s="1117"/>
      <c r="R5" s="1210">
        <v>4</v>
      </c>
      <c r="S5" s="3358">
        <f>ROUND(SUMPRODUCT((B106:B110=R5)*(C105:N105=G2)*(C106:N110)),4)</f>
        <v>0.88239999999999996</v>
      </c>
      <c r="T5" s="3358">
        <f t="shared" si="0"/>
        <v>8117</v>
      </c>
      <c r="U5" s="1211"/>
      <c r="V5" s="3358">
        <f t="shared" si="1"/>
        <v>0</v>
      </c>
      <c r="W5" s="1214"/>
      <c r="X5" s="1214"/>
      <c r="Y5" s="1214"/>
      <c r="Z5" s="1214"/>
      <c r="AA5" s="1214"/>
      <c r="AB5" s="1214"/>
      <c r="AC5" s="2009"/>
      <c r="AD5" s="2010"/>
      <c r="AE5" s="2010"/>
      <c r="AF5" s="2010"/>
      <c r="AG5" s="2010"/>
      <c r="AH5" s="2010"/>
      <c r="AI5" s="2010"/>
      <c r="AJ5" s="2011"/>
    </row>
    <row r="6" spans="1:36" ht="15.6" thickBot="1">
      <c r="A6" s="2013" t="s">
        <v>1947</v>
      </c>
      <c r="B6" s="2014" t="s">
        <v>1948</v>
      </c>
      <c r="C6" s="752">
        <f>SUMIF(L1:L12,G2,M1:M12)</f>
        <v>9780</v>
      </c>
      <c r="D6" s="2015"/>
      <c r="E6" s="2016"/>
      <c r="F6" s="2016"/>
      <c r="G6" s="2017"/>
      <c r="H6" s="2017"/>
      <c r="I6" s="2017"/>
      <c r="J6" s="2018"/>
      <c r="K6" s="1382"/>
      <c r="L6" s="2001" t="s">
        <v>1949</v>
      </c>
      <c r="M6" s="862">
        <f>SUMPRODUCT((区片价!B127:B189=I2)*(区片价!C3:G3=E2)*(区片价!C127:G189))</f>
        <v>0</v>
      </c>
      <c r="N6" s="864">
        <f>SUMPRODUCT((因素修正幅度!B127:B189=I2)*(因素修正幅度!C3:G3=E2)*(因素修正幅度!C127:G189))</f>
        <v>0</v>
      </c>
      <c r="O6" s="1117"/>
      <c r="P6" s="1117"/>
      <c r="Q6" s="1117"/>
      <c r="R6" s="1210">
        <v>5</v>
      </c>
      <c r="S6" s="3358">
        <f>ROUND(SUMPRODUCT((B106:B110=R6)*(C105:N105=G2)*(C106:N110)),4)</f>
        <v>0.84799999999999998</v>
      </c>
      <c r="T6" s="3358">
        <f t="shared" si="0"/>
        <v>7800</v>
      </c>
      <c r="U6" s="1211"/>
      <c r="V6" s="3358">
        <f t="shared" si="1"/>
        <v>0</v>
      </c>
      <c r="W6" s="1214"/>
      <c r="X6" s="1214"/>
      <c r="Y6" s="1214"/>
      <c r="Z6" s="1214"/>
      <c r="AA6" s="1214"/>
      <c r="AB6" s="1214"/>
      <c r="AC6" s="2009"/>
      <c r="AD6" s="2010"/>
      <c r="AE6" s="2010"/>
      <c r="AF6" s="2010"/>
      <c r="AG6" s="2010"/>
      <c r="AH6" s="2010"/>
      <c r="AI6" s="2010"/>
      <c r="AJ6" s="2011"/>
    </row>
    <row r="7" spans="1:36" ht="24.6" thickBot="1">
      <c r="A7" s="3301" t="s">
        <v>3236</v>
      </c>
      <c r="B7" s="2019" t="s">
        <v>1950</v>
      </c>
      <c r="C7" s="753">
        <f>IF(C8="不临65条商业街",1,ROUND(1+(1.6*E8+1.2*E9+0.8*E10+0.4*E11)*C9,4))</f>
        <v>1</v>
      </c>
      <c r="D7" s="2020" t="s">
        <v>1951</v>
      </c>
      <c r="E7" s="774"/>
      <c r="F7" s="2021"/>
      <c r="G7" s="2022"/>
      <c r="H7" s="2022"/>
      <c r="I7" s="2022"/>
      <c r="J7" s="2023"/>
      <c r="K7" s="1382"/>
      <c r="L7" s="2001" t="s">
        <v>1952</v>
      </c>
      <c r="M7" s="862">
        <f>SUMPRODUCT((区片价!B190:B233=I2)*(区片价!C3:G3=E2)*(区片价!C190:G233))</f>
        <v>9780</v>
      </c>
      <c r="N7" s="864">
        <f>SUMPRODUCT((因素修正幅度!B190:B233=I2)*(因素修正幅度!C3:G3=E2)*(因素修正幅度!C190:G233))</f>
        <v>0.13</v>
      </c>
      <c r="O7" s="1117"/>
      <c r="P7" s="1117"/>
      <c r="Q7" s="1117"/>
      <c r="R7" s="1210">
        <v>6</v>
      </c>
      <c r="S7" s="3416"/>
      <c r="T7" s="3358">
        <f t="shared" si="0"/>
        <v>0</v>
      </c>
      <c r="U7" s="1211"/>
      <c r="V7" s="3358">
        <f t="shared" si="1"/>
        <v>0</v>
      </c>
      <c r="W7" s="1356" t="s">
        <v>1953</v>
      </c>
      <c r="X7" s="1212" t="str">
        <f>G2</f>
        <v>七级</v>
      </c>
      <c r="Y7" s="1212" t="s">
        <v>1954</v>
      </c>
      <c r="Z7" s="1213">
        <f>G3</f>
        <v>0</v>
      </c>
      <c r="AA7" s="1214"/>
      <c r="AB7" s="1214"/>
      <c r="AC7" s="1215"/>
      <c r="AD7" s="1216"/>
      <c r="AE7" s="1216"/>
      <c r="AF7" s="1216"/>
      <c r="AG7" s="1216"/>
      <c r="AH7" s="1216"/>
      <c r="AI7" s="1216"/>
      <c r="AJ7" s="1217"/>
    </row>
    <row r="8" spans="1:36" ht="26.4">
      <c r="A8" s="3296"/>
      <c r="B8" s="170" t="s">
        <v>1955</v>
      </c>
      <c r="C8" s="2024" t="s">
        <v>3398</v>
      </c>
      <c r="D8" s="754" t="s">
        <v>112</v>
      </c>
      <c r="E8" s="755" t="e">
        <f>ROUND(C11/E7,4)</f>
        <v>#DIV/0!</v>
      </c>
      <c r="F8" s="2025" t="s">
        <v>1956</v>
      </c>
      <c r="G8" s="2026"/>
      <c r="H8" s="2026"/>
      <c r="I8" s="2026"/>
      <c r="J8" s="2027"/>
      <c r="K8" s="1117"/>
      <c r="L8" s="2001" t="s">
        <v>1957</v>
      </c>
      <c r="M8" s="862">
        <f>SUMPRODUCT((区片价!B234:B276=I2)*(区片价!C3:G3=E2)*(区片价!C234:G276))</f>
        <v>0</v>
      </c>
      <c r="N8" s="864">
        <f>SUMPRODUCT((因素修正幅度!B234:B276=I2)*(因素修正幅度!C3:G3=E2)*(因素修正幅度!C234:G276))</f>
        <v>0</v>
      </c>
      <c r="O8" s="1117"/>
      <c r="P8" s="1117"/>
      <c r="Q8" s="1117"/>
      <c r="R8" s="1210">
        <v>7</v>
      </c>
      <c r="S8" s="1211"/>
      <c r="T8" s="3358">
        <f t="shared" si="0"/>
        <v>0</v>
      </c>
      <c r="U8" s="1211"/>
      <c r="V8" s="3358">
        <f t="shared" si="1"/>
        <v>0</v>
      </c>
      <c r="W8" s="3808" t="s">
        <v>1958</v>
      </c>
      <c r="X8" s="3809"/>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6"/>
      <c r="B9" s="170" t="s">
        <v>1971</v>
      </c>
      <c r="C9" s="756">
        <f>SUMIF(修正!C71:C138,C8,修正!E71:E138)</f>
        <v>0</v>
      </c>
      <c r="D9" s="171" t="s">
        <v>113</v>
      </c>
      <c r="E9" s="171" t="e">
        <f>ROUND(C11/E7,4)</f>
        <v>#DIV/0!</v>
      </c>
      <c r="F9" s="2025" t="s">
        <v>1972</v>
      </c>
      <c r="G9" s="2026"/>
      <c r="H9" s="2026"/>
      <c r="I9" s="2026"/>
      <c r="J9" s="2027"/>
      <c r="K9" s="1117"/>
      <c r="L9" s="2001" t="s">
        <v>1973</v>
      </c>
      <c r="M9" s="862">
        <f>SUMPRODUCT((区片价!B277:B326=I2)*(区片价!C3:G3=E2)*(区片价!C277:G326))</f>
        <v>0</v>
      </c>
      <c r="N9" s="864">
        <f>SUMPRODUCT((因素修正幅度!B277:B326=I2)*(因素修正幅度!C3:G3=E2)*(因素修正幅度!C277:G326))</f>
        <v>0</v>
      </c>
      <c r="O9" s="1117"/>
      <c r="P9" s="1117"/>
      <c r="Q9" s="1117"/>
      <c r="R9" s="1210">
        <v>8</v>
      </c>
      <c r="S9" s="1211"/>
      <c r="T9" s="3358">
        <f t="shared" si="0"/>
        <v>0</v>
      </c>
      <c r="U9" s="1211"/>
      <c r="V9" s="3358">
        <f t="shared" si="1"/>
        <v>0</v>
      </c>
      <c r="W9" s="3810"/>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1974</v>
      </c>
      <c r="C10" s="171">
        <f>SUMIF(修正!C71:C138,C8,修正!F71:F138)</f>
        <v>0</v>
      </c>
      <c r="D10" s="171" t="s">
        <v>114</v>
      </c>
      <c r="E10" s="171" t="e">
        <f>ROUND(C11/E7,4)</f>
        <v>#DIV/0!</v>
      </c>
      <c r="F10" s="2025" t="s">
        <v>1975</v>
      </c>
      <c r="G10" s="2026"/>
      <c r="H10" s="2026"/>
      <c r="I10" s="2026"/>
      <c r="J10" s="2027"/>
      <c r="K10" s="1117"/>
      <c r="L10" s="2001" t="s">
        <v>1976</v>
      </c>
      <c r="M10" s="862">
        <f>SUMPRODUCT((区片价!B327:B357=I2)*(区片价!C3:G3=E2)*(区片价!C327:G357))</f>
        <v>0</v>
      </c>
      <c r="N10" s="864">
        <f>SUMPRODUCT((因素修正幅度!B327:B357=I2)*(因素修正幅度!C3:G3=E2)*(因素修正幅度!C327:G357))</f>
        <v>0</v>
      </c>
      <c r="O10" s="1117"/>
      <c r="P10" s="1117"/>
      <c r="Q10" s="1117"/>
      <c r="R10" s="1210">
        <v>9</v>
      </c>
      <c r="S10" s="1211"/>
      <c r="T10" s="3358">
        <f t="shared" si="0"/>
        <v>0</v>
      </c>
      <c r="U10" s="1211"/>
      <c r="V10" s="3358">
        <f t="shared" si="1"/>
        <v>0</v>
      </c>
      <c r="W10" s="3810"/>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0"/>
      <c r="B11" s="2028" t="s">
        <v>1977</v>
      </c>
      <c r="C11" s="757">
        <f>C10/4</f>
        <v>0</v>
      </c>
      <c r="D11" s="757" t="s">
        <v>115</v>
      </c>
      <c r="E11" s="757" t="e">
        <f>ROUND(C11/E7,4)</f>
        <v>#DIV/0!</v>
      </c>
      <c r="F11" s="2029" t="s">
        <v>1978</v>
      </c>
      <c r="G11" s="2030"/>
      <c r="H11" s="2030"/>
      <c r="I11" s="2030"/>
      <c r="J11" s="2031"/>
      <c r="K11" s="1117"/>
      <c r="L11" s="2001" t="s">
        <v>1979</v>
      </c>
      <c r="M11" s="862">
        <f>SUMPRODUCT((区片价!B358:B377=I2)*(区片价!C3:G3=E2)*(区片价!C358:G377))</f>
        <v>0</v>
      </c>
      <c r="N11" s="864">
        <f>SUMPRODUCT((因素修正幅度!B358:B377=I2)*(因素修正幅度!C3:G3=E2)*(因素修正幅度!C358:G377))</f>
        <v>0</v>
      </c>
      <c r="O11" s="1117"/>
      <c r="P11" s="1117"/>
      <c r="Q11" s="1117"/>
      <c r="R11" s="1210">
        <v>10</v>
      </c>
      <c r="S11" s="1211"/>
      <c r="T11" s="3358">
        <f t="shared" si="0"/>
        <v>0</v>
      </c>
      <c r="U11" s="1211"/>
      <c r="V11" s="3358">
        <f t="shared" si="1"/>
        <v>0</v>
      </c>
      <c r="W11" s="1214"/>
      <c r="X11" s="1214"/>
      <c r="Y11" s="1214"/>
      <c r="Z11" s="1214"/>
      <c r="AA11" s="1214"/>
      <c r="AB11" s="1214"/>
      <c r="AC11" s="1215"/>
      <c r="AD11" s="2786"/>
      <c r="AE11" s="2786"/>
      <c r="AF11" s="2786"/>
      <c r="AG11" s="2786"/>
      <c r="AH11" s="2786"/>
      <c r="AI11" s="2786"/>
      <c r="AJ11" s="2787"/>
    </row>
    <row r="12" spans="1:36" ht="25.8" thickBot="1">
      <c r="A12" s="3301" t="s">
        <v>3237</v>
      </c>
      <c r="B12" s="3302" t="s">
        <v>3238</v>
      </c>
      <c r="C12" s="3303"/>
      <c r="D12" s="3304" t="s">
        <v>3239</v>
      </c>
      <c r="E12" s="3305" t="s">
        <v>3240</v>
      </c>
      <c r="F12" s="3306"/>
      <c r="G12" s="3307"/>
      <c r="H12" s="3307"/>
      <c r="I12" s="3307"/>
      <c r="J12" s="3308"/>
      <c r="K12" s="1117"/>
      <c r="L12" s="2037" t="s">
        <v>1982</v>
      </c>
      <c r="M12" s="863">
        <f>SUMPRODUCT((区片价!B378:B384=I2)*(区片价!C3:G3=E2)*(区片价!C378:G384))</f>
        <v>0</v>
      </c>
      <c r="N12" s="864">
        <f>SUMPRODUCT((因素修正幅度!B378:B384=I2)*(因素修正幅度!C3:G3=E2)*(因素修正幅度!C378:G384))</f>
        <v>0</v>
      </c>
      <c r="O12" s="1117"/>
      <c r="P12" s="1117"/>
      <c r="Q12" s="1117"/>
      <c r="R12" s="1210">
        <v>11</v>
      </c>
      <c r="S12" s="1211"/>
      <c r="T12" s="3358">
        <f t="shared" si="0"/>
        <v>0</v>
      </c>
      <c r="U12" s="1211"/>
      <c r="V12" s="3358">
        <f t="shared" si="1"/>
        <v>0</v>
      </c>
      <c r="W12" s="1214"/>
      <c r="X12" s="1214"/>
      <c r="Y12" s="1214"/>
      <c r="Z12" s="1214"/>
      <c r="AA12" s="1214"/>
      <c r="AB12" s="1214"/>
      <c r="AC12" s="1215"/>
      <c r="AD12" s="2786"/>
      <c r="AE12" s="2786"/>
      <c r="AF12" s="2786"/>
      <c r="AG12" s="2786"/>
      <c r="AH12" s="2786"/>
      <c r="AI12" s="2786"/>
      <c r="AJ12" s="2787"/>
    </row>
    <row r="13" spans="1:36" ht="24.6" thickBot="1">
      <c r="A13" s="3301" t="s">
        <v>3241</v>
      </c>
      <c r="B13" s="2032" t="s">
        <v>1980</v>
      </c>
      <c r="C13" s="753">
        <f>ROUND(C16*D16*E16*F16*G16*H16*I16*J16,4)</f>
        <v>0</v>
      </c>
      <c r="D13" s="2033" t="s">
        <v>1981</v>
      </c>
      <c r="E13" s="2034"/>
      <c r="F13" s="2034"/>
      <c r="G13" s="2035"/>
      <c r="H13" s="2035"/>
      <c r="I13" s="2035"/>
      <c r="J13" s="2036"/>
      <c r="K13" s="1117"/>
      <c r="L13" s="3297"/>
      <c r="M13" s="3298"/>
      <c r="N13" s="3299"/>
      <c r="O13" s="1117"/>
      <c r="P13" s="1117"/>
      <c r="Q13" s="1117"/>
      <c r="R13" s="1210">
        <v>12</v>
      </c>
      <c r="S13" s="1211"/>
      <c r="T13" s="3358">
        <f t="shared" si="0"/>
        <v>0</v>
      </c>
      <c r="U13" s="1211"/>
      <c r="V13" s="3358">
        <f t="shared" si="1"/>
        <v>0</v>
      </c>
      <c r="W13" s="1214"/>
      <c r="X13" s="1214"/>
      <c r="Y13" s="1214"/>
      <c r="Z13" s="1214"/>
      <c r="AA13" s="1214"/>
      <c r="AB13" s="1214"/>
      <c r="AC13" s="1215"/>
      <c r="AD13" s="2786"/>
      <c r="AE13" s="2786"/>
      <c r="AF13" s="2786"/>
      <c r="AG13" s="2786"/>
      <c r="AH13" s="2786"/>
      <c r="AI13" s="2786"/>
      <c r="AJ13" s="2787"/>
    </row>
    <row r="14" spans="1:36" ht="24">
      <c r="A14" s="3295"/>
      <c r="B14" s="2038" t="s">
        <v>1983</v>
      </c>
      <c r="C14" s="2039" t="s">
        <v>1984</v>
      </c>
      <c r="D14" s="1348" t="s">
        <v>1985</v>
      </c>
      <c r="E14" s="27" t="s">
        <v>1986</v>
      </c>
      <c r="F14" s="3309" t="s">
        <v>3242</v>
      </c>
      <c r="G14" s="3309" t="s">
        <v>3242</v>
      </c>
      <c r="H14" s="3309" t="s">
        <v>3242</v>
      </c>
      <c r="I14" s="3309" t="s">
        <v>3242</v>
      </c>
      <c r="J14" s="3309" t="s">
        <v>3242</v>
      </c>
      <c r="K14" s="1117"/>
      <c r="L14" s="1117"/>
      <c r="M14" s="1117"/>
      <c r="N14" s="1117"/>
      <c r="O14" s="1117"/>
      <c r="P14" s="1117"/>
      <c r="Q14" s="1117"/>
      <c r="R14" s="1210">
        <v>13</v>
      </c>
      <c r="S14" s="1211"/>
      <c r="T14" s="3358">
        <f t="shared" si="0"/>
        <v>0</v>
      </c>
      <c r="U14" s="1211"/>
      <c r="V14" s="3358">
        <f t="shared" si="1"/>
        <v>0</v>
      </c>
      <c r="W14" s="1214"/>
      <c r="X14" s="1214"/>
      <c r="Y14" s="1214"/>
      <c r="Z14" s="1214"/>
      <c r="AA14" s="1214"/>
      <c r="AB14" s="1214"/>
      <c r="AC14" s="1215"/>
      <c r="AD14" s="2786"/>
      <c r="AE14" s="2786"/>
      <c r="AF14" s="2786"/>
      <c r="AG14" s="2786"/>
      <c r="AH14" s="2786"/>
      <c r="AI14" s="2786"/>
      <c r="AJ14" s="2787"/>
    </row>
    <row r="15" spans="1:36" ht="15">
      <c r="A15" s="3295"/>
      <c r="B15" s="2040"/>
      <c r="C15" s="2041"/>
      <c r="D15" s="2042"/>
      <c r="E15" s="2043"/>
      <c r="F15" s="3310" t="s">
        <v>3243</v>
      </c>
      <c r="G15" s="3311"/>
      <c r="H15" s="3312"/>
      <c r="I15" s="3313"/>
      <c r="J15" s="3314"/>
      <c r="K15" s="1117"/>
      <c r="L15" s="1117"/>
      <c r="M15" s="1117"/>
      <c r="N15" s="1117"/>
      <c r="O15" s="1117"/>
      <c r="P15" s="1117"/>
      <c r="Q15" s="1117"/>
      <c r="R15" s="1210">
        <v>14</v>
      </c>
      <c r="S15" s="1211"/>
      <c r="T15" s="3358">
        <f t="shared" si="0"/>
        <v>0</v>
      </c>
      <c r="U15" s="1211"/>
      <c r="V15" s="3358">
        <f t="shared" si="1"/>
        <v>0</v>
      </c>
      <c r="W15" s="1214"/>
      <c r="X15" s="1214"/>
      <c r="Y15" s="1214"/>
      <c r="Z15" s="1214"/>
      <c r="AA15" s="1214"/>
      <c r="AB15" s="1214"/>
      <c r="AC15" s="1215"/>
      <c r="AD15" s="2786"/>
      <c r="AE15" s="2786"/>
      <c r="AF15" s="2786"/>
      <c r="AG15" s="2786"/>
      <c r="AH15" s="2786"/>
      <c r="AI15" s="2786"/>
      <c r="AJ15" s="2787"/>
    </row>
    <row r="16" spans="1:36" ht="15.6" thickBot="1">
      <c r="A16" s="3295"/>
      <c r="B16" s="3317" t="s">
        <v>1987</v>
      </c>
      <c r="C16" s="3315"/>
      <c r="D16" s="3315"/>
      <c r="E16" s="3315"/>
      <c r="F16" s="3315">
        <v>1</v>
      </c>
      <c r="G16" s="3315">
        <v>1</v>
      </c>
      <c r="H16" s="3315">
        <v>1</v>
      </c>
      <c r="I16" s="3315">
        <v>1</v>
      </c>
      <c r="J16" s="3316">
        <v>1</v>
      </c>
      <c r="K16" s="1117"/>
      <c r="L16" s="1995"/>
      <c r="M16" s="1995"/>
      <c r="N16" s="1995"/>
      <c r="O16" s="1995"/>
      <c r="P16" s="1995"/>
      <c r="Q16" s="1117"/>
      <c r="R16" s="1210">
        <v>15</v>
      </c>
      <c r="S16" s="1211"/>
      <c r="T16" s="3358">
        <f t="shared" si="0"/>
        <v>0</v>
      </c>
      <c r="U16" s="1211"/>
      <c r="V16" s="3358">
        <f t="shared" si="1"/>
        <v>0</v>
      </c>
      <c r="W16" s="1214"/>
      <c r="X16" s="1214"/>
      <c r="Y16" s="1214"/>
      <c r="Z16" s="1214"/>
      <c r="AA16" s="1214"/>
      <c r="AB16" s="1214"/>
      <c r="AC16" s="1215"/>
      <c r="AD16" s="2786"/>
      <c r="AE16" s="2786"/>
      <c r="AF16" s="2786"/>
      <c r="AG16" s="2786"/>
      <c r="AH16" s="2786"/>
      <c r="AI16" s="2786"/>
      <c r="AJ16" s="2787"/>
    </row>
    <row r="17" spans="1:37" ht="24">
      <c r="A17" s="3327" t="s">
        <v>3244</v>
      </c>
      <c r="B17" s="3318" t="s">
        <v>3245</v>
      </c>
      <c r="C17" s="3328">
        <f>ROUND(IF(OR(E2="工业",E2="公共服务"),1,IF(AND(E18=0,E19=0),1,IF(AND(E18=J24,E19=G19),0.8,IF(E19=0,1+E17*(-0.2),1+E17*G17*(-0.2))))),4)</f>
        <v>1</v>
      </c>
      <c r="D17" s="3319" t="s">
        <v>3246</v>
      </c>
      <c r="E17" s="3328">
        <f>ROUND(G18/I18,2)</f>
        <v>0</v>
      </c>
      <c r="F17" s="3319" t="s">
        <v>3249</v>
      </c>
      <c r="G17" s="3328" t="e">
        <f>ROUND(E19/G19,2)</f>
        <v>#DIV/0!</v>
      </c>
      <c r="H17" s="3328"/>
      <c r="I17" s="3328"/>
      <c r="J17" s="3329"/>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3.8">
      <c r="A18" s="3330"/>
      <c r="B18" s="3007"/>
      <c r="C18" s="3325"/>
      <c r="D18" s="3320" t="s">
        <v>3247</v>
      </c>
      <c r="E18" s="3326"/>
      <c r="F18" s="3321" t="s">
        <v>3250</v>
      </c>
      <c r="G18" s="3325">
        <f>ROUND(1-(1/(POWER(1+G24,E18))),4)</f>
        <v>0</v>
      </c>
      <c r="H18" s="3321" t="s">
        <v>3252</v>
      </c>
      <c r="I18" s="3325">
        <f>ROUND(1-(1/(POWER(1+G24,J24))),4)</f>
        <v>0.88249999999999995</v>
      </c>
      <c r="J18" s="3331"/>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5"/>
    </row>
    <row r="19" spans="1:37" s="2012" customFormat="1" ht="14.4" thickBot="1">
      <c r="A19" s="3332"/>
      <c r="B19" s="3333"/>
      <c r="C19" s="3334"/>
      <c r="D19" s="3334" t="s">
        <v>3248</v>
      </c>
      <c r="E19" s="3335"/>
      <c r="F19" s="3336" t="s">
        <v>3251</v>
      </c>
      <c r="G19" s="3335"/>
      <c r="H19" s="3334"/>
      <c r="I19" s="3334"/>
      <c r="J19" s="3337"/>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9"/>
      <c r="AI19" s="2789"/>
      <c r="AJ19" s="2789"/>
      <c r="AK19" s="2055"/>
    </row>
    <row r="20" spans="1:37" s="2012" customFormat="1" ht="13.8">
      <c r="A20" s="3815" t="s">
        <v>3253</v>
      </c>
      <c r="B20" s="167" t="s">
        <v>1992</v>
      </c>
      <c r="C20" s="3322">
        <f>ROUND(IF(F21="与级别开发程度一致",0,(G21-E21)/C21),0)</f>
        <v>-126</v>
      </c>
      <c r="D20" s="3338" t="s">
        <v>1996</v>
      </c>
      <c r="E20" s="3339"/>
      <c r="F20" s="3821" t="s">
        <v>1993</v>
      </c>
      <c r="G20" s="3822"/>
      <c r="H20" s="3323"/>
      <c r="I20" s="3323"/>
      <c r="J20" s="3324"/>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14.4" thickBot="1">
      <c r="A21" s="3816"/>
      <c r="B21" s="2162" t="s">
        <v>1995</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 thickBot="1">
      <c r="A22" s="2156" t="s">
        <v>363</v>
      </c>
      <c r="B22" s="2157" t="s">
        <v>1998</v>
      </c>
      <c r="C22" s="2158">
        <f>SUMIF(修正!C20:C51,E3,修正!E20:E51)</f>
        <v>1</v>
      </c>
      <c r="D22" s="2159"/>
      <c r="E22" s="2160"/>
      <c r="F22" s="2160"/>
      <c r="G22" s="2160"/>
      <c r="H22" s="2160"/>
      <c r="I22" s="2160"/>
      <c r="J22" s="2161"/>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7" thickBot="1">
      <c r="A23" s="2048" t="s">
        <v>364</v>
      </c>
      <c r="B23" s="2049" t="s">
        <v>1999</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2052" t="s">
        <v>2000</v>
      </c>
      <c r="E23" s="759">
        <v>44197</v>
      </c>
      <c r="F23" s="2052" t="s">
        <v>2001</v>
      </c>
      <c r="G23" s="760">
        <f>'数据-取费表'!B2</f>
        <v>45504</v>
      </c>
      <c r="H23" s="3340" t="s">
        <v>3255</v>
      </c>
      <c r="I23" s="3341" t="str">
        <f>IF(H23="季度增幅（自定义）",SUMIF(N25:N28,E2,O25:O28),"")</f>
        <v/>
      </c>
      <c r="J23" s="3443" t="s">
        <v>3254</v>
      </c>
      <c r="K23" s="1123"/>
      <c r="L23" s="2053" t="s">
        <v>2002</v>
      </c>
      <c r="M23" s="1326">
        <f>ROUND(SUMIF(地价!B2:G2,E2,地价!B16:G16),0)</f>
        <v>350</v>
      </c>
      <c r="N23" s="2054" t="s">
        <v>2003</v>
      </c>
      <c r="O23" s="761">
        <f>ROUNDDOWN(DATEDIF(E23,G23,"M")/3,0)</f>
        <v>14</v>
      </c>
      <c r="P23" s="1120"/>
      <c r="Q23" s="2785"/>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6" thickBot="1">
      <c r="A24" s="2056" t="s">
        <v>365</v>
      </c>
      <c r="B24" s="2057" t="s">
        <v>2004</v>
      </c>
      <c r="C24" s="762">
        <f>ROUND(POWER(1+G24,J24-I24)*(POWER(1+G24,I24)-1)/(POWER(1+G24,J24)-1),4)</f>
        <v>0.90569999999999995</v>
      </c>
      <c r="D24" s="2058" t="s">
        <v>2005</v>
      </c>
      <c r="E24" s="1333">
        <f>存贷款利率!E24/100</f>
        <v>4.3499999999999997E-2</v>
      </c>
      <c r="F24" s="2058" t="s">
        <v>1997</v>
      </c>
      <c r="G24" s="766">
        <f>SUMIF(M30:Q30,E2,M33:Q33)</f>
        <v>5.5E-2</v>
      </c>
      <c r="H24" s="2058" t="s">
        <v>2006</v>
      </c>
      <c r="I24" s="767">
        <f>SUMIF('数据-取费表'!C6:C15,E2,'数据-取费表'!F6:F15)/COUNTIF('数据-取费表'!C6:C15,E2)</f>
        <v>30</v>
      </c>
      <c r="J24" s="768">
        <f>IF(E2="住宅",70,IF(E2="商业",40,50))</f>
        <v>40</v>
      </c>
      <c r="K24" s="1123"/>
      <c r="L24" s="2059" t="s">
        <v>2007</v>
      </c>
      <c r="M24" s="1327">
        <f>ROUND(SUMPRODUCT((地价!A4:A16=YEAR(G23)&amp;"-"&amp;ROUNDUP(MONTH(G23)/3,0))*(地价!B2:G2=E2)*(地价!B4:G16)),0)</f>
        <v>0</v>
      </c>
      <c r="N24" s="2060" t="s">
        <v>2008</v>
      </c>
      <c r="O24" s="2061" t="s">
        <v>2009</v>
      </c>
      <c r="P24" s="2062" t="s">
        <v>2010</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4.4">
      <c r="A25" s="2063" t="s">
        <v>366</v>
      </c>
      <c r="B25" s="2064" t="s">
        <v>3399</v>
      </c>
      <c r="C25" s="769">
        <f>IF(B25="容积率修正",IF(G3&lt;10,D26,J26),C27)</f>
        <v>0</v>
      </c>
      <c r="D25" s="2065"/>
      <c r="E25" s="2065"/>
      <c r="F25" s="2065"/>
      <c r="G25" s="2065"/>
      <c r="H25" s="2065"/>
      <c r="I25" s="2065"/>
      <c r="J25" s="2066"/>
      <c r="K25" s="1123"/>
      <c r="L25" s="2785"/>
      <c r="M25" s="2785"/>
      <c r="N25" s="2067" t="s">
        <v>2011</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4">
      <c r="A26" s="1953" t="s">
        <v>2012</v>
      </c>
      <c r="B26" s="2068" t="s">
        <v>2013</v>
      </c>
      <c r="C26" s="3342" t="s">
        <v>3256</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3257</v>
      </c>
      <c r="J26" s="770" t="str">
        <f>IF(G3&gt;=10,D115,"——")</f>
        <v>——</v>
      </c>
      <c r="K26" s="1123"/>
      <c r="L26" s="2785"/>
      <c r="M26" s="2785"/>
      <c r="N26" s="2067" t="s">
        <v>2014</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 thickBot="1">
      <c r="A27" s="1953" t="s">
        <v>2015</v>
      </c>
      <c r="B27" s="2069" t="s">
        <v>2016</v>
      </c>
      <c r="C27" s="839">
        <f>ROUND(IF(I3&lt;6,SUMPRODUCT((B106:B110=I3)*(C105:N105=G2)*(C106:N110)),SUMIF(C105:N105,G2,C112:N112)),4)</f>
        <v>0</v>
      </c>
      <c r="D27" s="2044"/>
      <c r="E27" s="2044"/>
      <c r="F27" s="2070"/>
      <c r="G27" s="2071"/>
      <c r="H27" s="2072"/>
      <c r="I27" s="2073"/>
      <c r="J27" s="2074"/>
      <c r="K27" s="1117"/>
      <c r="L27" s="1995"/>
      <c r="M27" s="1995"/>
      <c r="N27" s="2067" t="s">
        <v>2017</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 thickBot="1">
      <c r="A28" s="2056" t="s">
        <v>367</v>
      </c>
      <c r="B28" s="2049" t="s">
        <v>2018</v>
      </c>
      <c r="C28" s="758">
        <f>SUMIF(A47:A101,E2,B47:B101)</f>
        <v>1</v>
      </c>
      <c r="D28" s="2050"/>
      <c r="E28" s="2075"/>
      <c r="F28" s="2075"/>
      <c r="G28" s="2075"/>
      <c r="H28" s="2075"/>
      <c r="I28" s="2075"/>
      <c r="J28" s="2076"/>
      <c r="K28" s="1123"/>
      <c r="L28" s="2785"/>
      <c r="M28" s="2785"/>
      <c r="N28" s="2077"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 thickBot="1">
      <c r="A29" s="2056" t="s">
        <v>368</v>
      </c>
      <c r="B29" s="2078" t="s">
        <v>2020</v>
      </c>
      <c r="C29" s="763"/>
      <c r="D29" s="2022"/>
      <c r="E29" s="2022"/>
      <c r="F29" s="2079"/>
      <c r="G29" s="2022"/>
      <c r="H29" s="2022"/>
      <c r="I29" s="2022"/>
      <c r="J29" s="2023"/>
      <c r="K29" s="1117"/>
      <c r="L29" s="1995"/>
      <c r="M29" s="1995"/>
      <c r="N29" s="2782" t="s">
        <v>2021</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4.4">
      <c r="A30" s="2080"/>
      <c r="B30" s="2068" t="s">
        <v>2022</v>
      </c>
      <c r="C30" s="2319">
        <f>IF(B25="容积率修正",E33+SUM(E37:E42),SUM(V2:V16)+SUM(E37:E42))</f>
        <v>0</v>
      </c>
      <c r="D30" s="2081"/>
      <c r="E30" s="2044"/>
      <c r="F30" s="2082"/>
      <c r="G30" s="2044"/>
      <c r="H30" s="2044"/>
      <c r="I30" s="2044"/>
      <c r="J30" s="2083"/>
      <c r="K30" s="1117"/>
      <c r="L30" s="3348" t="s">
        <v>1934</v>
      </c>
      <c r="M30" s="3349" t="s">
        <v>1988</v>
      </c>
      <c r="N30" s="3349" t="s">
        <v>1989</v>
      </c>
      <c r="O30" s="3349" t="s">
        <v>1990</v>
      </c>
      <c r="P30" s="3349" t="s">
        <v>1991</v>
      </c>
      <c r="Q30" s="3352" t="s">
        <v>3261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 thickBot="1">
      <c r="A31" s="2080"/>
      <c r="B31" s="2084" t="s">
        <v>2023</v>
      </c>
      <c r="C31" s="764">
        <f>E34+SUM(I37:I42)</f>
        <v>0</v>
      </c>
      <c r="D31" s="2085"/>
      <c r="E31" s="2086"/>
      <c r="F31" s="2087"/>
      <c r="G31" s="2086"/>
      <c r="H31" s="2086"/>
      <c r="I31" s="2086"/>
      <c r="J31" s="2088"/>
      <c r="K31" s="1117"/>
      <c r="L31" s="3350" t="s">
        <v>1994</v>
      </c>
      <c r="M31" s="1998">
        <v>0.25</v>
      </c>
      <c r="N31" s="1998">
        <v>0.2</v>
      </c>
      <c r="O31" s="1998">
        <v>0.15</v>
      </c>
      <c r="P31" s="1998">
        <v>0.1</v>
      </c>
      <c r="Q31" s="3345">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 thickBot="1">
      <c r="A32" s="2089"/>
      <c r="B32" s="2090" t="s">
        <v>2024</v>
      </c>
      <c r="C32" s="2091" t="s">
        <v>2025</v>
      </c>
      <c r="D32" s="2091" t="s">
        <v>2026</v>
      </c>
      <c r="E32" s="2092" t="s">
        <v>2027</v>
      </c>
      <c r="F32" s="2093"/>
      <c r="G32" s="2035"/>
      <c r="H32" s="2035"/>
      <c r="I32" s="2035"/>
      <c r="J32" s="2036"/>
      <c r="K32" s="1117"/>
      <c r="L32" s="3351" t="s">
        <v>1997</v>
      </c>
      <c r="M32" s="2567">
        <f>ROUND($E$24*(1+M31),3)</f>
        <v>5.3999999999999999E-2</v>
      </c>
      <c r="N32" s="2567">
        <f>ROUND($E$24*(1+N31),3)</f>
        <v>5.1999999999999998E-2</v>
      </c>
      <c r="O32" s="2567">
        <f>ROUND($E$24*(1+O31),3)</f>
        <v>0.05</v>
      </c>
      <c r="P32" s="2567">
        <f>ROUND($E$24*(1+P31),3)</f>
        <v>4.8000000000000001E-2</v>
      </c>
      <c r="Q32" s="3353">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3.8">
      <c r="A33" s="2094"/>
      <c r="B33" s="2095" t="s">
        <v>2028</v>
      </c>
      <c r="C33" s="175">
        <f>ROUND(C5*C22*C23*C24*C25*C28,0)</f>
        <v>0</v>
      </c>
      <c r="D33" s="2096">
        <f>'数据-汇总表'!F19</f>
        <v>268.52</v>
      </c>
      <c r="E33" s="771">
        <f>ROUND(C33*D33/10000,0)</f>
        <v>0</v>
      </c>
      <c r="F33" s="3343" t="s">
        <v>3259</v>
      </c>
      <c r="G33" s="2097"/>
      <c r="H33" s="2097"/>
      <c r="I33" s="2097"/>
      <c r="J33" s="2098"/>
      <c r="K33" s="1117"/>
      <c r="L33" s="3346" t="s">
        <v>3262</v>
      </c>
      <c r="M33" s="3347">
        <v>5.5E-2</v>
      </c>
      <c r="N33" s="3347">
        <v>5.5E-2</v>
      </c>
      <c r="O33" s="3347">
        <v>0.05</v>
      </c>
      <c r="P33" s="3347">
        <v>0.05</v>
      </c>
      <c r="Q33" s="3347">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8" thickBot="1">
      <c r="A34" s="2099"/>
      <c r="B34" s="2100" t="s">
        <v>2029</v>
      </c>
      <c r="C34" s="187" t="e">
        <f>ROUND(IF(E2="工业",C33*M42,IF(B25="楼层修正",SUM(V2:V16)*M41*10000/D34,C33*M41)),0)</f>
        <v>#DIV/0!</v>
      </c>
      <c r="D34" s="2101"/>
      <c r="E34" s="771">
        <f>ROUND(IF(B25="楼层修正",SUM(V2:V16)*M40,C34*D34/10000),0)</f>
        <v>0</v>
      </c>
      <c r="F34" s="2102" t="s">
        <v>2030</v>
      </c>
      <c r="G34" s="2103"/>
      <c r="H34" s="2103"/>
      <c r="I34" s="2103"/>
      <c r="J34" s="2104"/>
      <c r="K34" s="1117"/>
      <c r="L34" s="3346" t="s">
        <v>3263</v>
      </c>
      <c r="M34" s="3347">
        <v>6.5000000000000002E-2</v>
      </c>
      <c r="N34" s="3347">
        <v>6.5000000000000002E-2</v>
      </c>
      <c r="O34" s="3347">
        <v>0.06</v>
      </c>
      <c r="P34" s="3347">
        <v>0.06</v>
      </c>
      <c r="Q34" s="3347">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2031</v>
      </c>
      <c r="C35" s="3344" t="s">
        <v>3260</v>
      </c>
      <c r="D35" s="2035"/>
      <c r="E35" s="2107"/>
      <c r="F35" s="2107"/>
      <c r="G35" s="2033" t="s">
        <v>2032</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36.6" thickBot="1">
      <c r="A36" s="2094"/>
      <c r="B36" s="2109"/>
      <c r="C36" s="450" t="s">
        <v>2025</v>
      </c>
      <c r="D36" s="447" t="s">
        <v>2026</v>
      </c>
      <c r="E36" s="447" t="s">
        <v>2027</v>
      </c>
      <c r="F36" s="342" t="s">
        <v>2033</v>
      </c>
      <c r="G36" s="2110" t="s">
        <v>2025</v>
      </c>
      <c r="H36" s="2110" t="s">
        <v>2026</v>
      </c>
      <c r="I36" s="2110" t="s">
        <v>2027</v>
      </c>
      <c r="J36" s="243"/>
      <c r="K36" s="3354" t="s">
        <v>3264</v>
      </c>
      <c r="L36" s="3444">
        <f>'数据-取费表'!B40</f>
        <v>3.3500000000000002E-2</v>
      </c>
      <c r="M36" s="3355">
        <f>ROUND($L$36*(1+M31),3)</f>
        <v>4.2000000000000003E-2</v>
      </c>
      <c r="N36" s="3355">
        <f>ROUND($L$36*(1+N31),3)</f>
        <v>0.04</v>
      </c>
      <c r="O36" s="3355">
        <f>ROUND($L$36*(1+O31),3)</f>
        <v>3.9E-2</v>
      </c>
      <c r="P36" s="3355">
        <f>ROUND($L$36*(1+P31),3)</f>
        <v>3.6999999999999998E-2</v>
      </c>
      <c r="Q36" s="3355">
        <f>ROUND($L$36*(1+Q31),3)</f>
        <v>3.9E-2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6" thickBot="1">
      <c r="A37" s="3819"/>
      <c r="B37" s="2111" t="s">
        <v>2034</v>
      </c>
      <c r="C37" s="175">
        <f>ROUND(D5*C22*C23*C24*C28*F37,0)</f>
        <v>5519</v>
      </c>
      <c r="D37" s="2096"/>
      <c r="E37" s="171">
        <f>ROUND(C37*D37/10000,0)</f>
        <v>0</v>
      </c>
      <c r="F37" s="171">
        <f>SUMIF(修正!A57:A68,G2,修正!B57:B68)</f>
        <v>0.6</v>
      </c>
      <c r="G37" s="171">
        <f>ROUND(IF(E2="工业",C37*$M$42,C37*$M$41),0)</f>
        <v>1380</v>
      </c>
      <c r="H37" s="171">
        <f>D37</f>
        <v>0</v>
      </c>
      <c r="I37" s="171">
        <f>ROUND(G37*H37/10000,0)</f>
        <v>0</v>
      </c>
      <c r="J37" s="3009"/>
      <c r="K37" s="3356" t="s">
        <v>3265</v>
      </c>
      <c r="L37" s="3354">
        <f>L36+K38</f>
        <v>3.85E-2</v>
      </c>
      <c r="M37" s="3355">
        <f>ROUND($L$37*(1+M31),3)</f>
        <v>4.8000000000000001E-2</v>
      </c>
      <c r="N37" s="3355">
        <f t="shared" ref="N37:Q37" si="3">ROUND($L$37*(1+N31),3)</f>
        <v>4.5999999999999999E-2</v>
      </c>
      <c r="O37" s="3355">
        <f t="shared" si="3"/>
        <v>4.3999999999999997E-2</v>
      </c>
      <c r="P37" s="3355">
        <f t="shared" si="3"/>
        <v>4.2000000000000003E-2</v>
      </c>
      <c r="Q37" s="3355">
        <f t="shared" si="3"/>
        <v>4.3999999999999997E-2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20"/>
      <c r="B38" s="2039" t="s">
        <v>2035</v>
      </c>
      <c r="C38" s="175">
        <f>ROUND(D5*C22*C23*C24*C28*F38,0)</f>
        <v>2759</v>
      </c>
      <c r="D38" s="2096"/>
      <c r="E38" s="171">
        <f t="shared" ref="E38:E42" si="4">ROUND(C38*D38/10000,0)</f>
        <v>0</v>
      </c>
      <c r="F38" s="171">
        <f>SUMIF(修正!A57:A68,G2,修正!C57:C68)</f>
        <v>0.3</v>
      </c>
      <c r="G38" s="171">
        <f>ROUND(IF(E2="工业",C38*$M$42,C38*$M$41),0)</f>
        <v>690</v>
      </c>
      <c r="H38" s="171">
        <f t="shared" ref="H38:H42" si="5">D38</f>
        <v>0</v>
      </c>
      <c r="I38" s="171">
        <f t="shared" ref="I38:I42" si="6">ROUND(G38*H38/10000,0)</f>
        <v>0</v>
      </c>
      <c r="J38" s="3008"/>
      <c r="K38" s="3354">
        <v>5.0000000000000001E-3</v>
      </c>
      <c r="L38" s="3354"/>
      <c r="M38" s="3354"/>
      <c r="N38" s="3354"/>
      <c r="O38" s="3354"/>
      <c r="P38" s="3354"/>
      <c r="Q38" s="3354"/>
      <c r="R38" s="1117"/>
      <c r="S38" s="1117"/>
      <c r="T38" s="1117"/>
      <c r="U38" s="1117"/>
      <c r="V38" s="1117"/>
      <c r="W38" s="1117"/>
      <c r="X38" s="1117"/>
      <c r="Y38" s="1117"/>
      <c r="Z38" s="1118"/>
      <c r="AA38" s="1118"/>
      <c r="AB38" s="1118"/>
      <c r="AC38" s="1118"/>
      <c r="AD38" s="1118"/>
    </row>
    <row r="39" spans="1:37" ht="13.8" thickBot="1">
      <c r="A39" s="3820"/>
      <c r="B39" s="2039" t="s">
        <v>3258</v>
      </c>
      <c r="C39" s="175">
        <f>ROUND(D5*C22*C23*C24*C28*F39,0)</f>
        <v>2300</v>
      </c>
      <c r="D39" s="2096"/>
      <c r="E39" s="171">
        <f t="shared" si="4"/>
        <v>0</v>
      </c>
      <c r="F39" s="171">
        <f>SUMIF(修正!A57:A68,G2,修正!D57:D68)</f>
        <v>0.25</v>
      </c>
      <c r="G39" s="171">
        <f>ROUND(IF(E2="工业",C39*$M$42,C39*$M$41),0)</f>
        <v>575</v>
      </c>
      <c r="H39" s="171">
        <f t="shared" si="5"/>
        <v>0</v>
      </c>
      <c r="I39" s="171">
        <f t="shared" si="6"/>
        <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2036</v>
      </c>
      <c r="C40" s="171">
        <f>ROUND(D5*C22*C23*C24*C28*F40,0)</f>
        <v>2300</v>
      </c>
      <c r="D40" s="2096"/>
      <c r="E40" s="171">
        <f t="shared" si="4"/>
        <v>0</v>
      </c>
      <c r="F40" s="175">
        <f>SUMIF(修正!A57:A68,G2,修正!E57:E68)</f>
        <v>0.25</v>
      </c>
      <c r="G40" s="171">
        <f>ROUND(IF(E2="工业",C40*$M$42,C40*$M$41),0)</f>
        <v>575</v>
      </c>
      <c r="H40" s="171">
        <f t="shared" si="5"/>
        <v>0</v>
      </c>
      <c r="I40" s="171">
        <f t="shared" si="6"/>
        <v>0</v>
      </c>
      <c r="J40" s="2112"/>
      <c r="L40" s="2114" t="s">
        <v>2037</v>
      </c>
      <c r="M40" s="2115"/>
      <c r="Z40" s="1118"/>
      <c r="AA40" s="1118"/>
      <c r="AB40" s="1118"/>
      <c r="AC40" s="1118"/>
      <c r="AD40" s="1118"/>
      <c r="AE40" s="1118"/>
      <c r="AF40" s="1118"/>
      <c r="AG40" s="1118"/>
      <c r="AH40" s="1118"/>
      <c r="AI40" s="1118"/>
      <c r="AJ40" s="1118"/>
    </row>
    <row r="41" spans="1:37" s="1117" customFormat="1">
      <c r="A41" s="2113"/>
      <c r="B41" s="2039" t="s">
        <v>2038</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7" t="s">
        <v>3266</v>
      </c>
      <c r="M41" s="2116">
        <v>0.25</v>
      </c>
      <c r="Z41" s="1118"/>
      <c r="AA41" s="1118"/>
      <c r="AB41" s="1118"/>
      <c r="AC41" s="1118"/>
      <c r="AD41" s="1118"/>
      <c r="AE41" s="1118"/>
      <c r="AF41" s="1118"/>
      <c r="AG41" s="1118"/>
      <c r="AH41" s="1118"/>
      <c r="AI41" s="1118"/>
      <c r="AJ41" s="1118"/>
    </row>
    <row r="42" spans="1:37" s="1117" customFormat="1" ht="13.8" thickBot="1">
      <c r="A42" s="2099"/>
      <c r="B42" s="2117" t="s">
        <v>2039</v>
      </c>
      <c r="C42" s="187">
        <f>ROUND(D5*C22*C23*C44*C28*F42,0)</f>
        <v>0</v>
      </c>
      <c r="D42" s="2101"/>
      <c r="E42" s="187">
        <f t="shared" si="4"/>
        <v>0</v>
      </c>
      <c r="F42" s="765">
        <f>SUMIF(修正!A57:A68,G2,修正!G57:G68)</f>
        <v>0.15</v>
      </c>
      <c r="G42" s="187">
        <f>ROUND(IF(E2="工业",C42*$M$42,C42*$M$41),0)</f>
        <v>0</v>
      </c>
      <c r="H42" s="187">
        <f t="shared" si="5"/>
        <v>0</v>
      </c>
      <c r="I42" s="187">
        <f t="shared" si="6"/>
        <v>0</v>
      </c>
      <c r="J42" s="2118"/>
      <c r="L42" s="2119" t="s">
        <v>1991</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ht="24">
      <c r="A44" s="1118"/>
      <c r="B44" s="2152" t="s">
        <v>2117</v>
      </c>
      <c r="C44" s="342">
        <f>ROUND(POWER(1+E44,H44-G44)*(POWER(1+E44,G44)-1)/(POWER(1+E44,H44)-1),4)</f>
        <v>0</v>
      </c>
      <c r="D44" s="171" t="s">
        <v>1997</v>
      </c>
      <c r="E44" s="2151">
        <f>G24</f>
        <v>5.5E-2</v>
      </c>
      <c r="F44" s="171" t="s">
        <v>2006</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 thickBot="1">
      <c r="A47" s="2122" t="s">
        <v>2040</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4.4">
      <c r="A48" s="2124" t="s">
        <v>2041</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5.2">
      <c r="A49" s="2128" t="s">
        <v>2042</v>
      </c>
      <c r="B49" s="1349" t="s">
        <v>2043</v>
      </c>
      <c r="C49" s="1349" t="s">
        <v>2044</v>
      </c>
      <c r="D49" s="1349" t="s">
        <v>2045</v>
      </c>
      <c r="E49" s="741" t="s">
        <v>2046</v>
      </c>
      <c r="F49" s="2129" t="s">
        <v>2047</v>
      </c>
      <c r="G49" s="1349" t="s">
        <v>310</v>
      </c>
      <c r="H49" s="2130" t="s">
        <v>2048</v>
      </c>
      <c r="I49" s="1349"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39.6">
      <c r="A50" s="2128" t="s">
        <v>2050</v>
      </c>
      <c r="B50" s="2131" t="str">
        <f>估价对象房地状况!C4</f>
        <v>估价对象位于XX商圈，周边商业氛围成熟，人流量大，商业繁华度好</v>
      </c>
      <c r="C50" s="2042"/>
      <c r="D50" s="1063">
        <f t="shared" ref="D50:D58" si="7">SUMIF($J$49:$N$49,C50,J50:N50)</f>
        <v>0</v>
      </c>
      <c r="E50" s="742">
        <f>ROUND(SUM(D50:D58),4)</f>
        <v>0</v>
      </c>
      <c r="F50" s="1812">
        <f>IF(E2="商业",SUMIF(L1:L12,G2,N1:N12),"——")</f>
        <v>0.13</v>
      </c>
      <c r="G50" s="1061"/>
      <c r="H50" s="1064">
        <f t="shared" ref="H50:H58" si="8">IFERROR(ROUNDDOWN($F$50*I50/2,4),"——")</f>
        <v>1.95E-2</v>
      </c>
      <c r="I50" s="3364">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52.8">
      <c r="A51" s="2128" t="s">
        <v>2051</v>
      </c>
      <c r="B51" s="2132" t="str">
        <f>估价对象房地状况!C18</f>
        <v>估价对象周边道路状况、公共交通通达情况、停车便捷程度，综合评价交通便捷度较好</v>
      </c>
      <c r="C51" s="2042"/>
      <c r="D51" s="1063">
        <f t="shared" si="7"/>
        <v>0</v>
      </c>
      <c r="E51" s="743"/>
      <c r="F51" s="1812"/>
      <c r="G51" s="1061"/>
      <c r="H51" s="1064">
        <f t="shared" si="8"/>
        <v>1.43E-2</v>
      </c>
      <c r="I51" s="3364">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48">
      <c r="A52" s="3366" t="s">
        <v>3268</v>
      </c>
      <c r="B52" s="2132">
        <f>估价对象房地状况!C19</f>
        <v>0</v>
      </c>
      <c r="C52" s="2042"/>
      <c r="D52" s="1063">
        <f t="shared" si="7"/>
        <v>0</v>
      </c>
      <c r="E52" s="743"/>
      <c r="F52" s="1812"/>
      <c r="G52" s="1061"/>
      <c r="H52" s="1064">
        <f t="shared" si="8"/>
        <v>7.7999999999999996E-3</v>
      </c>
      <c r="I52" s="3364">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7.200000000000003">
      <c r="A53" s="2128" t="s">
        <v>2052</v>
      </c>
      <c r="B53" s="2133" t="s">
        <v>2053</v>
      </c>
      <c r="C53" s="2042"/>
      <c r="D53" s="1063">
        <f t="shared" si="7"/>
        <v>0</v>
      </c>
      <c r="E53" s="743"/>
      <c r="F53" s="1812"/>
      <c r="G53" s="1061"/>
      <c r="H53" s="1064">
        <f t="shared" si="8"/>
        <v>3.2000000000000002E-3</v>
      </c>
      <c r="I53" s="3364">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2054</v>
      </c>
      <c r="B54" s="2132">
        <f>估价对象房地状况!C24</f>
        <v>0</v>
      </c>
      <c r="C54" s="2042"/>
      <c r="D54" s="1063">
        <f t="shared" si="7"/>
        <v>0</v>
      </c>
      <c r="E54" s="743"/>
      <c r="F54" s="1812"/>
      <c r="G54" s="1061"/>
      <c r="H54" s="1064">
        <f t="shared" si="8"/>
        <v>5.1999999999999998E-3</v>
      </c>
      <c r="I54" s="3364">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36">
      <c r="A55" s="2128" t="s">
        <v>2055</v>
      </c>
      <c r="B55" s="2134" t="s">
        <v>2056</v>
      </c>
      <c r="C55" s="2042"/>
      <c r="D55" s="1063">
        <f t="shared" si="7"/>
        <v>0</v>
      </c>
      <c r="E55" s="743"/>
      <c r="F55" s="1812"/>
      <c r="G55" s="1061"/>
      <c r="H55" s="1064">
        <f t="shared" si="8"/>
        <v>3.2000000000000002E-3</v>
      </c>
      <c r="I55" s="3364">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6.4">
      <c r="A56" s="2135" t="s">
        <v>2057</v>
      </c>
      <c r="B56" s="1324" t="str">
        <f>估价对象房地状况!C21</f>
        <v>估价对象所在区域公共配套设施齐备情况</v>
      </c>
      <c r="C56" s="2042"/>
      <c r="D56" s="1063">
        <f t="shared" si="7"/>
        <v>0</v>
      </c>
      <c r="E56" s="743"/>
      <c r="F56" s="1812"/>
      <c r="G56" s="1061"/>
      <c r="H56" s="1064">
        <f t="shared" si="8"/>
        <v>3.2000000000000002E-3</v>
      </c>
      <c r="I56" s="3364">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6.4">
      <c r="A57" s="2135" t="s">
        <v>2058</v>
      </c>
      <c r="B57" s="2132" t="str">
        <f>估价对象房地状况!C22</f>
        <v>估价对象所在区域基础设施水平</v>
      </c>
      <c r="C57" s="2042"/>
      <c r="D57" s="1063">
        <f t="shared" si="7"/>
        <v>0</v>
      </c>
      <c r="E57" s="743"/>
      <c r="F57" s="1812"/>
      <c r="G57" s="1061"/>
      <c r="H57" s="1064">
        <f t="shared" si="8"/>
        <v>5.1999999999999998E-3</v>
      </c>
      <c r="I57" s="3364">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40.200000000000003" thickBot="1">
      <c r="A58" s="2136" t="s">
        <v>2059</v>
      </c>
      <c r="B58" s="2137" t="str">
        <f>估价对象房地状况!C20</f>
        <v>区域自然环境：；人文环境；综合评价环境状况一般</v>
      </c>
      <c r="C58" s="2042"/>
      <c r="D58" s="1063">
        <f t="shared" si="7"/>
        <v>0</v>
      </c>
      <c r="E58" s="744"/>
      <c r="F58" s="1812"/>
      <c r="G58" s="1061"/>
      <c r="H58" s="1064">
        <f t="shared" si="8"/>
        <v>3.2000000000000002E-3</v>
      </c>
      <c r="I58" s="3365">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4.4">
      <c r="A59" s="2124" t="s">
        <v>2060</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5.2">
      <c r="A60" s="2128" t="s">
        <v>2042</v>
      </c>
      <c r="B60" s="1349"/>
      <c r="C60" s="1349" t="s">
        <v>2044</v>
      </c>
      <c r="D60" s="1349" t="s">
        <v>2045</v>
      </c>
      <c r="E60" s="741" t="s">
        <v>2046</v>
      </c>
      <c r="F60" s="2129" t="s">
        <v>2061</v>
      </c>
      <c r="G60" s="1349" t="s">
        <v>310</v>
      </c>
      <c r="H60" s="2130" t="s">
        <v>2048</v>
      </c>
      <c r="I60" s="1349"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39.6">
      <c r="A61" s="2128" t="s">
        <v>2062</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4">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52.8">
      <c r="A62" s="2128" t="s">
        <v>2051</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4">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48">
      <c r="A63" s="3366" t="s">
        <v>3268</v>
      </c>
      <c r="B63" s="2132">
        <f>估价对象房地状况!C19</f>
        <v>0</v>
      </c>
      <c r="C63" s="2042"/>
      <c r="D63" s="1063">
        <f t="shared" si="12"/>
        <v>0</v>
      </c>
      <c r="E63" s="743"/>
      <c r="F63" s="1812"/>
      <c r="G63" s="1061"/>
      <c r="H63" s="1064" t="str">
        <f t="shared" si="13"/>
        <v>——</v>
      </c>
      <c r="I63" s="3364">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7.200000000000003">
      <c r="A64" s="2128" t="s">
        <v>2052</v>
      </c>
      <c r="B64" s="2133" t="s">
        <v>2053</v>
      </c>
      <c r="C64" s="2042"/>
      <c r="D64" s="1063">
        <f t="shared" si="12"/>
        <v>0</v>
      </c>
      <c r="E64" s="743"/>
      <c r="F64" s="1812"/>
      <c r="G64" s="1061"/>
      <c r="H64" s="1064" t="str">
        <f t="shared" si="13"/>
        <v>——</v>
      </c>
      <c r="I64" s="3364">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2054</v>
      </c>
      <c r="B65" s="2132">
        <f>估价对象房地状况!C24</f>
        <v>0</v>
      </c>
      <c r="C65" s="2042"/>
      <c r="D65" s="1063">
        <f t="shared" si="12"/>
        <v>0</v>
      </c>
      <c r="E65" s="743"/>
      <c r="F65" s="1812"/>
      <c r="G65" s="1061"/>
      <c r="H65" s="1064" t="str">
        <f t="shared" si="13"/>
        <v>——</v>
      </c>
      <c r="I65" s="3364">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36">
      <c r="A66" s="2128" t="s">
        <v>2055</v>
      </c>
      <c r="B66" s="2134" t="s">
        <v>2056</v>
      </c>
      <c r="C66" s="2042"/>
      <c r="D66" s="1063">
        <f t="shared" si="12"/>
        <v>0</v>
      </c>
      <c r="E66" s="743"/>
      <c r="F66" s="1812"/>
      <c r="G66" s="1061"/>
      <c r="H66" s="1064" t="str">
        <f t="shared" si="13"/>
        <v>——</v>
      </c>
      <c r="I66" s="3364">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6.4">
      <c r="A67" s="2128" t="s">
        <v>2057</v>
      </c>
      <c r="B67" s="1324" t="str">
        <f>估价对象房地状况!C21</f>
        <v>估价对象所在区域公共配套设施齐备情况</v>
      </c>
      <c r="C67" s="2042"/>
      <c r="D67" s="1063">
        <f t="shared" si="12"/>
        <v>0</v>
      </c>
      <c r="E67" s="743"/>
      <c r="F67" s="1812"/>
      <c r="G67" s="1061"/>
      <c r="H67" s="1064" t="str">
        <f t="shared" si="13"/>
        <v>——</v>
      </c>
      <c r="I67" s="3364">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6.4">
      <c r="A68" s="2128" t="s">
        <v>2058</v>
      </c>
      <c r="B68" s="1324" t="str">
        <f>估价对象房地状况!C22</f>
        <v>估价对象所在区域基础设施水平</v>
      </c>
      <c r="C68" s="2042"/>
      <c r="D68" s="1063">
        <f t="shared" si="12"/>
        <v>0</v>
      </c>
      <c r="E68" s="743"/>
      <c r="F68" s="1812"/>
      <c r="G68" s="1061"/>
      <c r="H68" s="1064" t="str">
        <f t="shared" si="13"/>
        <v>——</v>
      </c>
      <c r="I68" s="3364">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40.200000000000003" thickBot="1">
      <c r="A69" s="2136" t="s">
        <v>2059</v>
      </c>
      <c r="B69" s="2138" t="str">
        <f>估价对象房地状况!C20</f>
        <v>区域自然环境：；人文环境；综合评价环境状况一般</v>
      </c>
      <c r="C69" s="2042"/>
      <c r="D69" s="1063">
        <f t="shared" si="12"/>
        <v>0</v>
      </c>
      <c r="E69" s="744"/>
      <c r="F69" s="1812"/>
      <c r="G69" s="1061"/>
      <c r="H69" s="1064" t="str">
        <f t="shared" si="13"/>
        <v>——</v>
      </c>
      <c r="I69" s="3365">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4.4">
      <c r="A70" s="2124" t="s">
        <v>2063</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5.2">
      <c r="A71" s="2128" t="s">
        <v>2042</v>
      </c>
      <c r="B71" s="1349"/>
      <c r="C71" s="1349" t="s">
        <v>2044</v>
      </c>
      <c r="D71" s="1349" t="s">
        <v>2045</v>
      </c>
      <c r="E71" s="741" t="s">
        <v>2046</v>
      </c>
      <c r="F71" s="2129" t="s">
        <v>2061</v>
      </c>
      <c r="G71" s="1349" t="s">
        <v>310</v>
      </c>
      <c r="H71" s="2130" t="s">
        <v>2048</v>
      </c>
      <c r="I71" s="1349"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52.8">
      <c r="A72" s="2128" t="s">
        <v>2064</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4">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52.8">
      <c r="A73" s="2128" t="s">
        <v>2051</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4">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48">
      <c r="A74" s="3366" t="s">
        <v>3268</v>
      </c>
      <c r="B74" s="2132">
        <f>估价对象房地状况!C19</f>
        <v>0</v>
      </c>
      <c r="C74" s="2042"/>
      <c r="D74" s="1063">
        <f t="shared" si="17"/>
        <v>0</v>
      </c>
      <c r="E74" s="745"/>
      <c r="F74" s="1812"/>
      <c r="G74" s="1061"/>
      <c r="H74" s="1064" t="str">
        <f t="shared" si="18"/>
        <v>——</v>
      </c>
      <c r="I74" s="3364">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3.8">
      <c r="A75" s="2128" t="s">
        <v>2065</v>
      </c>
      <c r="B75" s="2132">
        <f>估价对象房地状况!C24</f>
        <v>0</v>
      </c>
      <c r="C75" s="2042"/>
      <c r="D75" s="1063">
        <f t="shared" si="17"/>
        <v>0</v>
      </c>
      <c r="E75" s="745"/>
      <c r="F75" s="1812"/>
      <c r="G75" s="1061"/>
      <c r="H75" s="1064" t="str">
        <f t="shared" si="18"/>
        <v>——</v>
      </c>
      <c r="I75" s="3364">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6.4">
      <c r="A76" s="2128" t="s">
        <v>2057</v>
      </c>
      <c r="B76" s="1324" t="str">
        <f>估价对象房地状况!C21</f>
        <v>估价对象所在区域公共配套设施齐备情况</v>
      </c>
      <c r="C76" s="2042"/>
      <c r="D76" s="1063">
        <f t="shared" si="17"/>
        <v>0</v>
      </c>
      <c r="E76" s="745"/>
      <c r="F76" s="1812"/>
      <c r="G76" s="1061"/>
      <c r="H76" s="1064" t="str">
        <f t="shared" si="18"/>
        <v>——</v>
      </c>
      <c r="I76" s="3364">
        <v>0.08</v>
      </c>
      <c r="J76" s="1062">
        <f t="shared" si="19"/>
        <v>0</v>
      </c>
      <c r="K76" s="1062">
        <f t="shared" si="20"/>
        <v>0</v>
      </c>
      <c r="L76" s="1062">
        <v>0</v>
      </c>
      <c r="M76" s="1062">
        <f t="shared" si="21"/>
        <v>0</v>
      </c>
      <c r="N76" s="1062">
        <f t="shared" si="21"/>
        <v>0</v>
      </c>
      <c r="O76" s="1117"/>
      <c r="P76" s="1117"/>
      <c r="Z76" s="1996"/>
      <c r="AA76" s="2051"/>
      <c r="AG76" s="1119"/>
      <c r="AK76" s="2051"/>
    </row>
    <row r="77" spans="1:37" ht="26.4">
      <c r="A77" s="2128" t="s">
        <v>2058</v>
      </c>
      <c r="B77" s="1324" t="str">
        <f>估价对象房地状况!C22</f>
        <v>估价对象所在区域基础设施水平</v>
      </c>
      <c r="C77" s="2042"/>
      <c r="D77" s="1063">
        <f t="shared" si="17"/>
        <v>0</v>
      </c>
      <c r="E77" s="745"/>
      <c r="F77" s="1812"/>
      <c r="G77" s="1061"/>
      <c r="H77" s="1064" t="str">
        <f t="shared" si="18"/>
        <v>——</v>
      </c>
      <c r="I77" s="3364">
        <v>0.09</v>
      </c>
      <c r="J77" s="1062">
        <f t="shared" si="19"/>
        <v>0</v>
      </c>
      <c r="K77" s="1062">
        <f t="shared" si="20"/>
        <v>0</v>
      </c>
      <c r="L77" s="1062">
        <v>0</v>
      </c>
      <c r="M77" s="1062">
        <f t="shared" si="21"/>
        <v>0</v>
      </c>
      <c r="N77" s="1062">
        <f t="shared" si="21"/>
        <v>0</v>
      </c>
      <c r="O77" s="1117"/>
      <c r="P77" s="1117"/>
      <c r="Z77" s="1996"/>
      <c r="AA77" s="2051"/>
      <c r="AG77" s="1119"/>
      <c r="AK77" s="2051"/>
    </row>
    <row r="78" spans="1:37" ht="36">
      <c r="A78" s="2128" t="s">
        <v>2055</v>
      </c>
      <c r="B78" s="2134" t="s">
        <v>2056</v>
      </c>
      <c r="C78" s="2042"/>
      <c r="D78" s="1063">
        <f t="shared" si="17"/>
        <v>0</v>
      </c>
      <c r="E78" s="745"/>
      <c r="F78" s="1812"/>
      <c r="G78" s="1061"/>
      <c r="H78" s="1064" t="str">
        <f t="shared" si="18"/>
        <v>——</v>
      </c>
      <c r="I78" s="3364">
        <v>0.05</v>
      </c>
      <c r="J78" s="1062">
        <f t="shared" si="19"/>
        <v>0</v>
      </c>
      <c r="K78" s="1062">
        <f t="shared" si="20"/>
        <v>0</v>
      </c>
      <c r="L78" s="1062">
        <v>0</v>
      </c>
      <c r="M78" s="1062">
        <f t="shared" si="21"/>
        <v>0</v>
      </c>
      <c r="N78" s="1062">
        <f t="shared" si="21"/>
        <v>0</v>
      </c>
      <c r="O78" s="1995"/>
      <c r="P78" s="1995"/>
      <c r="Z78" s="1996"/>
      <c r="AA78" s="2051"/>
      <c r="AG78" s="1119"/>
      <c r="AK78" s="2051"/>
    </row>
    <row r="79" spans="1:37" ht="39.6">
      <c r="A79" s="2128" t="s">
        <v>2059</v>
      </c>
      <c r="B79" s="2131" t="str">
        <f>估价对象房地状况!C20</f>
        <v>区域自然环境：；人文环境；综合评价环境状况一般</v>
      </c>
      <c r="C79" s="2042"/>
      <c r="D79" s="1063">
        <f t="shared" si="17"/>
        <v>0</v>
      </c>
      <c r="E79" s="745"/>
      <c r="F79" s="1812"/>
      <c r="G79" s="1061"/>
      <c r="H79" s="1064" t="str">
        <f t="shared" si="18"/>
        <v>——</v>
      </c>
      <c r="I79" s="3364">
        <v>0.12</v>
      </c>
      <c r="J79" s="1062">
        <f t="shared" si="19"/>
        <v>0</v>
      </c>
      <c r="K79" s="1062">
        <f t="shared" si="20"/>
        <v>0</v>
      </c>
      <c r="L79" s="1062">
        <v>0</v>
      </c>
      <c r="M79" s="1062">
        <f t="shared" si="21"/>
        <v>0</v>
      </c>
      <c r="N79" s="1062">
        <f t="shared" si="21"/>
        <v>0</v>
      </c>
      <c r="Z79" s="1996"/>
      <c r="AA79" s="2051"/>
      <c r="AG79" s="1119"/>
      <c r="AK79" s="2051"/>
    </row>
    <row r="80" spans="1:37" ht="36.6" thickBot="1">
      <c r="A80" s="2136" t="s">
        <v>2066</v>
      </c>
      <c r="B80" s="2140"/>
      <c r="C80" s="2042"/>
      <c r="D80" s="1063">
        <f t="shared" si="17"/>
        <v>0</v>
      </c>
      <c r="E80" s="746"/>
      <c r="F80" s="1812"/>
      <c r="G80" s="1061"/>
      <c r="H80" s="1064" t="str">
        <f t="shared" si="18"/>
        <v>——</v>
      </c>
      <c r="I80" s="3365">
        <v>0.05</v>
      </c>
      <c r="J80" s="1062">
        <f t="shared" si="19"/>
        <v>0</v>
      </c>
      <c r="K80" s="1062">
        <f t="shared" si="20"/>
        <v>0</v>
      </c>
      <c r="L80" s="1062">
        <v>0</v>
      </c>
      <c r="M80" s="1062">
        <f t="shared" si="21"/>
        <v>0</v>
      </c>
      <c r="N80" s="1062">
        <f t="shared" si="21"/>
        <v>0</v>
      </c>
      <c r="Z80" s="1996"/>
      <c r="AA80" s="2051"/>
      <c r="AG80" s="1119"/>
      <c r="AK80" s="2051"/>
    </row>
    <row r="81" spans="1:37" ht="14.4">
      <c r="A81" s="2124" t="s">
        <v>2067</v>
      </c>
      <c r="B81" s="2125">
        <f>1+E83</f>
        <v>1</v>
      </c>
      <c r="C81" s="739"/>
      <c r="D81" s="739"/>
      <c r="E81" s="740"/>
      <c r="F81" s="2127"/>
      <c r="G81" s="3"/>
      <c r="H81" s="3"/>
      <c r="I81" s="3"/>
      <c r="J81" s="4"/>
      <c r="K81" s="4"/>
      <c r="L81" s="4"/>
      <c r="M81" s="4"/>
      <c r="N81" s="4"/>
      <c r="Z81" s="1996"/>
      <c r="AA81" s="2051"/>
      <c r="AG81" s="1119"/>
      <c r="AK81" s="2051"/>
    </row>
    <row r="82" spans="1:37" ht="25.2">
      <c r="A82" s="2128" t="s">
        <v>2042</v>
      </c>
      <c r="B82" s="1349"/>
      <c r="C82" s="1349" t="s">
        <v>2044</v>
      </c>
      <c r="D82" s="1349" t="s">
        <v>2045</v>
      </c>
      <c r="E82" s="741" t="s">
        <v>2046</v>
      </c>
      <c r="F82" s="2129" t="s">
        <v>2061</v>
      </c>
      <c r="G82" s="1349" t="s">
        <v>310</v>
      </c>
      <c r="H82" s="2130" t="s">
        <v>2048</v>
      </c>
      <c r="I82" s="1349" t="s">
        <v>2049</v>
      </c>
      <c r="J82" s="552" t="s">
        <v>1719</v>
      </c>
      <c r="K82" s="552" t="s">
        <v>1720</v>
      </c>
      <c r="L82" s="552" t="s">
        <v>1721</v>
      </c>
      <c r="M82" s="552" t="s">
        <v>1722</v>
      </c>
      <c r="N82" s="552" t="s">
        <v>1723</v>
      </c>
      <c r="Z82" s="1996"/>
      <c r="AA82" s="2051"/>
      <c r="AG82" s="1119"/>
      <c r="AK82" s="2051"/>
    </row>
    <row r="83" spans="1:37" ht="39.6">
      <c r="A83" s="2128" t="s">
        <v>2068</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4">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52.8">
      <c r="A84" s="2128" t="s">
        <v>2051</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4">
        <v>0.3</v>
      </c>
      <c r="J84" s="1062">
        <f t="shared" si="24"/>
        <v>0</v>
      </c>
      <c r="K84" s="1062">
        <f t="shared" si="25"/>
        <v>0</v>
      </c>
      <c r="L84" s="1062">
        <v>0</v>
      </c>
      <c r="M84" s="1062">
        <f t="shared" si="26"/>
        <v>0</v>
      </c>
      <c r="N84" s="1062">
        <f t="shared" si="26"/>
        <v>0</v>
      </c>
      <c r="Z84" s="1996"/>
      <c r="AA84" s="2051"/>
      <c r="AG84" s="1119"/>
      <c r="AK84" s="2051"/>
    </row>
    <row r="85" spans="1:37" ht="48">
      <c r="A85" s="3366" t="s">
        <v>3269</v>
      </c>
      <c r="B85" s="2132">
        <f>估价对象房地状况!G17</f>
        <v>0</v>
      </c>
      <c r="C85" s="2042"/>
      <c r="D85" s="1063">
        <f t="shared" si="22"/>
        <v>0</v>
      </c>
      <c r="E85" s="745"/>
      <c r="F85" s="1812"/>
      <c r="G85" s="1061"/>
      <c r="H85" s="1064" t="str">
        <f t="shared" si="23"/>
        <v>——</v>
      </c>
      <c r="I85" s="3364">
        <v>0.1</v>
      </c>
      <c r="J85" s="1062">
        <f t="shared" si="24"/>
        <v>0</v>
      </c>
      <c r="K85" s="1062">
        <f t="shared" si="25"/>
        <v>0</v>
      </c>
      <c r="L85" s="1062">
        <v>0</v>
      </c>
      <c r="M85" s="1062">
        <f t="shared" si="26"/>
        <v>0</v>
      </c>
      <c r="N85" s="1062">
        <f t="shared" si="26"/>
        <v>0</v>
      </c>
      <c r="Z85" s="1996"/>
      <c r="AA85" s="2051"/>
      <c r="AG85" s="1119"/>
      <c r="AK85" s="2051"/>
    </row>
    <row r="86" spans="1:37" ht="13.8">
      <c r="A86" s="2128" t="s">
        <v>2065</v>
      </c>
      <c r="B86" s="2132">
        <f>估价对象房地状况!G22</f>
        <v>0</v>
      </c>
      <c r="C86" s="2042"/>
      <c r="D86" s="1063">
        <f t="shared" si="22"/>
        <v>0</v>
      </c>
      <c r="E86" s="745"/>
      <c r="F86" s="1812"/>
      <c r="G86" s="1061"/>
      <c r="H86" s="1064" t="str">
        <f t="shared" si="23"/>
        <v>——</v>
      </c>
      <c r="I86" s="3364">
        <v>0.05</v>
      </c>
      <c r="J86" s="1062">
        <f t="shared" si="24"/>
        <v>0</v>
      </c>
      <c r="K86" s="1062">
        <f t="shared" si="25"/>
        <v>0</v>
      </c>
      <c r="L86" s="1062">
        <v>0</v>
      </c>
      <c r="M86" s="1062">
        <f t="shared" si="26"/>
        <v>0</v>
      </c>
      <c r="N86" s="1062">
        <f t="shared" si="26"/>
        <v>0</v>
      </c>
      <c r="Z86" s="1996"/>
      <c r="AA86" s="2051"/>
      <c r="AG86" s="1119"/>
      <c r="AK86" s="2051"/>
    </row>
    <row r="87" spans="1:37" ht="26.4">
      <c r="A87" s="2128" t="s">
        <v>2057</v>
      </c>
      <c r="B87" s="1324" t="str">
        <f>估价对象房地状况!G19</f>
        <v>估价对象所在区域公共配套设施齐备情况</v>
      </c>
      <c r="C87" s="2042"/>
      <c r="D87" s="1063">
        <f t="shared" si="22"/>
        <v>0</v>
      </c>
      <c r="E87" s="745"/>
      <c r="F87" s="1812"/>
      <c r="G87" s="1061"/>
      <c r="H87" s="1064" t="str">
        <f t="shared" si="23"/>
        <v>——</v>
      </c>
      <c r="I87" s="3364">
        <v>0.06</v>
      </c>
      <c r="J87" s="1062">
        <f t="shared" si="24"/>
        <v>0</v>
      </c>
      <c r="K87" s="1062">
        <f t="shared" si="25"/>
        <v>0</v>
      </c>
      <c r="L87" s="1062">
        <v>0</v>
      </c>
      <c r="M87" s="1062">
        <f t="shared" si="26"/>
        <v>0</v>
      </c>
      <c r="N87" s="1062">
        <f t="shared" si="26"/>
        <v>0</v>
      </c>
    </row>
    <row r="88" spans="1:37" ht="26.4">
      <c r="A88" s="2128" t="s">
        <v>2058</v>
      </c>
      <c r="B88" s="1324" t="str">
        <f>估价对象房地状况!G20</f>
        <v>估价对象所在区域基础设施水平</v>
      </c>
      <c r="C88" s="2042"/>
      <c r="D88" s="1063">
        <f t="shared" si="22"/>
        <v>0</v>
      </c>
      <c r="E88" s="745"/>
      <c r="F88" s="1812"/>
      <c r="G88" s="1061"/>
      <c r="H88" s="1064" t="str">
        <f t="shared" si="23"/>
        <v>——</v>
      </c>
      <c r="I88" s="3364">
        <v>0.12</v>
      </c>
      <c r="J88" s="1062">
        <f t="shared" si="24"/>
        <v>0</v>
      </c>
      <c r="K88" s="1062">
        <f t="shared" si="25"/>
        <v>0</v>
      </c>
      <c r="L88" s="1062">
        <v>0</v>
      </c>
      <c r="M88" s="1062">
        <f t="shared" si="26"/>
        <v>0</v>
      </c>
      <c r="N88" s="1062">
        <f t="shared" si="26"/>
        <v>0</v>
      </c>
    </row>
    <row r="89" spans="1:37" ht="36">
      <c r="A89" s="2128" t="s">
        <v>2055</v>
      </c>
      <c r="B89" s="2134" t="s">
        <v>2069</v>
      </c>
      <c r="C89" s="2042"/>
      <c r="D89" s="1063">
        <f t="shared" si="22"/>
        <v>0</v>
      </c>
      <c r="E89" s="745"/>
      <c r="F89" s="1812"/>
      <c r="G89" s="1061"/>
      <c r="H89" s="1064" t="str">
        <f t="shared" si="23"/>
        <v>——</v>
      </c>
      <c r="I89" s="3364">
        <v>0.06</v>
      </c>
      <c r="J89" s="1062">
        <f t="shared" si="24"/>
        <v>0</v>
      </c>
      <c r="K89" s="1062">
        <f t="shared" si="25"/>
        <v>0</v>
      </c>
      <c r="L89" s="1062">
        <v>0</v>
      </c>
      <c r="M89" s="1062">
        <f t="shared" si="26"/>
        <v>0</v>
      </c>
      <c r="N89" s="1062">
        <f t="shared" si="26"/>
        <v>0</v>
      </c>
    </row>
    <row r="90" spans="1:37" ht="40.200000000000003" thickBot="1">
      <c r="A90" s="2136" t="s">
        <v>2070</v>
      </c>
      <c r="B90" s="2141" t="str">
        <f>估价对象房地状况!G18</f>
        <v>该园区内是否有污染型企业，绿化情况，卫生条件，整体环境状况判断</v>
      </c>
      <c r="C90" s="2042"/>
      <c r="D90" s="1063">
        <f t="shared" si="22"/>
        <v>0</v>
      </c>
      <c r="E90" s="746"/>
      <c r="F90" s="1812"/>
      <c r="G90" s="1061"/>
      <c r="H90" s="1064" t="str">
        <f t="shared" si="23"/>
        <v>——</v>
      </c>
      <c r="I90" s="3365">
        <v>0.05</v>
      </c>
      <c r="J90" s="1062">
        <f t="shared" si="24"/>
        <v>0</v>
      </c>
      <c r="K90" s="1062">
        <f t="shared" si="25"/>
        <v>0</v>
      </c>
      <c r="L90" s="1062">
        <v>0</v>
      </c>
      <c r="M90" s="1062">
        <f t="shared" si="26"/>
        <v>0</v>
      </c>
      <c r="N90" s="1062">
        <f t="shared" si="26"/>
        <v>0</v>
      </c>
    </row>
    <row r="91" spans="1:37" ht="13.8">
      <c r="A91" s="3374" t="s">
        <v>2611</v>
      </c>
      <c r="B91" s="3375">
        <f>1+E93</f>
        <v>1</v>
      </c>
      <c r="C91" s="3368"/>
      <c r="D91" s="3369"/>
      <c r="E91" s="1812"/>
      <c r="F91" s="1812"/>
      <c r="G91" s="3370"/>
      <c r="H91" s="3371"/>
      <c r="I91" s="3372"/>
      <c r="J91" s="3373"/>
      <c r="K91" s="3373"/>
      <c r="L91" s="3373"/>
      <c r="M91" s="3373"/>
      <c r="N91" s="3373"/>
    </row>
    <row r="92" spans="1:37" ht="25.2">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4"/>
      <c r="C93" s="2042"/>
      <c r="D93" s="3363">
        <f>SUMIF($J$92:$N$92,C93,J93:N93)</f>
        <v>0</v>
      </c>
      <c r="E93" s="3379">
        <f>ROUND(SUM(D93:D101),4)</f>
        <v>0</v>
      </c>
      <c r="F93" s="1812"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52.8">
      <c r="A94" s="3376" t="s">
        <v>3272</v>
      </c>
      <c r="B94" s="3367" t="str">
        <f>估价对象房地状况!C18</f>
        <v>估价对象周边道路状况、公共交通通达情况、停车便捷程度，综合评价交通便捷度较好</v>
      </c>
      <c r="C94" s="2042"/>
      <c r="D94" s="3363">
        <f t="shared" ref="D94:D101" si="30">SUMIF($J$60:$N$60,C94,J94:N94)</f>
        <v>0</v>
      </c>
      <c r="E94" s="3380"/>
      <c r="F94" s="1812"/>
      <c r="G94" s="3370"/>
      <c r="H94" s="3418" t="str">
        <f>IFERROR(ROUNDDOWN($F$93*I94/2,4),"——")</f>
        <v>——</v>
      </c>
      <c r="I94" s="3364">
        <v>0.26</v>
      </c>
      <c r="J94" s="3342">
        <f t="shared" si="27"/>
        <v>0</v>
      </c>
      <c r="K94" s="3342">
        <f t="shared" si="28"/>
        <v>0</v>
      </c>
      <c r="L94" s="3342">
        <v>0</v>
      </c>
      <c r="M94" s="3342">
        <f t="shared" si="29"/>
        <v>0</v>
      </c>
      <c r="N94" s="3342">
        <f t="shared" si="29"/>
        <v>0</v>
      </c>
    </row>
    <row r="95" spans="1:37" ht="48">
      <c r="A95" s="3366" t="s">
        <v>3268</v>
      </c>
      <c r="B95" s="3367">
        <f>估价对象房地状况!C19</f>
        <v>0</v>
      </c>
      <c r="C95" s="2042"/>
      <c r="D95" s="3363">
        <f t="shared" si="30"/>
        <v>0</v>
      </c>
      <c r="E95" s="3380"/>
      <c r="F95" s="1812"/>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7.200000000000003">
      <c r="A96" s="3376" t="s">
        <v>3273</v>
      </c>
      <c r="B96" s="3382" t="s">
        <v>3284</v>
      </c>
      <c r="C96" s="2042"/>
      <c r="D96" s="3363">
        <f t="shared" si="30"/>
        <v>0</v>
      </c>
      <c r="E96" s="3380"/>
      <c r="F96" s="1812"/>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f>估价对象房地状况!C24</f>
        <v>0</v>
      </c>
      <c r="C97" s="2042"/>
      <c r="D97" s="3363">
        <f t="shared" si="30"/>
        <v>0</v>
      </c>
      <c r="E97" s="3380"/>
      <c r="F97" s="1812"/>
      <c r="G97" s="3370"/>
      <c r="H97" s="3418" t="str">
        <f t="shared" si="31"/>
        <v>——</v>
      </c>
      <c r="I97" s="3364">
        <v>0.05</v>
      </c>
      <c r="J97" s="3342">
        <f t="shared" si="27"/>
        <v>0</v>
      </c>
      <c r="K97" s="3342">
        <f t="shared" si="28"/>
        <v>0</v>
      </c>
      <c r="L97" s="3342">
        <v>0</v>
      </c>
      <c r="M97" s="3342">
        <f t="shared" si="29"/>
        <v>0</v>
      </c>
      <c r="N97" s="3342">
        <f t="shared" si="29"/>
        <v>0</v>
      </c>
    </row>
    <row r="98" spans="1:14" ht="36">
      <c r="A98" s="3376" t="s">
        <v>3275</v>
      </c>
      <c r="B98" s="3383" t="s">
        <v>3285</v>
      </c>
      <c r="C98" s="2042"/>
      <c r="D98" s="3363">
        <f t="shared" si="30"/>
        <v>0</v>
      </c>
      <c r="E98" s="3380"/>
      <c r="F98" s="1812"/>
      <c r="G98" s="3370"/>
      <c r="H98" s="3418" t="str">
        <f t="shared" si="31"/>
        <v>——</v>
      </c>
      <c r="I98" s="3364">
        <v>0.06</v>
      </c>
      <c r="J98" s="3342">
        <f t="shared" si="27"/>
        <v>0</v>
      </c>
      <c r="K98" s="3342">
        <f t="shared" si="28"/>
        <v>0</v>
      </c>
      <c r="L98" s="3342">
        <v>0</v>
      </c>
      <c r="M98" s="3342">
        <f t="shared" si="29"/>
        <v>0</v>
      </c>
      <c r="N98" s="3342">
        <f t="shared" si="29"/>
        <v>0</v>
      </c>
    </row>
    <row r="99" spans="1:14" ht="26.4">
      <c r="A99" s="3376" t="s">
        <v>3276</v>
      </c>
      <c r="B99" s="3367" t="str">
        <f>估价对象房地状况!C21</f>
        <v>估价对象所在区域公共配套设施齐备情况</v>
      </c>
      <c r="C99" s="2042"/>
      <c r="D99" s="3363">
        <f t="shared" si="30"/>
        <v>0</v>
      </c>
      <c r="E99" s="3380"/>
      <c r="F99" s="1812"/>
      <c r="G99" s="3370"/>
      <c r="H99" s="3418" t="str">
        <f t="shared" si="31"/>
        <v>——</v>
      </c>
      <c r="I99" s="3364">
        <v>0.06</v>
      </c>
      <c r="J99" s="3342">
        <f t="shared" si="27"/>
        <v>0</v>
      </c>
      <c r="K99" s="3342">
        <f t="shared" si="28"/>
        <v>0</v>
      </c>
      <c r="L99" s="3342">
        <v>0</v>
      </c>
      <c r="M99" s="3342">
        <f t="shared" si="29"/>
        <v>0</v>
      </c>
      <c r="N99" s="3342">
        <f t="shared" si="29"/>
        <v>0</v>
      </c>
    </row>
    <row r="100" spans="1:14" ht="26.4">
      <c r="A100" s="3376" t="s">
        <v>3277</v>
      </c>
      <c r="B100" s="3367" t="str">
        <f>估价对象房地状况!C22</f>
        <v>估价对象所在区域基础设施水平</v>
      </c>
      <c r="C100" s="2042"/>
      <c r="D100" s="3363">
        <f t="shared" si="30"/>
        <v>0</v>
      </c>
      <c r="E100" s="3380"/>
      <c r="F100" s="1812"/>
      <c r="G100" s="3370"/>
      <c r="H100" s="3418" t="str">
        <f t="shared" si="31"/>
        <v>——</v>
      </c>
      <c r="I100" s="3364">
        <v>0.09</v>
      </c>
      <c r="J100" s="3342">
        <f t="shared" si="27"/>
        <v>0</v>
      </c>
      <c r="K100" s="3342">
        <f t="shared" si="28"/>
        <v>0</v>
      </c>
      <c r="L100" s="3342">
        <v>0</v>
      </c>
      <c r="M100" s="3342">
        <f t="shared" si="29"/>
        <v>0</v>
      </c>
      <c r="N100" s="3342">
        <f t="shared" si="29"/>
        <v>0</v>
      </c>
    </row>
    <row r="101" spans="1:14" ht="40.200000000000003" thickBot="1">
      <c r="A101" s="3377" t="s">
        <v>3278</v>
      </c>
      <c r="B101" s="3384" t="str">
        <f>估价对象房地状况!C20</f>
        <v>区域自然环境：；人文环境；综合评价环境状况一般</v>
      </c>
      <c r="C101" s="2042"/>
      <c r="D101" s="3363">
        <f t="shared" si="30"/>
        <v>0</v>
      </c>
      <c r="E101" s="3381"/>
      <c r="F101" s="1812"/>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817" t="s">
        <v>3293</v>
      </c>
      <c r="B103" s="3817"/>
      <c r="C103" s="3817"/>
      <c r="D103" s="3817"/>
      <c r="E103" s="3817"/>
      <c r="F103" s="3817"/>
      <c r="G103" s="3817"/>
      <c r="H103" s="3817"/>
      <c r="I103" s="3817"/>
      <c r="J103" s="3817"/>
      <c r="K103" s="3387"/>
      <c r="L103" s="3387"/>
      <c r="M103" s="3387"/>
      <c r="N103" s="3387"/>
    </row>
    <row r="104" spans="1:14">
      <c r="A104" s="3818" t="s">
        <v>3294</v>
      </c>
      <c r="B104" s="3818" t="s">
        <v>3295</v>
      </c>
      <c r="C104" s="3388" t="s">
        <v>3296</v>
      </c>
      <c r="D104" s="3389"/>
      <c r="E104" s="3389"/>
      <c r="F104" s="3389"/>
      <c r="G104" s="3389"/>
      <c r="H104" s="3389"/>
      <c r="I104" s="3389"/>
      <c r="J104" s="3390"/>
      <c r="K104" s="3391"/>
      <c r="L104" s="3391"/>
      <c r="M104" s="3391"/>
      <c r="N104" s="3391"/>
    </row>
    <row r="105" spans="1:14">
      <c r="A105" s="3818"/>
      <c r="B105" s="3818"/>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804"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805"/>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805"/>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805"/>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805"/>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805"/>
      <c r="B111" s="3392" t="s">
        <v>3267</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806"/>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807" t="s">
        <v>3310</v>
      </c>
      <c r="B113" s="3807"/>
      <c r="C113" s="3807"/>
      <c r="D113" s="3807"/>
      <c r="E113" s="3807"/>
      <c r="F113" s="3807"/>
      <c r="G113" s="3807"/>
      <c r="H113" s="3807"/>
      <c r="I113" s="3807"/>
      <c r="J113" s="3807"/>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3311</v>
      </c>
      <c r="B116" s="3413">
        <f>G3</f>
        <v>0</v>
      </c>
      <c r="C116" s="3397" t="s">
        <v>3312</v>
      </c>
      <c r="D116" s="3398">
        <f>SUMPRODUCT((A118:A122=F116)*(B117:M117=H116)*B118:M122)</f>
        <v>0.94899999999999995</v>
      </c>
      <c r="E116" s="1998" t="s">
        <v>3313</v>
      </c>
      <c r="F116" s="3399" t="str">
        <f>E2</f>
        <v>商业</v>
      </c>
      <c r="G116" s="1998" t="s">
        <v>3314</v>
      </c>
      <c r="H116" s="3399" t="str">
        <f>G2</f>
        <v>七级</v>
      </c>
      <c r="I116" s="1998"/>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3328</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3329</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8" thickBot="1">
      <c r="A121" s="3409" t="s">
        <v>3330</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2611</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1" customWidth="1"/>
    <col min="14" max="14" width="10" style="3071" customWidth="1"/>
    <col min="15" max="16" width="8.21875" style="3071"/>
    <col min="17" max="17" width="34.109375" style="3071" customWidth="1"/>
    <col min="18" max="18" width="8.21875" style="3071" customWidth="1"/>
    <col min="19" max="19" width="8.21875" style="3071"/>
    <col min="20" max="20" width="11.6640625" style="3071" customWidth="1"/>
    <col min="21" max="16384" width="8.2187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30" t="s">
        <v>2606</v>
      </c>
      <c r="B20" s="3823" t="s">
        <v>2627</v>
      </c>
      <c r="C20" s="3100" t="s">
        <v>2438</v>
      </c>
      <c r="D20" s="3101"/>
      <c r="E20" s="3102">
        <v>1</v>
      </c>
      <c r="F20" s="3103" t="s">
        <v>2439</v>
      </c>
      <c r="G20" s="3103"/>
    </row>
    <row r="21" spans="1:13" ht="19.5" customHeight="1">
      <c r="A21" s="3831"/>
      <c r="B21" s="3824"/>
      <c r="C21" s="3104" t="s">
        <v>2440</v>
      </c>
      <c r="D21" s="3105"/>
      <c r="E21" s="3106">
        <v>1</v>
      </c>
      <c r="F21" s="3103" t="s">
        <v>2441</v>
      </c>
      <c r="G21" s="3103"/>
    </row>
    <row r="22" spans="1:13" ht="19.5" customHeight="1">
      <c r="A22" s="3831"/>
      <c r="B22" s="3824"/>
      <c r="C22" s="3104" t="s">
        <v>2442</v>
      </c>
      <c r="D22" s="3105"/>
      <c r="E22" s="3106">
        <v>0.9</v>
      </c>
      <c r="F22" s="3103" t="s">
        <v>2443</v>
      </c>
      <c r="G22" s="3103"/>
    </row>
    <row r="23" spans="1:13" ht="19.5" customHeight="1">
      <c r="A23" s="3831"/>
      <c r="B23" s="3824"/>
      <c r="C23" s="3104" t="s">
        <v>2444</v>
      </c>
      <c r="D23" s="3105"/>
      <c r="E23" s="3106">
        <v>0.9</v>
      </c>
      <c r="F23" s="3103" t="s">
        <v>2445</v>
      </c>
      <c r="G23" s="3103"/>
    </row>
    <row r="24" spans="1:13" ht="19.5" customHeight="1">
      <c r="A24" s="3831"/>
      <c r="B24" s="3824"/>
      <c r="C24" s="3104" t="s">
        <v>2446</v>
      </c>
      <c r="D24" s="3105"/>
      <c r="E24" s="3106">
        <v>0.8</v>
      </c>
      <c r="F24" s="3103" t="s">
        <v>2447</v>
      </c>
      <c r="G24" s="3103"/>
    </row>
    <row r="25" spans="1:13" ht="19.5" customHeight="1" thickBot="1">
      <c r="A25" s="3832"/>
      <c r="B25" s="3825"/>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826" t="s">
        <v>2630</v>
      </c>
      <c r="B27" s="3823" t="s">
        <v>2611</v>
      </c>
      <c r="C27" s="3100" t="s">
        <v>2451</v>
      </c>
      <c r="D27" s="3101"/>
      <c r="E27" s="3102">
        <v>1</v>
      </c>
      <c r="F27" s="3103" t="s">
        <v>2452</v>
      </c>
      <c r="G27" s="3103"/>
    </row>
    <row r="28" spans="1:13" ht="19.5" customHeight="1">
      <c r="A28" s="3827"/>
      <c r="B28" s="3824"/>
      <c r="C28" s="3104" t="s">
        <v>2453</v>
      </c>
      <c r="D28" s="3105"/>
      <c r="E28" s="3106">
        <v>1</v>
      </c>
      <c r="F28" s="3103" t="s">
        <v>2454</v>
      </c>
      <c r="G28" s="3103"/>
    </row>
    <row r="29" spans="1:13" ht="19.5" customHeight="1">
      <c r="A29" s="3827"/>
      <c r="B29" s="3824"/>
      <c r="C29" s="3104" t="s">
        <v>2455</v>
      </c>
      <c r="D29" s="3105"/>
      <c r="E29" s="3106">
        <v>0.8</v>
      </c>
      <c r="F29" s="3103" t="s">
        <v>2456</v>
      </c>
      <c r="G29" s="3103"/>
    </row>
    <row r="30" spans="1:13" ht="19.5" customHeight="1">
      <c r="A30" s="3827"/>
      <c r="B30" s="3824"/>
      <c r="C30" s="3104" t="s">
        <v>2457</v>
      </c>
      <c r="D30" s="3105"/>
      <c r="E30" s="3106">
        <v>0.8</v>
      </c>
      <c r="F30" s="3103" t="s">
        <v>2458</v>
      </c>
      <c r="G30" s="3103"/>
    </row>
    <row r="31" spans="1:13" ht="19.5" customHeight="1">
      <c r="A31" s="3827"/>
      <c r="B31" s="3824"/>
      <c r="C31" s="3104" t="s">
        <v>2459</v>
      </c>
      <c r="D31" s="3105"/>
      <c r="E31" s="3106">
        <v>0.8</v>
      </c>
      <c r="F31" s="3103" t="s">
        <v>2460</v>
      </c>
      <c r="G31" s="3103"/>
    </row>
    <row r="32" spans="1:13" ht="19.5" customHeight="1">
      <c r="A32" s="3827"/>
      <c r="B32" s="3824"/>
      <c r="C32" s="3104" t="s">
        <v>2461</v>
      </c>
      <c r="D32" s="3105"/>
      <c r="E32" s="3106">
        <v>0.7</v>
      </c>
      <c r="F32" s="3103" t="s">
        <v>2462</v>
      </c>
      <c r="G32" s="3103"/>
    </row>
    <row r="33" spans="1:7" ht="19.5" customHeight="1">
      <c r="A33" s="3827"/>
      <c r="B33" s="3824"/>
      <c r="C33" s="3104" t="s">
        <v>2463</v>
      </c>
      <c r="D33" s="3105"/>
      <c r="E33" s="3106">
        <v>0.8</v>
      </c>
      <c r="F33" s="3103" t="s">
        <v>2464</v>
      </c>
      <c r="G33" s="3103"/>
    </row>
    <row r="34" spans="1:7" ht="19.5" customHeight="1">
      <c r="A34" s="3827"/>
      <c r="B34" s="3824"/>
      <c r="C34" s="3104" t="s">
        <v>2465</v>
      </c>
      <c r="D34" s="3105"/>
      <c r="E34" s="3106">
        <v>0.6</v>
      </c>
      <c r="F34" s="3103" t="s">
        <v>2466</v>
      </c>
      <c r="G34" s="3103"/>
    </row>
    <row r="35" spans="1:7" ht="19.5" customHeight="1">
      <c r="A35" s="3827"/>
      <c r="B35" s="3824"/>
      <c r="C35" s="3104" t="s">
        <v>2467</v>
      </c>
      <c r="D35" s="3105"/>
      <c r="E35" s="3106">
        <v>0.2</v>
      </c>
      <c r="F35" s="3103" t="s">
        <v>2468</v>
      </c>
      <c r="G35" s="3103"/>
    </row>
    <row r="36" spans="1:7" ht="19.5" customHeight="1">
      <c r="A36" s="3827"/>
      <c r="B36" s="3824"/>
      <c r="C36" s="3104" t="s">
        <v>2469</v>
      </c>
      <c r="D36" s="3105"/>
      <c r="E36" s="3106">
        <v>0.2</v>
      </c>
      <c r="F36" s="3103" t="s">
        <v>2470</v>
      </c>
      <c r="G36" s="3103"/>
    </row>
    <row r="37" spans="1:7" ht="19.5" customHeight="1">
      <c r="A37" s="3827"/>
      <c r="B37" s="3829" t="s">
        <v>2631</v>
      </c>
      <c r="C37" s="3104" t="s">
        <v>2471</v>
      </c>
      <c r="D37" s="3105"/>
      <c r="E37" s="3106">
        <v>0.6</v>
      </c>
      <c r="F37" s="3103" t="s">
        <v>2472</v>
      </c>
      <c r="G37" s="3103"/>
    </row>
    <row r="38" spans="1:7" ht="19.5" customHeight="1">
      <c r="A38" s="3827"/>
      <c r="B38" s="3824"/>
      <c r="C38" s="3104" t="s">
        <v>2473</v>
      </c>
      <c r="D38" s="3105"/>
      <c r="E38" s="3106">
        <v>0.6</v>
      </c>
      <c r="F38" s="3103" t="s">
        <v>2474</v>
      </c>
      <c r="G38" s="3103"/>
    </row>
    <row r="39" spans="1:7" ht="19.5" customHeight="1" thickBot="1">
      <c r="A39" s="3828"/>
      <c r="B39" s="3825"/>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30" t="s">
        <v>2609</v>
      </c>
      <c r="B41" s="3823" t="s">
        <v>2633</v>
      </c>
      <c r="C41" s="3100" t="s">
        <v>2478</v>
      </c>
      <c r="D41" s="3101"/>
      <c r="E41" s="3102">
        <v>1</v>
      </c>
      <c r="F41" s="3103" t="s">
        <v>2479</v>
      </c>
      <c r="G41" s="3103"/>
    </row>
    <row r="42" spans="1:7" ht="19.5" customHeight="1">
      <c r="A42" s="3831"/>
      <c r="B42" s="3824"/>
      <c r="C42" s="3104" t="s">
        <v>2480</v>
      </c>
      <c r="D42" s="3105"/>
      <c r="E42" s="3106">
        <v>1</v>
      </c>
      <c r="F42" s="3103" t="s">
        <v>2481</v>
      </c>
      <c r="G42" s="3103"/>
    </row>
    <row r="43" spans="1:7" ht="19.5" customHeight="1">
      <c r="A43" s="3831"/>
      <c r="B43" s="3833"/>
      <c r="C43" s="3104" t="s">
        <v>2482</v>
      </c>
      <c r="D43" s="3105"/>
      <c r="E43" s="3106">
        <v>1.5</v>
      </c>
      <c r="F43" s="3103" t="s">
        <v>2483</v>
      </c>
      <c r="G43" s="3103"/>
    </row>
    <row r="44" spans="1:7" ht="19.5" customHeight="1">
      <c r="A44" s="3831"/>
      <c r="B44" s="3115" t="s">
        <v>2634</v>
      </c>
      <c r="C44" s="3104" t="s">
        <v>2635</v>
      </c>
      <c r="D44" s="3105"/>
      <c r="E44" s="3106">
        <v>2</v>
      </c>
      <c r="F44" s="3103" t="s">
        <v>2484</v>
      </c>
      <c r="G44" s="3103"/>
    </row>
    <row r="45" spans="1:7" ht="19.5" customHeight="1">
      <c r="A45" s="3831"/>
      <c r="B45" s="3829" t="s">
        <v>2636</v>
      </c>
      <c r="C45" s="3104" t="s">
        <v>2485</v>
      </c>
      <c r="D45" s="3105"/>
      <c r="E45" s="3106">
        <v>1</v>
      </c>
      <c r="F45" s="3103" t="s">
        <v>2486</v>
      </c>
      <c r="G45" s="3103"/>
    </row>
    <row r="46" spans="1:7" ht="19.5" customHeight="1">
      <c r="A46" s="3831"/>
      <c r="B46" s="3824"/>
      <c r="C46" s="3104" t="s">
        <v>2487</v>
      </c>
      <c r="D46" s="3105"/>
      <c r="E46" s="3106">
        <v>1</v>
      </c>
      <c r="F46" s="3103" t="s">
        <v>2488</v>
      </c>
      <c r="G46" s="3103"/>
    </row>
    <row r="47" spans="1:7" ht="19.5" customHeight="1">
      <c r="A47" s="3831"/>
      <c r="B47" s="3824"/>
      <c r="C47" s="3104" t="s">
        <v>2489</v>
      </c>
      <c r="D47" s="3105"/>
      <c r="E47" s="3106">
        <v>1</v>
      </c>
      <c r="F47" s="3103" t="s">
        <v>2490</v>
      </c>
      <c r="G47" s="3103"/>
    </row>
    <row r="48" spans="1:7" ht="19.5" customHeight="1">
      <c r="A48" s="3831"/>
      <c r="B48" s="3824"/>
      <c r="C48" s="3104" t="s">
        <v>2491</v>
      </c>
      <c r="D48" s="3105"/>
      <c r="E48" s="3106">
        <v>1</v>
      </c>
      <c r="F48" s="3103" t="s">
        <v>2492</v>
      </c>
      <c r="G48" s="3103"/>
    </row>
    <row r="49" spans="1:7" ht="19.5" customHeight="1">
      <c r="A49" s="3831"/>
      <c r="B49" s="3824"/>
      <c r="C49" s="3104" t="s">
        <v>2493</v>
      </c>
      <c r="D49" s="3105"/>
      <c r="E49" s="3106">
        <v>1</v>
      </c>
      <c r="F49" s="3103" t="s">
        <v>2494</v>
      </c>
      <c r="G49" s="3103"/>
    </row>
    <row r="50" spans="1:7" ht="19.5" customHeight="1">
      <c r="A50" s="3831"/>
      <c r="B50" s="3824"/>
      <c r="C50" s="3104" t="s">
        <v>2495</v>
      </c>
      <c r="D50" s="3105"/>
      <c r="E50" s="3106">
        <v>1</v>
      </c>
      <c r="F50" s="3103" t="s">
        <v>2496</v>
      </c>
      <c r="G50" s="3103"/>
    </row>
    <row r="51" spans="1:7" ht="19.5" customHeight="1" thickBot="1">
      <c r="A51" s="3832"/>
      <c r="B51" s="3825"/>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4.4">
      <c r="A72" s="3115"/>
      <c r="B72" s="3115"/>
      <c r="C72" s="3115" t="s">
        <v>2649</v>
      </c>
      <c r="D72" s="3115"/>
      <c r="E72" s="3115" t="s">
        <v>2620</v>
      </c>
      <c r="F72" s="3115" t="s">
        <v>2620</v>
      </c>
    </row>
    <row r="73" spans="1:7" ht="14.4">
      <c r="A73" s="3115">
        <v>1</v>
      </c>
      <c r="B73" s="3829" t="s">
        <v>2650</v>
      </c>
      <c r="C73" s="3089" t="s">
        <v>2651</v>
      </c>
      <c r="D73" s="3089" t="s">
        <v>2652</v>
      </c>
      <c r="E73" s="3115">
        <v>0.2</v>
      </c>
      <c r="F73" s="3115">
        <v>25</v>
      </c>
    </row>
    <row r="74" spans="1:7" ht="24">
      <c r="A74" s="3115">
        <v>2</v>
      </c>
      <c r="B74" s="3824"/>
      <c r="C74" s="3089" t="s">
        <v>2653</v>
      </c>
      <c r="D74" s="3089" t="s">
        <v>2654</v>
      </c>
      <c r="E74" s="3115">
        <v>0.2</v>
      </c>
      <c r="F74" s="3115">
        <v>25</v>
      </c>
    </row>
    <row r="75" spans="1:7" ht="24">
      <c r="A75" s="3115">
        <v>3</v>
      </c>
      <c r="B75" s="3824"/>
      <c r="C75" s="3089" t="s">
        <v>2655</v>
      </c>
      <c r="D75" s="3089" t="s">
        <v>2656</v>
      </c>
      <c r="E75" s="3115">
        <v>0.2</v>
      </c>
      <c r="F75" s="3115">
        <v>25</v>
      </c>
    </row>
    <row r="76" spans="1:7" ht="14.4">
      <c r="A76" s="3115">
        <v>4</v>
      </c>
      <c r="B76" s="3824"/>
      <c r="C76" s="3089" t="s">
        <v>2657</v>
      </c>
      <c r="D76" s="3089" t="s">
        <v>2658</v>
      </c>
      <c r="E76" s="3115">
        <v>0.15</v>
      </c>
      <c r="F76" s="3115">
        <v>20</v>
      </c>
    </row>
    <row r="77" spans="1:7" ht="24">
      <c r="A77" s="3115">
        <v>5</v>
      </c>
      <c r="B77" s="3824"/>
      <c r="C77" s="3089" t="s">
        <v>2659</v>
      </c>
      <c r="D77" s="3089" t="s">
        <v>2660</v>
      </c>
      <c r="E77" s="3115">
        <v>0.15</v>
      </c>
      <c r="F77" s="3115">
        <v>20</v>
      </c>
    </row>
    <row r="78" spans="1:7" ht="24">
      <c r="A78" s="3115">
        <v>6</v>
      </c>
      <c r="B78" s="3824"/>
      <c r="C78" s="3089" t="s">
        <v>2661</v>
      </c>
      <c r="D78" s="3089" t="s">
        <v>2662</v>
      </c>
      <c r="E78" s="3115">
        <v>0.15</v>
      </c>
      <c r="F78" s="3115">
        <v>20</v>
      </c>
    </row>
    <row r="79" spans="1:7" ht="24">
      <c r="A79" s="3115">
        <v>7</v>
      </c>
      <c r="B79" s="3824"/>
      <c r="C79" s="3089" t="s">
        <v>2663</v>
      </c>
      <c r="D79" s="3089" t="s">
        <v>2664</v>
      </c>
      <c r="E79" s="3115">
        <v>0.15</v>
      </c>
      <c r="F79" s="3115">
        <v>20</v>
      </c>
    </row>
    <row r="80" spans="1:7" ht="24">
      <c r="A80" s="3115">
        <v>8</v>
      </c>
      <c r="B80" s="3824"/>
      <c r="C80" s="3089" t="s">
        <v>2665</v>
      </c>
      <c r="D80" s="3089" t="s">
        <v>2666</v>
      </c>
      <c r="E80" s="3115">
        <v>0.1</v>
      </c>
      <c r="F80" s="3115">
        <v>15</v>
      </c>
    </row>
    <row r="81" spans="1:6" ht="24">
      <c r="A81" s="3115">
        <v>9</v>
      </c>
      <c r="B81" s="3824"/>
      <c r="C81" s="3089" t="s">
        <v>2667</v>
      </c>
      <c r="D81" s="3089" t="s">
        <v>2668</v>
      </c>
      <c r="E81" s="3115">
        <v>0.1</v>
      </c>
      <c r="F81" s="3115">
        <v>15</v>
      </c>
    </row>
    <row r="82" spans="1:6" ht="24">
      <c r="A82" s="3115">
        <v>10</v>
      </c>
      <c r="B82" s="3824"/>
      <c r="C82" s="3089" t="s">
        <v>2669</v>
      </c>
      <c r="D82" s="3089" t="s">
        <v>2670</v>
      </c>
      <c r="E82" s="3115">
        <v>0.1</v>
      </c>
      <c r="F82" s="3115">
        <v>15</v>
      </c>
    </row>
    <row r="83" spans="1:6" ht="24">
      <c r="A83" s="3115">
        <v>11</v>
      </c>
      <c r="B83" s="3824"/>
      <c r="C83" s="3089" t="s">
        <v>2671</v>
      </c>
      <c r="D83" s="3089" t="s">
        <v>2672</v>
      </c>
      <c r="E83" s="3115">
        <v>0.1</v>
      </c>
      <c r="F83" s="3115">
        <v>15</v>
      </c>
    </row>
    <row r="84" spans="1:6" ht="24">
      <c r="A84" s="3115">
        <v>12</v>
      </c>
      <c r="B84" s="3824"/>
      <c r="C84" s="3089" t="s">
        <v>2673</v>
      </c>
      <c r="D84" s="3089" t="s">
        <v>2674</v>
      </c>
      <c r="E84" s="3115">
        <v>0.1</v>
      </c>
      <c r="F84" s="3115">
        <v>15</v>
      </c>
    </row>
    <row r="85" spans="1:6" ht="24">
      <c r="A85" s="3115">
        <v>13</v>
      </c>
      <c r="B85" s="3824"/>
      <c r="C85" s="3089" t="s">
        <v>2675</v>
      </c>
      <c r="D85" s="3089" t="s">
        <v>2676</v>
      </c>
      <c r="E85" s="3115">
        <v>0.1</v>
      </c>
      <c r="F85" s="3115">
        <v>15</v>
      </c>
    </row>
    <row r="86" spans="1:6" ht="24">
      <c r="A86" s="3115">
        <v>14</v>
      </c>
      <c r="B86" s="3824"/>
      <c r="C86" s="3089" t="s">
        <v>2677</v>
      </c>
      <c r="D86" s="3089" t="s">
        <v>2678</v>
      </c>
      <c r="E86" s="3115">
        <v>0.1</v>
      </c>
      <c r="F86" s="3115">
        <v>15</v>
      </c>
    </row>
    <row r="87" spans="1:6" ht="24">
      <c r="A87" s="3115">
        <v>15</v>
      </c>
      <c r="B87" s="3824"/>
      <c r="C87" s="3089" t="s">
        <v>2679</v>
      </c>
      <c r="D87" s="3089" t="s">
        <v>2680</v>
      </c>
      <c r="E87" s="3115">
        <v>0.1</v>
      </c>
      <c r="F87" s="3115">
        <v>15</v>
      </c>
    </row>
    <row r="88" spans="1:6" ht="24">
      <c r="A88" s="3115">
        <v>16</v>
      </c>
      <c r="B88" s="3824"/>
      <c r="C88" s="3089" t="s">
        <v>2681</v>
      </c>
      <c r="D88" s="3089" t="s">
        <v>2682</v>
      </c>
      <c r="E88" s="3115">
        <v>0.1</v>
      </c>
      <c r="F88" s="3115">
        <v>15</v>
      </c>
    </row>
    <row r="89" spans="1:6" ht="24">
      <c r="A89" s="3115">
        <v>17</v>
      </c>
      <c r="B89" s="3833"/>
      <c r="C89" s="3089" t="s">
        <v>2683</v>
      </c>
      <c r="D89" s="3089" t="s">
        <v>2684</v>
      </c>
      <c r="E89" s="3115">
        <v>0.1</v>
      </c>
      <c r="F89" s="3115">
        <v>15</v>
      </c>
    </row>
    <row r="90" spans="1:6" ht="14.4">
      <c r="A90" s="3115">
        <v>18</v>
      </c>
      <c r="B90" s="3829" t="s">
        <v>2685</v>
      </c>
      <c r="C90" s="3089" t="s">
        <v>2686</v>
      </c>
      <c r="D90" s="3089" t="s">
        <v>2687</v>
      </c>
      <c r="E90" s="3115">
        <v>0.2</v>
      </c>
      <c r="F90" s="3115">
        <v>25</v>
      </c>
    </row>
    <row r="91" spans="1:6" ht="24">
      <c r="A91" s="3115">
        <v>19</v>
      </c>
      <c r="B91" s="3824"/>
      <c r="C91" s="3089" t="s">
        <v>2688</v>
      </c>
      <c r="D91" s="3089" t="s">
        <v>2689</v>
      </c>
      <c r="E91" s="3115">
        <v>0.2</v>
      </c>
      <c r="F91" s="3115">
        <v>25</v>
      </c>
    </row>
    <row r="92" spans="1:6" ht="14.4">
      <c r="A92" s="3115">
        <v>20</v>
      </c>
      <c r="B92" s="3824"/>
      <c r="C92" s="3089" t="s">
        <v>2690</v>
      </c>
      <c r="D92" s="3089" t="s">
        <v>2691</v>
      </c>
      <c r="E92" s="3115">
        <v>0.15</v>
      </c>
      <c r="F92" s="3115">
        <v>20</v>
      </c>
    </row>
    <row r="93" spans="1:6" ht="24">
      <c r="A93" s="3115">
        <v>21</v>
      </c>
      <c r="B93" s="3824"/>
      <c r="C93" s="3089" t="s">
        <v>2692</v>
      </c>
      <c r="D93" s="3089" t="s">
        <v>2693</v>
      </c>
      <c r="E93" s="3115">
        <v>0.15</v>
      </c>
      <c r="F93" s="3115">
        <v>20</v>
      </c>
    </row>
    <row r="94" spans="1:6" ht="24">
      <c r="A94" s="3115">
        <v>22</v>
      </c>
      <c r="B94" s="3824"/>
      <c r="C94" s="3089" t="s">
        <v>2694</v>
      </c>
      <c r="D94" s="3089" t="s">
        <v>2695</v>
      </c>
      <c r="E94" s="3115">
        <v>0.15</v>
      </c>
      <c r="F94" s="3115">
        <v>20</v>
      </c>
    </row>
    <row r="95" spans="1:6" ht="36">
      <c r="A95" s="3115">
        <v>23</v>
      </c>
      <c r="B95" s="3824"/>
      <c r="C95" s="3089" t="s">
        <v>2696</v>
      </c>
      <c r="D95" s="3089" t="s">
        <v>2697</v>
      </c>
      <c r="E95" s="3115">
        <v>0.15</v>
      </c>
      <c r="F95" s="3115">
        <v>20</v>
      </c>
    </row>
    <row r="96" spans="1:6" ht="24">
      <c r="A96" s="3115">
        <v>24</v>
      </c>
      <c r="B96" s="3824"/>
      <c r="C96" s="3089" t="s">
        <v>2698</v>
      </c>
      <c r="D96" s="3089" t="s">
        <v>2699</v>
      </c>
      <c r="E96" s="3115">
        <v>0.1</v>
      </c>
      <c r="F96" s="3115">
        <v>15</v>
      </c>
    </row>
    <row r="97" spans="1:6" ht="24">
      <c r="A97" s="3115">
        <v>25</v>
      </c>
      <c r="B97" s="3824"/>
      <c r="C97" s="3089" t="s">
        <v>2700</v>
      </c>
      <c r="D97" s="3089" t="s">
        <v>2701</v>
      </c>
      <c r="E97" s="3115">
        <v>0.1</v>
      </c>
      <c r="F97" s="3115">
        <v>15</v>
      </c>
    </row>
    <row r="98" spans="1:6" ht="24">
      <c r="A98" s="3115">
        <v>26</v>
      </c>
      <c r="B98" s="3824"/>
      <c r="C98" s="3089" t="s">
        <v>2702</v>
      </c>
      <c r="D98" s="3089" t="s">
        <v>2703</v>
      </c>
      <c r="E98" s="3115">
        <v>0.1</v>
      </c>
      <c r="F98" s="3115">
        <v>15</v>
      </c>
    </row>
    <row r="99" spans="1:6" ht="24">
      <c r="A99" s="3115">
        <v>27</v>
      </c>
      <c r="B99" s="3824"/>
      <c r="C99" s="3089" t="s">
        <v>2704</v>
      </c>
      <c r="D99" s="3089" t="s">
        <v>2705</v>
      </c>
      <c r="E99" s="3115">
        <v>0.1</v>
      </c>
      <c r="F99" s="3115">
        <v>15</v>
      </c>
    </row>
    <row r="100" spans="1:6" ht="24">
      <c r="A100" s="3115">
        <v>28</v>
      </c>
      <c r="B100" s="3824"/>
      <c r="C100" s="3089" t="s">
        <v>2706</v>
      </c>
      <c r="D100" s="3089" t="s">
        <v>2707</v>
      </c>
      <c r="E100" s="3115">
        <v>0.1</v>
      </c>
      <c r="F100" s="3115">
        <v>15</v>
      </c>
    </row>
    <row r="101" spans="1:6" ht="24">
      <c r="A101" s="3115">
        <v>29</v>
      </c>
      <c r="B101" s="3824"/>
      <c r="C101" s="3089" t="s">
        <v>2708</v>
      </c>
      <c r="D101" s="3089" t="s">
        <v>2709</v>
      </c>
      <c r="E101" s="3115">
        <v>0.1</v>
      </c>
      <c r="F101" s="3115">
        <v>15</v>
      </c>
    </row>
    <row r="102" spans="1:6" ht="24">
      <c r="A102" s="3115">
        <v>30</v>
      </c>
      <c r="B102" s="3824"/>
      <c r="C102" s="3089" t="s">
        <v>2710</v>
      </c>
      <c r="D102" s="3089" t="s">
        <v>2711</v>
      </c>
      <c r="E102" s="3115">
        <v>0.1</v>
      </c>
      <c r="F102" s="3115">
        <v>15</v>
      </c>
    </row>
    <row r="103" spans="1:6" ht="24">
      <c r="A103" s="3115">
        <v>31</v>
      </c>
      <c r="B103" s="3824"/>
      <c r="C103" s="3089" t="s">
        <v>2712</v>
      </c>
      <c r="D103" s="3089" t="s">
        <v>2713</v>
      </c>
      <c r="E103" s="3115">
        <v>0.1</v>
      </c>
      <c r="F103" s="3115">
        <v>15</v>
      </c>
    </row>
    <row r="104" spans="1:6" ht="24">
      <c r="A104" s="3115">
        <v>32</v>
      </c>
      <c r="B104" s="3824"/>
      <c r="C104" s="3089" t="s">
        <v>2714</v>
      </c>
      <c r="D104" s="3089" t="s">
        <v>2715</v>
      </c>
      <c r="E104" s="3115">
        <v>0.1</v>
      </c>
      <c r="F104" s="3115">
        <v>15</v>
      </c>
    </row>
    <row r="105" spans="1:6" ht="24">
      <c r="A105" s="3115">
        <v>33</v>
      </c>
      <c r="B105" s="3824"/>
      <c r="C105" s="3089" t="s">
        <v>2716</v>
      </c>
      <c r="D105" s="3089" t="s">
        <v>2717</v>
      </c>
      <c r="E105" s="3115">
        <v>0.1</v>
      </c>
      <c r="F105" s="3115">
        <v>15</v>
      </c>
    </row>
    <row r="106" spans="1:6" ht="24">
      <c r="A106" s="3115">
        <v>34</v>
      </c>
      <c r="B106" s="3833"/>
      <c r="C106" s="3089" t="s">
        <v>2718</v>
      </c>
      <c r="D106" s="3089" t="s">
        <v>2719</v>
      </c>
      <c r="E106" s="3115">
        <v>0.1</v>
      </c>
      <c r="F106" s="3115">
        <v>15</v>
      </c>
    </row>
    <row r="107" spans="1:6" ht="36">
      <c r="A107" s="3115">
        <v>35</v>
      </c>
      <c r="B107" s="3829" t="s">
        <v>2720</v>
      </c>
      <c r="C107" s="3115" t="s">
        <v>2721</v>
      </c>
      <c r="D107" s="3089" t="s">
        <v>2722</v>
      </c>
      <c r="E107" s="3115">
        <v>0.15</v>
      </c>
      <c r="F107" s="3115">
        <v>20</v>
      </c>
    </row>
    <row r="108" spans="1:6" ht="24">
      <c r="A108" s="3115">
        <v>36</v>
      </c>
      <c r="B108" s="3824"/>
      <c r="C108" s="3115" t="s">
        <v>2723</v>
      </c>
      <c r="D108" s="3089" t="s">
        <v>2724</v>
      </c>
      <c r="E108" s="3115">
        <v>0.15</v>
      </c>
      <c r="F108" s="3115">
        <v>20</v>
      </c>
    </row>
    <row r="109" spans="1:6" ht="24">
      <c r="A109" s="3115">
        <v>37</v>
      </c>
      <c r="B109" s="3824"/>
      <c r="C109" s="3115" t="s">
        <v>2725</v>
      </c>
      <c r="D109" s="3089" t="s">
        <v>2726</v>
      </c>
      <c r="E109" s="3115">
        <v>0.15</v>
      </c>
      <c r="F109" s="3115">
        <v>20</v>
      </c>
    </row>
    <row r="110" spans="1:6" ht="24">
      <c r="A110" s="3115">
        <v>38</v>
      </c>
      <c r="B110" s="3824"/>
      <c r="C110" s="3115" t="s">
        <v>2727</v>
      </c>
      <c r="D110" s="3089" t="s">
        <v>2728</v>
      </c>
      <c r="E110" s="3115">
        <v>0.1</v>
      </c>
      <c r="F110" s="3115">
        <v>15</v>
      </c>
    </row>
    <row r="111" spans="1:6" ht="24">
      <c r="A111" s="3115">
        <v>39</v>
      </c>
      <c r="B111" s="3824"/>
      <c r="C111" s="3115" t="s">
        <v>2729</v>
      </c>
      <c r="D111" s="3089" t="s">
        <v>2730</v>
      </c>
      <c r="E111" s="3115">
        <v>0.1</v>
      </c>
      <c r="F111" s="3115">
        <v>15</v>
      </c>
    </row>
    <row r="112" spans="1:6" ht="24">
      <c r="A112" s="3115">
        <v>40</v>
      </c>
      <c r="B112" s="3833"/>
      <c r="C112" s="3115" t="s">
        <v>2731</v>
      </c>
      <c r="D112" s="3089" t="s">
        <v>2732</v>
      </c>
      <c r="E112" s="3115">
        <v>0.1</v>
      </c>
      <c r="F112" s="3115">
        <v>15</v>
      </c>
    </row>
    <row r="113" spans="1:6" ht="24">
      <c r="A113" s="3115">
        <v>41</v>
      </c>
      <c r="B113" s="3834" t="s">
        <v>2733</v>
      </c>
      <c r="C113" s="3115" t="s">
        <v>2734</v>
      </c>
      <c r="D113" s="3089" t="s">
        <v>2735</v>
      </c>
      <c r="E113" s="3115">
        <v>0.1</v>
      </c>
      <c r="F113" s="3115">
        <v>15</v>
      </c>
    </row>
    <row r="114" spans="1:6" ht="24">
      <c r="A114" s="3115">
        <v>42</v>
      </c>
      <c r="B114" s="3834"/>
      <c r="C114" s="3115" t="s">
        <v>2736</v>
      </c>
      <c r="D114" s="3089" t="s">
        <v>2737</v>
      </c>
      <c r="E114" s="3115">
        <v>0.1</v>
      </c>
      <c r="F114" s="3115">
        <v>15</v>
      </c>
    </row>
    <row r="115" spans="1:6" ht="24">
      <c r="A115" s="3115">
        <v>43</v>
      </c>
      <c r="B115" s="3834"/>
      <c r="C115" s="3115" t="s">
        <v>2738</v>
      </c>
      <c r="D115" s="3089" t="s">
        <v>2739</v>
      </c>
      <c r="E115" s="3115">
        <v>0.1</v>
      </c>
      <c r="F115" s="3115">
        <v>15</v>
      </c>
    </row>
    <row r="116" spans="1:6" ht="24">
      <c r="A116" s="3115">
        <v>44</v>
      </c>
      <c r="B116" s="3829" t="s">
        <v>2740</v>
      </c>
      <c r="C116" s="3115" t="s">
        <v>2741</v>
      </c>
      <c r="D116" s="3089" t="s">
        <v>2742</v>
      </c>
      <c r="E116" s="3115">
        <v>0.1</v>
      </c>
      <c r="F116" s="3115">
        <v>15</v>
      </c>
    </row>
    <row r="117" spans="1:6" ht="24">
      <c r="A117" s="3115">
        <v>45</v>
      </c>
      <c r="B117" s="3833"/>
      <c r="C117" s="3089" t="s">
        <v>2743</v>
      </c>
      <c r="D117" s="3089" t="s">
        <v>2744</v>
      </c>
      <c r="E117" s="3115">
        <v>0.1</v>
      </c>
      <c r="F117" s="3115">
        <v>15</v>
      </c>
    </row>
    <row r="118" spans="1:6" ht="24">
      <c r="A118" s="3115">
        <v>46</v>
      </c>
      <c r="B118" s="3829" t="s">
        <v>2745</v>
      </c>
      <c r="C118" s="3115" t="s">
        <v>2746</v>
      </c>
      <c r="D118" s="3089" t="s">
        <v>2747</v>
      </c>
      <c r="E118" s="3115">
        <v>0.1</v>
      </c>
      <c r="F118" s="3115">
        <v>15</v>
      </c>
    </row>
    <row r="119" spans="1:6" ht="24">
      <c r="A119" s="3115">
        <v>47</v>
      </c>
      <c r="B119" s="3833"/>
      <c r="C119" s="3115" t="s">
        <v>2748</v>
      </c>
      <c r="D119" s="3089" t="s">
        <v>2749</v>
      </c>
      <c r="E119" s="3115">
        <v>0.1</v>
      </c>
      <c r="F119" s="3115">
        <v>15</v>
      </c>
    </row>
    <row r="120" spans="1:6" ht="24">
      <c r="A120" s="3115">
        <v>48</v>
      </c>
      <c r="B120" s="3829" t="s">
        <v>2750</v>
      </c>
      <c r="C120" s="3115" t="s">
        <v>2751</v>
      </c>
      <c r="D120" s="3089" t="s">
        <v>2752</v>
      </c>
      <c r="E120" s="3115">
        <v>0.1</v>
      </c>
      <c r="F120" s="3115">
        <v>15</v>
      </c>
    </row>
    <row r="121" spans="1:6" ht="24">
      <c r="A121" s="3115">
        <v>49</v>
      </c>
      <c r="B121" s="3833"/>
      <c r="C121" s="3115" t="s">
        <v>2753</v>
      </c>
      <c r="D121" s="3089" t="s">
        <v>2754</v>
      </c>
      <c r="E121" s="3115">
        <v>0.1</v>
      </c>
      <c r="F121" s="3115">
        <v>15</v>
      </c>
    </row>
    <row r="122" spans="1:6" ht="24">
      <c r="A122" s="3115">
        <v>50</v>
      </c>
      <c r="B122" s="3834" t="s">
        <v>2755</v>
      </c>
      <c r="C122" s="3115" t="s">
        <v>2756</v>
      </c>
      <c r="D122" s="3089" t="s">
        <v>2757</v>
      </c>
      <c r="E122" s="3115">
        <v>0.1</v>
      </c>
      <c r="F122" s="3115">
        <v>15</v>
      </c>
    </row>
    <row r="123" spans="1:6" ht="24">
      <c r="A123" s="3115">
        <v>51</v>
      </c>
      <c r="B123" s="3834"/>
      <c r="C123" s="3115" t="s">
        <v>2758</v>
      </c>
      <c r="D123" s="3089" t="s">
        <v>2759</v>
      </c>
      <c r="E123" s="3115">
        <v>0.1</v>
      </c>
      <c r="F123" s="3115">
        <v>15</v>
      </c>
    </row>
    <row r="124" spans="1:6" ht="24">
      <c r="A124" s="3115">
        <v>52</v>
      </c>
      <c r="B124" s="3834" t="s">
        <v>2760</v>
      </c>
      <c r="C124" s="3115" t="s">
        <v>2761</v>
      </c>
      <c r="D124" s="3089" t="s">
        <v>2762</v>
      </c>
      <c r="E124" s="3115">
        <v>0.1</v>
      </c>
      <c r="F124" s="3115">
        <v>15</v>
      </c>
    </row>
    <row r="125" spans="1:6" ht="24">
      <c r="A125" s="3115">
        <v>53</v>
      </c>
      <c r="B125" s="3834"/>
      <c r="C125" s="3115" t="s">
        <v>2763</v>
      </c>
      <c r="D125" s="3089" t="s">
        <v>2764</v>
      </c>
      <c r="E125" s="3115">
        <v>0.1</v>
      </c>
      <c r="F125" s="3115">
        <v>15</v>
      </c>
    </row>
    <row r="126" spans="1:6" ht="24">
      <c r="A126" s="3115">
        <v>54</v>
      </c>
      <c r="B126" s="3115" t="s">
        <v>2765</v>
      </c>
      <c r="C126" s="3115" t="s">
        <v>2766</v>
      </c>
      <c r="D126" s="3089" t="s">
        <v>2767</v>
      </c>
      <c r="E126" s="3115">
        <v>0.1</v>
      </c>
      <c r="F126" s="3115">
        <v>15</v>
      </c>
    </row>
    <row r="127" spans="1:6" ht="24">
      <c r="A127" s="3115">
        <v>55</v>
      </c>
      <c r="B127" s="3834" t="s">
        <v>2768</v>
      </c>
      <c r="C127" s="3115" t="s">
        <v>2769</v>
      </c>
      <c r="D127" s="3089" t="s">
        <v>2770</v>
      </c>
      <c r="E127" s="3115">
        <v>0.1</v>
      </c>
      <c r="F127" s="3115">
        <v>15</v>
      </c>
    </row>
    <row r="128" spans="1:6" ht="24">
      <c r="A128" s="3115">
        <v>56</v>
      </c>
      <c r="B128" s="3834"/>
      <c r="C128" s="3115" t="s">
        <v>2771</v>
      </c>
      <c r="D128" s="3089" t="s">
        <v>2772</v>
      </c>
      <c r="E128" s="3115">
        <v>0.1</v>
      </c>
      <c r="F128" s="3115">
        <v>15</v>
      </c>
    </row>
    <row r="129" spans="1:6" ht="24">
      <c r="A129" s="3115">
        <v>57</v>
      </c>
      <c r="B129" s="3834"/>
      <c r="C129" s="3115" t="s">
        <v>2773</v>
      </c>
      <c r="D129" s="3089" t="s">
        <v>2774</v>
      </c>
      <c r="E129" s="3115">
        <v>0.1</v>
      </c>
      <c r="F129" s="3115">
        <v>15</v>
      </c>
    </row>
    <row r="130" spans="1:6" ht="24">
      <c r="A130" s="3115">
        <v>58</v>
      </c>
      <c r="B130" s="3834" t="s">
        <v>2775</v>
      </c>
      <c r="C130" s="3115" t="s">
        <v>2776</v>
      </c>
      <c r="D130" s="3089" t="s">
        <v>2777</v>
      </c>
      <c r="E130" s="3115">
        <v>0.1</v>
      </c>
      <c r="F130" s="3115">
        <v>15</v>
      </c>
    </row>
    <row r="131" spans="1:6" ht="24">
      <c r="A131" s="3115">
        <v>59</v>
      </c>
      <c r="B131" s="3834"/>
      <c r="C131" s="3115" t="s">
        <v>2778</v>
      </c>
      <c r="D131" s="3089" t="s">
        <v>2779</v>
      </c>
      <c r="E131" s="3115">
        <v>0.1</v>
      </c>
      <c r="F131" s="3115">
        <v>15</v>
      </c>
    </row>
    <row r="132" spans="1:6" ht="24">
      <c r="A132" s="3115">
        <v>60</v>
      </c>
      <c r="B132" s="3829" t="s">
        <v>2780</v>
      </c>
      <c r="C132" s="3115" t="s">
        <v>2781</v>
      </c>
      <c r="D132" s="3089" t="s">
        <v>2782</v>
      </c>
      <c r="E132" s="3115">
        <v>0.1</v>
      </c>
      <c r="F132" s="3115">
        <v>15</v>
      </c>
    </row>
    <row r="133" spans="1:6" ht="24">
      <c r="A133" s="3115">
        <v>61</v>
      </c>
      <c r="B133" s="3833"/>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24">
      <c r="A135" s="3115">
        <v>63</v>
      </c>
      <c r="B135" s="3834" t="s">
        <v>2788</v>
      </c>
      <c r="C135" s="3115" t="s">
        <v>2789</v>
      </c>
      <c r="D135" s="3089" t="s">
        <v>2790</v>
      </c>
      <c r="E135" s="3115">
        <v>0.1</v>
      </c>
      <c r="F135" s="3115">
        <v>15</v>
      </c>
    </row>
    <row r="136" spans="1:6" ht="24">
      <c r="A136" s="3115">
        <v>64</v>
      </c>
      <c r="B136" s="3834"/>
      <c r="C136" s="3115" t="s">
        <v>2791</v>
      </c>
      <c r="D136" s="3089" t="s">
        <v>2792</v>
      </c>
      <c r="E136" s="3115">
        <v>0.1</v>
      </c>
      <c r="F136" s="3115">
        <v>15</v>
      </c>
    </row>
    <row r="137" spans="1:6" ht="24">
      <c r="A137" s="3115">
        <v>65</v>
      </c>
      <c r="B137" s="3115" t="s">
        <v>2793</v>
      </c>
      <c r="C137" s="3115" t="s">
        <v>2794</v>
      </c>
      <c r="D137" s="3089" t="s">
        <v>2795</v>
      </c>
      <c r="E137" s="3115">
        <v>0.1</v>
      </c>
      <c r="F137" s="3115">
        <v>15</v>
      </c>
    </row>
    <row r="138" spans="1:6" ht="14.4">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8"/>
    <col min="14" max="16384" width="9" style="748"/>
  </cols>
  <sheetData>
    <row r="1" spans="1:20" ht="16.2" thickBot="1">
      <c r="A1" s="3124" t="s">
        <v>2797</v>
      </c>
      <c r="B1" s="3124"/>
      <c r="C1" s="3124"/>
      <c r="D1" s="3124"/>
      <c r="E1" s="3124"/>
      <c r="F1" s="3124"/>
      <c r="G1" s="3124"/>
      <c r="H1" s="3124"/>
      <c r="I1" s="3124"/>
      <c r="J1" s="3124"/>
      <c r="K1" s="3124"/>
      <c r="L1" s="3124"/>
      <c r="M1" s="3124"/>
      <c r="N1" s="747"/>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48">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48">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C52</f>
        <v>29188</v>
      </c>
      <c r="C2" s="2" t="s">
        <v>106</v>
      </c>
      <c r="D2" s="199"/>
      <c r="E2" s="199"/>
      <c r="F2" s="199"/>
      <c r="G2" s="199"/>
    </row>
    <row r="3" spans="1:7" s="200" customFormat="1" ht="18" customHeight="1" thickBot="1">
      <c r="A3" s="203" t="s">
        <v>58</v>
      </c>
      <c r="B3" s="204">
        <f>ROUND(B2*10000/'数据-汇总表'!E3,0)</f>
        <v>559618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10</v>
      </c>
      <c r="D10" s="843">
        <f>'数据-汇总表'!E6</f>
        <v>521.56999999999994</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10</v>
      </c>
      <c r="D19" s="847">
        <f>'数据-汇总表'!E3</f>
        <v>521.56999999999994</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ROUND(SUM(C23:C25),0)</f>
        <v>1419</v>
      </c>
      <c r="D22" s="235">
        <f>C26</f>
        <v>6.9999999999999999E-4</v>
      </c>
      <c r="E22" s="236" t="s">
        <v>99</v>
      </c>
      <c r="F22" s="237">
        <f>'数据-取费表'!B40</f>
        <v>3.3500000000000002E-2</v>
      </c>
      <c r="G22" s="1065" t="str">
        <f>IF('数据-取费表'!B22&lt;=1,"单利计息","复利计息")</f>
        <v>复利计息</v>
      </c>
    </row>
    <row r="23" spans="1:7" s="214" customFormat="1" ht="13.5" customHeight="1">
      <c r="A23" s="778" t="s">
        <v>349</v>
      </c>
      <c r="B23" s="215" t="s">
        <v>423</v>
      </c>
      <c r="C23" s="1103">
        <f>ROUND(IF('数据-取费表'!B22&lt;=1,C5*F22*'数据-取费表'!B23,C5*(POWER((1+F22),'数据-取费表'!B23)-1)),0)</f>
        <v>1404</v>
      </c>
      <c r="D23" s="238"/>
      <c r="E23" s="238"/>
      <c r="F23" s="239"/>
      <c r="G23" s="240" t="s">
        <v>81</v>
      </c>
    </row>
    <row r="24" spans="1:7" s="214" customFormat="1" ht="13.5" customHeight="1">
      <c r="A24" s="778" t="s">
        <v>347</v>
      </c>
      <c r="B24" s="215" t="s">
        <v>418</v>
      </c>
      <c r="C24" s="1103">
        <f>ROUND(IF('数据-取费表'!B22&lt;=1,C19*F22*('数据-取费表'!B19/2+'数据-取费表'!B21),C19*(POWER((1+F22),('数据-取费表'!B19/2+'数据-取费表'!B21))-1)),0)</f>
        <v>1</v>
      </c>
      <c r="D24" s="238"/>
      <c r="E24" s="238"/>
      <c r="F24" s="239"/>
      <c r="G24" s="240" t="s">
        <v>82</v>
      </c>
    </row>
    <row r="25" spans="1:7" s="214" customFormat="1" ht="24">
      <c r="A25" s="778" t="s">
        <v>348</v>
      </c>
      <c r="B25" s="215" t="s">
        <v>420</v>
      </c>
      <c r="C25" s="1103">
        <f>ROUND(IF('数据-取费表'!B22&lt;=1,C20*F22*'数据-取费表'!B23/2,C20*(POWER((1+F22),'数据-取费表'!B23/2)-1)),0)</f>
        <v>14</v>
      </c>
      <c r="D25" s="238"/>
      <c r="E25" s="241"/>
      <c r="F25" s="239"/>
      <c r="G25" s="242" t="s">
        <v>83</v>
      </c>
    </row>
    <row r="26" spans="1:7" s="214" customFormat="1">
      <c r="A26" s="778" t="s">
        <v>350</v>
      </c>
      <c r="B26" s="215" t="s">
        <v>422</v>
      </c>
      <c r="C26" s="238">
        <f>ROUND(IF('数据-取费表'!B22&lt;=1,F21*F22*'数据-取费表'!B23/2,F21*(POWER((1+F22),'数据-取费表'!B23/2)-1)),4)</f>
        <v>6.9999999999999999E-4</v>
      </c>
      <c r="D26" s="238"/>
      <c r="E26" s="241"/>
      <c r="F26" s="239"/>
      <c r="G26" s="243"/>
    </row>
    <row r="27" spans="1:7" s="214" customFormat="1" ht="26.4">
      <c r="A27" s="775" t="s">
        <v>342</v>
      </c>
      <c r="B27" s="244" t="s">
        <v>85</v>
      </c>
      <c r="C27" s="245">
        <f>C28</f>
        <v>4206</v>
      </c>
      <c r="D27" s="235">
        <f>C29</f>
        <v>4.0000000000000001E-3</v>
      </c>
      <c r="E27" s="236" t="s">
        <v>99</v>
      </c>
      <c r="F27" s="246">
        <f>'数据-取费表'!Q16</f>
        <v>0.2</v>
      </c>
      <c r="G27" s="247" t="s">
        <v>431</v>
      </c>
    </row>
    <row r="28" spans="1:7" s="214" customFormat="1" ht="13.5" customHeight="1">
      <c r="A28" s="778" t="s">
        <v>349</v>
      </c>
      <c r="B28" s="248" t="s">
        <v>424</v>
      </c>
      <c r="C28" s="249">
        <f>ROUND((C5+C19+C20)*F27*'数据-取费表'!B21/'数据-取费表'!B20,0)</f>
        <v>4206</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ROUND((C5+C19+C20+C22+C27)/(1-C21-D22-D27-C30/(1+'数据-取费表'!B42)),0)</f>
        <v>28913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228</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208</v>
      </c>
      <c r="D34" s="217"/>
      <c r="E34" s="220"/>
      <c r="F34" s="257">
        <f>IF('数据-取费表'!B24=0,1,'数据-取费表'!N16)</f>
        <v>1</v>
      </c>
      <c r="G34" s="219" t="s">
        <v>89</v>
      </c>
    </row>
    <row r="35" spans="1:7" ht="13.5" customHeight="1">
      <c r="A35" s="778" t="s">
        <v>351</v>
      </c>
      <c r="B35" s="215" t="s">
        <v>33</v>
      </c>
      <c r="C35" s="220">
        <f>ROUND(C34*F35,0)</f>
        <v>6</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10</v>
      </c>
      <c r="D37" s="217">
        <f>'数据-汇总表'!E3</f>
        <v>521.56999999999994</v>
      </c>
      <c r="E37" s="249">
        <f>'数据-取费表'!B35</f>
        <v>200</v>
      </c>
      <c r="F37" s="259"/>
      <c r="G37" s="261" t="s">
        <v>92</v>
      </c>
    </row>
    <row r="38" spans="1:7" ht="13.5" customHeight="1">
      <c r="A38" s="778" t="s">
        <v>354</v>
      </c>
      <c r="B38" s="215" t="s">
        <v>36</v>
      </c>
      <c r="C38" s="220">
        <f>ROUND(C34*F38,0)</f>
        <v>4</v>
      </c>
      <c r="D38" s="220"/>
      <c r="E38" s="220"/>
      <c r="F38" s="259">
        <f>'数据-取费表'!B36</f>
        <v>0.02</v>
      </c>
      <c r="G38" s="219" t="s">
        <v>90</v>
      </c>
    </row>
    <row r="39" spans="1:7" s="214" customFormat="1" ht="13.5" customHeight="1">
      <c r="A39" s="775" t="s">
        <v>338</v>
      </c>
      <c r="B39" s="210" t="s">
        <v>77</v>
      </c>
      <c r="C39" s="232">
        <f>ROUND(C33*F20,0)</f>
        <v>5</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ROUND(SUM(C42:C43),0)</f>
        <v>8</v>
      </c>
      <c r="D41" s="235">
        <f>C44</f>
        <v>6.9999999999999999E-4</v>
      </c>
      <c r="E41" s="236" t="s">
        <v>102</v>
      </c>
      <c r="F41" s="237"/>
      <c r="G41" s="1065" t="str">
        <f>IF('数据-取费表'!B22&lt;=1,"单利计息","复利计息")</f>
        <v>复利计息</v>
      </c>
    </row>
    <row r="42" spans="1:7" ht="13.5" customHeight="1">
      <c r="A42" s="778" t="s">
        <v>349</v>
      </c>
      <c r="B42" s="215" t="s">
        <v>423</v>
      </c>
      <c r="C42" s="238">
        <f>ROUND(IF('数据-取费表'!B22&lt;=1,C33*F22*'数据-取费表'!B21/2,C33*(POWER((1+F22),'数据-取费表'!B21/2)-1)),0)</f>
        <v>8</v>
      </c>
      <c r="D42" s="238"/>
      <c r="E42" s="238"/>
      <c r="F42" s="239"/>
      <c r="G42" s="3698" t="s">
        <v>94</v>
      </c>
    </row>
    <row r="43" spans="1:7" ht="13.5" customHeight="1">
      <c r="A43" s="778" t="s">
        <v>347</v>
      </c>
      <c r="B43" s="215" t="s">
        <v>426</v>
      </c>
      <c r="C43" s="238">
        <f>ROUND(IF('数据-取费表'!B22&lt;=1,C39*F22*'数据-取费表'!B21/2,C39*(POWER((1+F22),'数据-取费表'!B21/2)-1)),0)</f>
        <v>0</v>
      </c>
      <c r="D43" s="238"/>
      <c r="E43" s="238"/>
      <c r="F43" s="239"/>
      <c r="G43" s="3699"/>
    </row>
    <row r="44" spans="1:7" ht="13.5" customHeight="1">
      <c r="A44" s="778" t="s">
        <v>348</v>
      </c>
      <c r="B44" s="215" t="s">
        <v>428</v>
      </c>
      <c r="C44" s="238">
        <f>ROUND(IF('数据-取费表'!B22&lt;=1,C40*F22*'数据-取费表'!B21/2,C40*(POWER((1+F22),'数据-取费表'!B21/2)-1)),4)</f>
        <v>6.9999999999999999E-4</v>
      </c>
      <c r="D44" s="238"/>
      <c r="E44" s="238"/>
      <c r="F44" s="239"/>
      <c r="G44" s="3700"/>
    </row>
    <row r="45" spans="1:7" s="214" customFormat="1" ht="13.5" customHeight="1">
      <c r="A45" s="775" t="s">
        <v>341</v>
      </c>
      <c r="B45" s="244" t="s">
        <v>85</v>
      </c>
      <c r="C45" s="245">
        <f>C46</f>
        <v>47</v>
      </c>
      <c r="D45" s="235">
        <f>C47</f>
        <v>4.0000000000000001E-3</v>
      </c>
      <c r="E45" s="236" t="s">
        <v>102</v>
      </c>
      <c r="F45" s="246"/>
      <c r="G45" s="247" t="s">
        <v>434</v>
      </c>
    </row>
    <row r="46" spans="1:7" s="214" customFormat="1" ht="13.5" customHeight="1">
      <c r="A46" s="778" t="s">
        <v>349</v>
      </c>
      <c r="B46" s="248" t="s">
        <v>427</v>
      </c>
      <c r="C46" s="249">
        <f>ROUND((C33+C39)*F27,0)</f>
        <v>47</v>
      </c>
      <c r="D46" s="263"/>
      <c r="E46" s="236"/>
      <c r="F46" s="246"/>
      <c r="G46" s="247"/>
    </row>
    <row r="47" spans="1:7" s="214" customFormat="1" ht="13.5" customHeight="1">
      <c r="A47" s="778" t="s">
        <v>347</v>
      </c>
      <c r="B47" s="248" t="s">
        <v>429</v>
      </c>
      <c r="C47" s="238">
        <f>ROUND(C40*F27,4)</f>
        <v>4.0000000000000001E-3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ROUND((C33+C39+C41+C45)/(1-C40-D41-D45-C48/(1+'数据-取费表'!B42)),0)</f>
        <v>312</v>
      </c>
      <c r="D49" s="232"/>
      <c r="E49" s="232"/>
      <c r="F49" s="264"/>
      <c r="G49" s="234" t="s">
        <v>435</v>
      </c>
    </row>
    <row r="50" spans="1:7" s="258" customFormat="1" ht="24">
      <c r="A50" s="775" t="s">
        <v>344</v>
      </c>
      <c r="B50" s="210" t="s">
        <v>97</v>
      </c>
      <c r="C50" s="232"/>
      <c r="D50" s="232"/>
      <c r="E50" s="232"/>
      <c r="F50" s="264">
        <f>IF('数据-取费表'!B24=0,'数据-取费表'!N16,1)</f>
        <v>0.88</v>
      </c>
      <c r="G50" s="247" t="s">
        <v>98</v>
      </c>
    </row>
    <row r="51" spans="1:7" ht="16.5" customHeight="1">
      <c r="A51" s="775" t="s">
        <v>345</v>
      </c>
      <c r="B51" s="210" t="s">
        <v>105</v>
      </c>
      <c r="C51" s="232">
        <f>ROUND(C49*F50,0)</f>
        <v>275</v>
      </c>
      <c r="D51" s="232"/>
      <c r="E51" s="232"/>
      <c r="F51" s="264"/>
      <c r="G51" s="234" t="s">
        <v>37</v>
      </c>
    </row>
    <row r="52" spans="1:7" s="208" customFormat="1" ht="16.8" thickBot="1">
      <c r="A52" s="265" t="s">
        <v>38</v>
      </c>
      <c r="B52" s="266"/>
      <c r="C52" s="267">
        <f>C31+C51</f>
        <v>29188</v>
      </c>
      <c r="D52" s="266"/>
      <c r="E52" s="266"/>
      <c r="F52" s="266"/>
      <c r="G52" s="268"/>
    </row>
    <row r="55" spans="1:7" ht="15">
      <c r="B55" s="270" t="s">
        <v>39</v>
      </c>
      <c r="C55" s="271"/>
    </row>
    <row r="56" spans="1:7">
      <c r="B56" s="273" t="s">
        <v>40</v>
      </c>
      <c r="C56" s="274">
        <f>ROUND(C51/C52,3)</f>
        <v>8.9999999999999993E-3</v>
      </c>
    </row>
    <row r="57" spans="1:7">
      <c r="B57" s="273" t="s">
        <v>41</v>
      </c>
      <c r="C57" s="275">
        <f>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3" customWidth="1"/>
    <col min="2" max="2" width="18.6640625" style="3223" customWidth="1"/>
    <col min="3" max="6" width="10.21875" style="3223" customWidth="1"/>
    <col min="7" max="7" width="10.44140625" style="3223" bestFit="1" customWidth="1"/>
    <col min="8" max="8" width="8.88671875" style="3219"/>
    <col min="9" max="9" width="13.33203125" style="3219" customWidth="1"/>
    <col min="10" max="13" width="13.33203125" style="3223" customWidth="1"/>
    <col min="14" max="14" width="18.21875" style="3223" customWidth="1"/>
    <col min="15" max="17" width="15.109375" style="3223" customWidth="1"/>
    <col min="18" max="20" width="11.44140625" style="3223" customWidth="1"/>
    <col min="21" max="16384" width="8.88671875" style="3223"/>
  </cols>
  <sheetData>
    <row r="1" spans="1:20" ht="11.4" thickBot="1">
      <c r="A1" s="3837" t="s">
        <v>2838</v>
      </c>
      <c r="B1" s="3837"/>
      <c r="C1" s="3837"/>
      <c r="D1" s="3837"/>
      <c r="E1" s="3837"/>
      <c r="F1" s="3837"/>
      <c r="G1" s="3838"/>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1.4"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35"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1.4" thickBot="1">
      <c r="A4" s="3836"/>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1.4"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1.4"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1.4"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1.4"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1.4"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1.4"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6" customWidth="1"/>
    <col min="2" max="2" width="20" style="3286" customWidth="1"/>
    <col min="3" max="7" width="8.88671875" style="3250"/>
    <col min="8" max="16384" width="8.88671875" style="3251"/>
  </cols>
  <sheetData>
    <row r="1" spans="1:7">
      <c r="A1" s="3839" t="s">
        <v>3180</v>
      </c>
      <c r="B1" s="3839"/>
    </row>
    <row r="2" spans="1:7" ht="15" thickBot="1">
      <c r="A2" s="3252"/>
      <c r="B2" s="3252"/>
    </row>
    <row r="3" spans="1:7" ht="15" thickBot="1">
      <c r="A3" s="3252"/>
      <c r="B3" s="3252"/>
      <c r="C3" s="3253" t="s">
        <v>2810</v>
      </c>
      <c r="D3" s="3253" t="s">
        <v>2866</v>
      </c>
      <c r="E3" s="3253" t="s">
        <v>2812</v>
      </c>
      <c r="F3" s="3253" t="s">
        <v>2867</v>
      </c>
      <c r="G3" s="3253" t="s">
        <v>2630</v>
      </c>
    </row>
    <row r="4" spans="1:7" ht="1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7"/>
  </cols>
  <sheetData>
    <row r="1" spans="1:6">
      <c r="A1" s="3840" t="s">
        <v>3231</v>
      </c>
      <c r="B1" s="3840"/>
      <c r="C1" s="3840"/>
      <c r="D1" s="3840"/>
      <c r="E1" s="3840"/>
      <c r="F1" s="3841"/>
    </row>
    <row r="2" spans="1:6">
      <c r="A2" s="3288" t="s">
        <v>3232</v>
      </c>
      <c r="B2" s="3289"/>
      <c r="C2" s="3289"/>
      <c r="D2" s="3289"/>
      <c r="E2" s="3289"/>
      <c r="F2" s="3289"/>
    </row>
    <row r="3" spans="1:6">
      <c r="A3" s="3288" t="s">
        <v>3233</v>
      </c>
      <c r="B3" s="3289"/>
      <c r="C3" s="3289"/>
      <c r="D3" s="3289"/>
      <c r="E3" s="3289"/>
      <c r="F3" s="3290" t="s">
        <v>3234</v>
      </c>
    </row>
    <row r="4" spans="1:6">
      <c r="A4" s="3291" t="s">
        <v>670</v>
      </c>
      <c r="B4" s="3291" t="s">
        <v>671</v>
      </c>
      <c r="C4" s="3291" t="s">
        <v>21</v>
      </c>
      <c r="D4" s="3291" t="s">
        <v>672</v>
      </c>
      <c r="E4" s="3291" t="s">
        <v>3</v>
      </c>
      <c r="F4" s="3291" t="s">
        <v>3235</v>
      </c>
    </row>
    <row r="5" spans="1:6">
      <c r="A5" s="3292" t="s">
        <v>673</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4.4"/>
  <cols>
    <col min="1" max="1" width="13.88671875" customWidth="1"/>
    <col min="11" max="17" width="0" hidden="1" customWidth="1"/>
    <col min="25" max="30" width="0" hidden="1" customWidth="1"/>
  </cols>
  <sheetData>
    <row r="1" spans="1:30">
      <c r="A1" s="3218">
        <f>基准地价修正!G23</f>
        <v>45504</v>
      </c>
      <c r="B1" s="3207" t="s">
        <v>3369</v>
      </c>
      <c r="C1" s="3208"/>
      <c r="D1" s="3208"/>
      <c r="E1" s="3208"/>
      <c r="F1" s="3208"/>
      <c r="G1" s="3208"/>
      <c r="H1" s="3208"/>
      <c r="I1" s="3208"/>
      <c r="J1" s="3162"/>
      <c r="K1" s="3208" t="s">
        <v>454</v>
      </c>
      <c r="L1" s="3208"/>
      <c r="M1" s="3208"/>
      <c r="N1" s="3208"/>
      <c r="O1" s="3208"/>
      <c r="P1" s="3208"/>
      <c r="Q1" s="3162"/>
      <c r="R1" s="3842" t="s">
        <v>456</v>
      </c>
      <c r="S1" s="3843"/>
      <c r="T1" s="3843"/>
      <c r="U1" s="3843"/>
      <c r="V1" s="3843"/>
      <c r="W1" s="3843"/>
      <c r="X1" s="3162"/>
      <c r="Y1" s="3842" t="s">
        <v>457</v>
      </c>
      <c r="Z1" s="3843"/>
      <c r="AA1" s="3843"/>
      <c r="AB1" s="3843"/>
      <c r="AC1" s="3843"/>
      <c r="AD1" s="3843"/>
    </row>
    <row r="2" spans="1:30" s="3140" customFormat="1" ht="1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3.2">
      <c r="A3" s="3146" t="s">
        <v>2818</v>
      </c>
      <c r="B3" s="3147"/>
      <c r="C3" s="3148"/>
      <c r="D3" s="3148">
        <f>ROUND(AVERAGEIF(D4:D19,"&lt;&gt;0"),2)</f>
        <v>0.68</v>
      </c>
      <c r="E3" s="3148">
        <f t="shared" ref="E3:H3" si="0">ROUND(AVERAGEIF(E4:E19,"&lt;&gt;0"),2)</f>
        <v>0.4</v>
      </c>
      <c r="F3" s="3148">
        <f t="shared" si="0"/>
        <v>0.17</v>
      </c>
      <c r="G3" s="3148">
        <f t="shared" si="0"/>
        <v>0.74</v>
      </c>
      <c r="H3" s="3148">
        <f t="shared" si="0"/>
        <v>0.62</v>
      </c>
      <c r="I3" s="3148">
        <f>F3</f>
        <v>0.17</v>
      </c>
      <c r="J3" s="3149"/>
      <c r="K3" s="3150">
        <f>ROUND(AVERAGEIF(K4:K19,"&lt;&gt;0"),4)</f>
        <v>6.7999999999999996E-3</v>
      </c>
      <c r="L3" s="3151">
        <f t="shared" ref="L3:O3" si="1">ROUND(AVERAGEIF(L4:L19,"&lt;&gt;0"),4)</f>
        <v>4.0000000000000001E-3</v>
      </c>
      <c r="M3" s="3151">
        <f t="shared" si="1"/>
        <v>1.6999999999999999E-3</v>
      </c>
      <c r="N3" s="3151">
        <f t="shared" si="1"/>
        <v>7.4000000000000003E-3</v>
      </c>
      <c r="O3" s="3151">
        <f t="shared" si="1"/>
        <v>6.1999999999999998E-3</v>
      </c>
      <c r="P3" s="3151">
        <f>M3</f>
        <v>1.6999999999999999E-3</v>
      </c>
      <c r="Q3" s="3149"/>
      <c r="R3" s="3152">
        <f>ROUND(SUMPRODUCT(PRODUCT(1+K4:K19)),4)</f>
        <v>1.0916999999999999</v>
      </c>
      <c r="S3" s="3153">
        <f t="shared" ref="S3:V3" si="2">ROUND(SUMPRODUCT(PRODUCT(1+L4:L19)),4)</f>
        <v>1.0537000000000001</v>
      </c>
      <c r="T3" s="3153">
        <f t="shared" si="2"/>
        <v>1.0224</v>
      </c>
      <c r="U3" s="3153">
        <f t="shared" si="2"/>
        <v>1.1008</v>
      </c>
      <c r="V3" s="3153">
        <f t="shared" si="2"/>
        <v>1.0843</v>
      </c>
      <c r="W3" s="3152">
        <f>T3</f>
        <v>1.0224</v>
      </c>
      <c r="X3" s="3149"/>
      <c r="Y3" s="3154">
        <f>ROUND(AVERAGEIF(Y6:Y19,"&lt;&gt;0"),4)</f>
        <v>8.6999999999999994E-3</v>
      </c>
      <c r="Z3" s="3155">
        <f t="shared" ref="Z3:AC3" si="3">ROUND(AVERAGEIF(Z6:Z19,"&lt;&gt;0"),4)</f>
        <v>3.5000000000000001E-3</v>
      </c>
      <c r="AA3" s="3156">
        <f t="shared" si="3"/>
        <v>8.9999999999999998E-4</v>
      </c>
      <c r="AB3" s="3154">
        <f t="shared" si="3"/>
        <v>9.4999999999999998E-3</v>
      </c>
      <c r="AC3" s="3157">
        <f t="shared" si="3"/>
        <v>6.1000000000000004E-3</v>
      </c>
      <c r="AD3" s="3154">
        <f>AA3</f>
        <v>8.9999999999999998E-4</v>
      </c>
    </row>
    <row r="4" spans="1:30" s="3159" customFormat="1" ht="13.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3.2">
      <c r="A5" s="2203" t="s">
        <v>3377</v>
      </c>
      <c r="B5" s="3174">
        <v>2024</v>
      </c>
      <c r="C5" s="3175">
        <v>3</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ROUND(IF(项目基本情况!$B$8="出让",SUMPRODUCT(PRODUCT(1+K5:$K$19)),SUMPRODUCT(PRODUCT(1+K5:$K$18))),4)</f>
        <v>1.0811999999999999</v>
      </c>
      <c r="S5" s="3180">
        <f>ROUND(IF(项目基本情况!$B$8="出让",SUMPRODUCT(PRODUCT(1+L5:$L$19)),SUMPRODUCT(PRODUCT(1+L5:$L$18))),4)</f>
        <v>1.052</v>
      </c>
      <c r="T5" s="3180">
        <f>ROUND(IF(项目基本情况!$B$8="出让",SUMPRODUCT(PRODUCT(1+M5:$M$19)),SUMPRODUCT(PRODUCT(1+M5:$M$18))),4)</f>
        <v>1.0249999999999999</v>
      </c>
      <c r="U5" s="3180">
        <f>ROUND(IF(项目基本情况!$B$8="出让",SUMPRODUCT(PRODUCT(1+N5:$N$19)),SUMPRODUCT(PRODUCT(1+N5:$N$18))),4)</f>
        <v>1.0888</v>
      </c>
      <c r="V5" s="3180">
        <f>ROUND(IF(项目基本情况!$B$8="出让",SUMPRODUCT(PRODUCT(1+O5:$O$19)),SUMPRODUCT(PRODUCT(1+O5:$O$18))),4)</f>
        <v>1.0804</v>
      </c>
      <c r="W5" s="3180">
        <f>T5</f>
        <v>1.0249999999999999</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82" customFormat="1" ht="13.2">
      <c r="A6" s="2203" t="s">
        <v>3372</v>
      </c>
      <c r="B6" s="3174">
        <v>2024</v>
      </c>
      <c r="C6" s="3175">
        <v>2</v>
      </c>
      <c r="D6" s="3176">
        <v>0</v>
      </c>
      <c r="E6" s="3176">
        <v>0</v>
      </c>
      <c r="F6" s="3176">
        <v>0</v>
      </c>
      <c r="G6" s="3176">
        <v>0</v>
      </c>
      <c r="H6" s="3176">
        <v>0</v>
      </c>
      <c r="I6" s="3177">
        <f t="shared" ref="I6:I19" si="15">F6</f>
        <v>0</v>
      </c>
      <c r="J6" s="3178"/>
      <c r="K6" s="3179">
        <f t="shared" ref="K6:O19" si="16">D6/100</f>
        <v>0</v>
      </c>
      <c r="L6" s="3169">
        <f t="shared" si="16"/>
        <v>0</v>
      </c>
      <c r="M6" s="3169">
        <f t="shared" si="16"/>
        <v>0</v>
      </c>
      <c r="N6" s="3169">
        <f t="shared" si="16"/>
        <v>0</v>
      </c>
      <c r="O6" s="3169">
        <f t="shared" si="16"/>
        <v>0</v>
      </c>
      <c r="P6" s="3169">
        <f>M6</f>
        <v>0</v>
      </c>
      <c r="Q6" s="3178"/>
      <c r="R6" s="3180">
        <f>ROUND(IF(项目基本情况!$B$8="出让",SUMPRODUCT(PRODUCT(1+K6:$K$19)),SUMPRODUCT(PRODUCT(1+K6:$K$18))),4)</f>
        <v>1.0811999999999999</v>
      </c>
      <c r="S6" s="3180">
        <f>ROUND(IF(项目基本情况!$B$8="出让",SUMPRODUCT(PRODUCT(1+L6:$L$19)),SUMPRODUCT(PRODUCT(1+L6:$L$18))),4)</f>
        <v>1.052</v>
      </c>
      <c r="T6" s="3180">
        <f>ROUND(IF(项目基本情况!$B$8="出让",SUMPRODUCT(PRODUCT(1+M6:$M$19)),SUMPRODUCT(PRODUCT(1+M6:$M$18))),4)</f>
        <v>1.0249999999999999</v>
      </c>
      <c r="U6" s="3180">
        <f>ROUND(IF(项目基本情况!$B$8="出让",SUMPRODUCT(PRODUCT(1+N6:$N$19)),SUMPRODUCT(PRODUCT(1+N6:$N$18))),4)</f>
        <v>1.0888</v>
      </c>
      <c r="V6" s="3180">
        <f>ROUND(IF(项目基本情况!$B$8="出让",SUMPRODUCT(PRODUCT(1+O6:$O$19)),SUMPRODUCT(PRODUCT(1+O6:$O$18))),4)</f>
        <v>1.0804</v>
      </c>
      <c r="W6" s="3180">
        <f>T6</f>
        <v>1.0249999999999999</v>
      </c>
      <c r="X6" s="3178"/>
      <c r="Y6" s="3181">
        <f>IF(D6=0,0,ROUND(AVERAGE(D6:D19)/100,4))</f>
        <v>0</v>
      </c>
      <c r="Z6" s="3181">
        <f t="shared" ref="Z6:AC6" si="17">IF(E6=0,0,ROUND(AVERAGE(E6:E19)/100,4))</f>
        <v>0</v>
      </c>
      <c r="AA6" s="3181">
        <f t="shared" si="17"/>
        <v>0</v>
      </c>
      <c r="AB6" s="3181">
        <f t="shared" si="17"/>
        <v>0</v>
      </c>
      <c r="AC6" s="3181">
        <f t="shared" si="17"/>
        <v>0</v>
      </c>
      <c r="AD6" s="3181">
        <f t="shared" ref="AD6:AD18" si="18">AA6</f>
        <v>0</v>
      </c>
    </row>
    <row r="7" spans="1:30" s="3192" customFormat="1" ht="13.2">
      <c r="A7" s="3183" t="s">
        <v>3374</v>
      </c>
      <c r="B7" s="3184">
        <v>2024</v>
      </c>
      <c r="C7" s="3185">
        <v>1</v>
      </c>
      <c r="D7" s="3186">
        <v>0.08</v>
      </c>
      <c r="E7" s="3186">
        <v>0.46</v>
      </c>
      <c r="F7" s="3186">
        <v>-0.16</v>
      </c>
      <c r="G7" s="3186">
        <v>0.26</v>
      </c>
      <c r="H7" s="3187">
        <v>0.59</v>
      </c>
      <c r="I7" s="3188">
        <v>0</v>
      </c>
      <c r="J7" s="3189"/>
      <c r="K7" s="3190">
        <f t="shared" ref="K7" si="19">D7/100</f>
        <v>8.0000000000000004E-4</v>
      </c>
      <c r="L7" s="3191">
        <f t="shared" ref="L7" si="20">E7/100</f>
        <v>4.5999999999999999E-3</v>
      </c>
      <c r="M7" s="3191">
        <f t="shared" ref="M7" si="21">F7/100</f>
        <v>-1.6000000000000001E-3</v>
      </c>
      <c r="N7" s="3191">
        <f t="shared" ref="N7" si="22">G7/100</f>
        <v>2.5999999999999999E-3</v>
      </c>
      <c r="O7" s="3191">
        <f t="shared" ref="O7" si="23">H7/100</f>
        <v>5.8999999999999999E-3</v>
      </c>
      <c r="P7" s="3191">
        <f t="shared" ref="P7" si="24">M7</f>
        <v>-1.6000000000000001E-3</v>
      </c>
      <c r="Q7" s="3189"/>
      <c r="R7" s="3189">
        <f>ROUND(IF(项目基本情况!$B$8="出让",SUMPRODUCT(PRODUCT(1+K7:$K$19)),SUMPRODUCT(PRODUCT(1+K7:$K$18))),4)</f>
        <v>1.0811999999999999</v>
      </c>
      <c r="S7" s="3189">
        <f>ROUND(IF(项目基本情况!$B$8="出让",SUMPRODUCT(PRODUCT(1+L7:$L$19)),SUMPRODUCT(PRODUCT(1+L7:$L$18))),4)</f>
        <v>1.052</v>
      </c>
      <c r="T7" s="3189">
        <f>ROUND(IF(项目基本情况!$B$8="出让",SUMPRODUCT(PRODUCT(1+M7:$M$19)),SUMPRODUCT(PRODUCT(1+M7:$M$18))),4)</f>
        <v>1.0249999999999999</v>
      </c>
      <c r="U7" s="3189">
        <f>ROUND(IF(项目基本情况!$B$8="出让",SUMPRODUCT(PRODUCT(1+N7:$N$19)),SUMPRODUCT(PRODUCT(1+N7:$N$18))),4)</f>
        <v>1.0888</v>
      </c>
      <c r="V7" s="3189">
        <f>ROUND(IF(项目基本情况!$B$8="出让",SUMPRODUCT(PRODUCT(1+O7:$O$19)),SUMPRODUCT(PRODUCT(1+O7:$O$18))),4)</f>
        <v>1.0804</v>
      </c>
      <c r="W7" s="3189">
        <f t="shared" ref="W7" si="25">T7</f>
        <v>1.0249999999999999</v>
      </c>
      <c r="X7" s="3189"/>
      <c r="Y7" s="3191"/>
      <c r="Z7" s="3191"/>
      <c r="AA7" s="3191"/>
      <c r="AB7" s="3191"/>
      <c r="AC7" s="3191"/>
      <c r="AD7" s="3191"/>
    </row>
    <row r="8" spans="1:30" s="3182" customFormat="1" ht="13.2">
      <c r="A8" s="3173" t="s">
        <v>3375</v>
      </c>
      <c r="B8" s="3174">
        <v>2023</v>
      </c>
      <c r="C8" s="3175">
        <v>4</v>
      </c>
      <c r="D8" s="3176">
        <v>0.19</v>
      </c>
      <c r="E8" s="3176">
        <v>0.24</v>
      </c>
      <c r="F8" s="3176">
        <v>-0.16</v>
      </c>
      <c r="G8" s="3176">
        <v>0.17</v>
      </c>
      <c r="H8" s="3193">
        <v>0.61</v>
      </c>
      <c r="I8" s="3177">
        <f>F8</f>
        <v>-0.16</v>
      </c>
      <c r="J8" s="3178"/>
      <c r="K8" s="3179">
        <f t="shared" si="16"/>
        <v>1.9E-3</v>
      </c>
      <c r="L8" s="3169">
        <f t="shared" si="16"/>
        <v>2.3999999999999998E-3</v>
      </c>
      <c r="M8" s="3169">
        <f t="shared" si="16"/>
        <v>-1.6000000000000001E-3</v>
      </c>
      <c r="N8" s="3169">
        <f t="shared" si="16"/>
        <v>1.7000000000000001E-3</v>
      </c>
      <c r="O8" s="3169">
        <f t="shared" si="16"/>
        <v>6.0999999999999995E-3</v>
      </c>
      <c r="P8" s="3169">
        <f t="shared" ref="P8" si="26">M8</f>
        <v>-1.6000000000000001E-3</v>
      </c>
      <c r="Q8" s="3178"/>
      <c r="R8" s="3180">
        <f>ROUND(IF(项目基本情况!$B$8="出让",SUMPRODUCT(PRODUCT(1+K8:$K$19)),SUMPRODUCT(PRODUCT(1+K8:$K$18))),4)</f>
        <v>1.0804</v>
      </c>
      <c r="S8" s="3180">
        <f>ROUND(IF(项目基本情况!$B$8="出让",SUMPRODUCT(PRODUCT(1+L8:$L$19)),SUMPRODUCT(PRODUCT(1+L8:$L$18))),4)</f>
        <v>1.0471999999999999</v>
      </c>
      <c r="T8" s="3180">
        <f>ROUND(IF(项目基本情况!$B$8="出让",SUMPRODUCT(PRODUCT(1+M8:$M$19)),SUMPRODUCT(PRODUCT(1+M8:$M$18))),4)</f>
        <v>1.0266</v>
      </c>
      <c r="U8" s="3180">
        <f>ROUND(IF(项目基本情况!$B$8="出让",SUMPRODUCT(PRODUCT(1+N8:$N$19)),SUMPRODUCT(PRODUCT(1+N8:$N$18))),4)</f>
        <v>1.0859000000000001</v>
      </c>
      <c r="V8" s="3180">
        <f>ROUND(IF(项目基本情况!$B$8="出让",SUMPRODUCT(PRODUCT(1+O8:$O$19)),SUMPRODUCT(PRODUCT(1+O8:$O$18))),4)</f>
        <v>1.0741000000000001</v>
      </c>
      <c r="W8" s="3180">
        <f t="shared" ref="W8" si="27">T8</f>
        <v>1.0266</v>
      </c>
      <c r="X8" s="3178"/>
      <c r="Y8" s="3181"/>
      <c r="Z8" s="3181"/>
      <c r="AA8" s="3181"/>
      <c r="AB8" s="3181"/>
      <c r="AC8" s="3181"/>
      <c r="AD8" s="3181"/>
    </row>
    <row r="9" spans="1:30" s="3182" customFormat="1" ht="13.2">
      <c r="A9" s="3173" t="s">
        <v>3373</v>
      </c>
      <c r="B9" s="3174">
        <v>2023</v>
      </c>
      <c r="C9" s="3175">
        <v>3</v>
      </c>
      <c r="D9" s="3176">
        <v>0.25</v>
      </c>
      <c r="E9" s="3176">
        <v>0.5</v>
      </c>
      <c r="F9" s="3176">
        <v>0.31</v>
      </c>
      <c r="G9" s="3176">
        <v>0.21</v>
      </c>
      <c r="H9" s="3193">
        <v>0.43</v>
      </c>
      <c r="I9" s="3177">
        <f t="shared" si="15"/>
        <v>0.31</v>
      </c>
      <c r="J9" s="3178"/>
      <c r="K9" s="3179">
        <f t="shared" ref="K9:K11" si="28">D9/100</f>
        <v>2.5000000000000001E-3</v>
      </c>
      <c r="L9" s="3169">
        <f t="shared" ref="L9:L11" si="29">E9/100</f>
        <v>5.0000000000000001E-3</v>
      </c>
      <c r="M9" s="3169">
        <f t="shared" ref="M9:M11" si="30">F9/100</f>
        <v>3.0999999999999999E-3</v>
      </c>
      <c r="N9" s="3169">
        <f t="shared" ref="N9:N11" si="31">G9/100</f>
        <v>2.0999999999999999E-3</v>
      </c>
      <c r="O9" s="3169">
        <f t="shared" ref="O9:O11" si="32">H9/100</f>
        <v>4.3E-3</v>
      </c>
      <c r="P9" s="3169">
        <f t="shared" ref="P9:P11" si="33">M9</f>
        <v>3.0999999999999999E-3</v>
      </c>
      <c r="Q9" s="3178"/>
      <c r="R9" s="3180">
        <f>ROUND(IF(项目基本情况!$B$8="出让",SUMPRODUCT(PRODUCT(1+K9:$K$19)),SUMPRODUCT(PRODUCT(1+K9:$K$18))),4)</f>
        <v>1.0783</v>
      </c>
      <c r="S9" s="3180">
        <f>ROUND(IF(项目基本情况!$B$8="出让",SUMPRODUCT(PRODUCT(1+L9:$L$19)),SUMPRODUCT(PRODUCT(1+L9:$L$18))),4)</f>
        <v>1.0447</v>
      </c>
      <c r="T9" s="3180">
        <f>ROUND(IF(项目基本情况!$B$8="出让",SUMPRODUCT(PRODUCT(1+M9:$M$19)),SUMPRODUCT(PRODUCT(1+M9:$M$18))),4)</f>
        <v>1.0282</v>
      </c>
      <c r="U9" s="3180">
        <f>ROUND(IF(项目基本情况!$B$8="出让",SUMPRODUCT(PRODUCT(1+N9:$N$19)),SUMPRODUCT(PRODUCT(1+N9:$N$18))),4)</f>
        <v>1.0841000000000001</v>
      </c>
      <c r="V9" s="3180">
        <f>ROUND(IF(项目基本情况!$B$8="出让",SUMPRODUCT(PRODUCT(1+O9:$O$19)),SUMPRODUCT(PRODUCT(1+O9:$O$18))),4)</f>
        <v>1.0674999999999999</v>
      </c>
      <c r="W9" s="3180">
        <f t="shared" ref="W9:W10" si="34">T9</f>
        <v>1.0282</v>
      </c>
      <c r="X9" s="3178"/>
      <c r="Y9" s="3181"/>
      <c r="Z9" s="3181"/>
      <c r="AA9" s="3181"/>
      <c r="AB9" s="3181"/>
      <c r="AC9" s="3181"/>
      <c r="AD9" s="3181"/>
    </row>
    <row r="10" spans="1:30" s="3182" customFormat="1" ht="13.2">
      <c r="A10" s="3173" t="s">
        <v>3368</v>
      </c>
      <c r="B10" s="3174">
        <v>2023</v>
      </c>
      <c r="C10" s="3175">
        <v>2</v>
      </c>
      <c r="D10" s="3176">
        <v>0.91</v>
      </c>
      <c r="E10" s="3176">
        <v>0.66</v>
      </c>
      <c r="F10" s="3176">
        <v>0.47</v>
      </c>
      <c r="G10" s="3176">
        <v>0.96</v>
      </c>
      <c r="H10" s="3193">
        <v>0.71</v>
      </c>
      <c r="I10" s="3177">
        <f t="shared" si="15"/>
        <v>0.47</v>
      </c>
      <c r="J10" s="3178"/>
      <c r="K10" s="3179">
        <f t="shared" si="28"/>
        <v>9.1000000000000004E-3</v>
      </c>
      <c r="L10" s="3169">
        <f t="shared" si="29"/>
        <v>6.6E-3</v>
      </c>
      <c r="M10" s="3169">
        <f t="shared" si="30"/>
        <v>4.6999999999999993E-3</v>
      </c>
      <c r="N10" s="3169">
        <f t="shared" si="31"/>
        <v>9.5999999999999992E-3</v>
      </c>
      <c r="O10" s="3169">
        <f t="shared" si="32"/>
        <v>7.0999999999999995E-3</v>
      </c>
      <c r="P10" s="3169">
        <f t="shared" si="33"/>
        <v>4.6999999999999993E-3</v>
      </c>
      <c r="Q10" s="3178"/>
      <c r="R10" s="3180">
        <f>ROUND(IF(项目基本情况!$B$8="出让",SUMPRODUCT(PRODUCT(1+K10:$K$19)),SUMPRODUCT(PRODUCT(1+K10:$K$18))),4)</f>
        <v>1.0755999999999999</v>
      </c>
      <c r="S10" s="3180">
        <f>ROUND(IF(项目基本情况!$B$8="出让",SUMPRODUCT(PRODUCT(1+L10:$L$19)),SUMPRODUCT(PRODUCT(1+L10:$L$18))),4)</f>
        <v>1.0395000000000001</v>
      </c>
      <c r="T10" s="3180">
        <f>ROUND(IF(项目基本情况!$B$8="出让",SUMPRODUCT(PRODUCT(1+M10:$M$19)),SUMPRODUCT(PRODUCT(1+M10:$M$18))),4)</f>
        <v>1.0250999999999999</v>
      </c>
      <c r="U10" s="3180">
        <f>ROUND(IF(项目基本情况!$B$8="出让",SUMPRODUCT(PRODUCT(1+N10:$N$19)),SUMPRODUCT(PRODUCT(1+N10:$N$18))),4)</f>
        <v>1.0818000000000001</v>
      </c>
      <c r="V10" s="3180">
        <f>ROUND(IF(项目基本情况!$B$8="出让",SUMPRODUCT(PRODUCT(1+O10:$O$19)),SUMPRODUCT(PRODUCT(1+O10:$O$18))),4)</f>
        <v>1.0629999999999999</v>
      </c>
      <c r="W10" s="3180">
        <f t="shared" si="34"/>
        <v>1.0250999999999999</v>
      </c>
      <c r="X10" s="3178"/>
      <c r="Y10" s="3181"/>
      <c r="Z10" s="3181"/>
      <c r="AA10" s="3181"/>
      <c r="AB10" s="3181"/>
      <c r="AC10" s="3181"/>
      <c r="AD10" s="3181"/>
    </row>
    <row r="11" spans="1:30" s="3182" customFormat="1" ht="13.2">
      <c r="A11" s="3173" t="s">
        <v>3367</v>
      </c>
      <c r="B11" s="3174">
        <v>2023</v>
      </c>
      <c r="C11" s="3175">
        <v>1</v>
      </c>
      <c r="D11" s="3176">
        <v>0.89</v>
      </c>
      <c r="E11" s="3176">
        <v>0.74</v>
      </c>
      <c r="F11" s="3176">
        <v>0.56999999999999995</v>
      </c>
      <c r="G11" s="3176">
        <v>0.92</v>
      </c>
      <c r="H11" s="3193">
        <v>0.5</v>
      </c>
      <c r="I11" s="3177">
        <f t="shared" si="15"/>
        <v>0.56999999999999995</v>
      </c>
      <c r="J11" s="3178"/>
      <c r="K11" s="3179">
        <f t="shared" si="28"/>
        <v>8.8999999999999999E-3</v>
      </c>
      <c r="L11" s="3169">
        <f t="shared" si="29"/>
        <v>7.4000000000000003E-3</v>
      </c>
      <c r="M11" s="3169">
        <f t="shared" si="30"/>
        <v>5.6999999999999993E-3</v>
      </c>
      <c r="N11" s="3169">
        <f t="shared" si="31"/>
        <v>9.1999999999999998E-3</v>
      </c>
      <c r="O11" s="3169">
        <f t="shared" si="32"/>
        <v>5.0000000000000001E-3</v>
      </c>
      <c r="P11" s="3169">
        <f t="shared" si="33"/>
        <v>5.6999999999999993E-3</v>
      </c>
      <c r="Q11" s="3178"/>
      <c r="R11" s="3180">
        <f>ROUND(IF(项目基本情况!$B$8="出让",SUMPRODUCT(PRODUCT(1+K11:$K$19)),SUMPRODUCT(PRODUCT(1+K11:$K$18))),4)</f>
        <v>1.0659000000000001</v>
      </c>
      <c r="S11" s="3180">
        <f>ROUND(IF(项目基本情况!$B$8="出让",SUMPRODUCT(PRODUCT(1+L11:$L$19)),SUMPRODUCT(PRODUCT(1+L11:$L$18))),4)</f>
        <v>1.0326</v>
      </c>
      <c r="T11" s="3180">
        <f>ROUND(IF(项目基本情况!$B$8="出让",SUMPRODUCT(PRODUCT(1+M11:$M$19)),SUMPRODUCT(PRODUCT(1+M11:$M$18))),4)</f>
        <v>1.0203</v>
      </c>
      <c r="U11" s="3180">
        <f>ROUND(IF(项目基本情况!$B$8="出让",SUMPRODUCT(PRODUCT(1+N11:$N$19)),SUMPRODUCT(PRODUCT(1+N11:$N$18))),4)</f>
        <v>1.0714999999999999</v>
      </c>
      <c r="V11" s="3180">
        <f>ROUND(IF(项目基本情况!$B$8="出让",SUMPRODUCT(PRODUCT(1+O11:$O$19)),SUMPRODUCT(PRODUCT(1+O11:$O$18))),4)</f>
        <v>1.0555000000000001</v>
      </c>
      <c r="W11" s="3180">
        <f t="shared" ref="W11:W18" si="35">T11</f>
        <v>1.0203</v>
      </c>
      <c r="X11" s="3178"/>
      <c r="Y11" s="3181"/>
      <c r="Z11" s="3181"/>
      <c r="AA11" s="3181"/>
      <c r="AB11" s="3181"/>
      <c r="AC11" s="3181"/>
      <c r="AD11" s="3181"/>
    </row>
    <row r="12" spans="1:30" s="3182" customFormat="1" ht="13.2">
      <c r="A12" s="3173" t="s">
        <v>3366</v>
      </c>
      <c r="B12" s="3174">
        <v>2022</v>
      </c>
      <c r="C12" s="3175">
        <v>4</v>
      </c>
      <c r="D12" s="3176">
        <v>0.62</v>
      </c>
      <c r="E12" s="3176">
        <v>0.2</v>
      </c>
      <c r="F12" s="3176">
        <v>0.11</v>
      </c>
      <c r="G12" s="3176">
        <v>0.69</v>
      </c>
      <c r="H12" s="3193">
        <v>0.53</v>
      </c>
      <c r="I12" s="3177">
        <f t="shared" si="15"/>
        <v>0.11</v>
      </c>
      <c r="J12" s="3178"/>
      <c r="K12" s="3179">
        <f t="shared" si="16"/>
        <v>6.1999999999999998E-3</v>
      </c>
      <c r="L12" s="3169">
        <f t="shared" si="16"/>
        <v>2E-3</v>
      </c>
      <c r="M12" s="3169">
        <f t="shared" si="16"/>
        <v>1.1000000000000001E-3</v>
      </c>
      <c r="N12" s="3169">
        <f t="shared" si="16"/>
        <v>6.8999999999999999E-3</v>
      </c>
      <c r="O12" s="3169">
        <f t="shared" si="16"/>
        <v>5.3E-3</v>
      </c>
      <c r="P12" s="3169">
        <f t="shared" ref="P12:P19" si="36">M12</f>
        <v>1.1000000000000001E-3</v>
      </c>
      <c r="Q12" s="3178"/>
      <c r="R12" s="3180">
        <f>ROUND(IF(项目基本情况!$B$8="出让",SUMPRODUCT(PRODUCT(1+K12:$K$19)),SUMPRODUCT(PRODUCT(1+K12:$K$18))),4)</f>
        <v>1.0565</v>
      </c>
      <c r="S12" s="3180">
        <f>ROUND(IF(项目基本情况!$B$8="出让",SUMPRODUCT(PRODUCT(1+L12:$L$19)),SUMPRODUCT(PRODUCT(1+L12:$L$18))),4)</f>
        <v>1.0250999999999999</v>
      </c>
      <c r="T12" s="3180">
        <f>ROUND(IF(项目基本情况!$B$8="出让",SUMPRODUCT(PRODUCT(1+M12:$M$19)),SUMPRODUCT(PRODUCT(1+M12:$M$18))),4)</f>
        <v>1.0145</v>
      </c>
      <c r="U12" s="3180">
        <f>ROUND(IF(项目基本情况!$B$8="出让",SUMPRODUCT(PRODUCT(1+N12:$N$19)),SUMPRODUCT(PRODUCT(1+N12:$N$18))),4)</f>
        <v>1.0618000000000001</v>
      </c>
      <c r="V12" s="3180">
        <f>ROUND(IF(项目基本情况!$B$8="出让",SUMPRODUCT(PRODUCT(1+O12:$O$19)),SUMPRODUCT(PRODUCT(1+O12:$O$18))),4)</f>
        <v>1.0502</v>
      </c>
      <c r="W12" s="3180">
        <f t="shared" si="35"/>
        <v>1.0145</v>
      </c>
      <c r="X12" s="3178"/>
      <c r="Y12" s="3181">
        <f>IF(D12=0,0,ROUND(AVERAGE(D12:D20)/100,4))</f>
        <v>8.0999999999999996E-3</v>
      </c>
      <c r="Z12" s="3181">
        <f t="shared" ref="Z12:AC12" si="37">IF(E12=0,0,ROUND(AVERAGE(E12:E19)/100,4))</f>
        <v>3.3E-3</v>
      </c>
      <c r="AA12" s="3181">
        <f t="shared" si="37"/>
        <v>1.5E-3</v>
      </c>
      <c r="AB12" s="3181">
        <f t="shared" si="37"/>
        <v>8.8999999999999999E-3</v>
      </c>
      <c r="AC12" s="3181">
        <f t="shared" si="37"/>
        <v>6.6E-3</v>
      </c>
      <c r="AD12" s="3181">
        <f t="shared" si="18"/>
        <v>1.5E-3</v>
      </c>
    </row>
    <row r="13" spans="1:30" s="3182" customFormat="1" ht="13.2">
      <c r="A13" s="3173" t="s">
        <v>3362</v>
      </c>
      <c r="B13" s="3174">
        <v>2022</v>
      </c>
      <c r="C13" s="3175">
        <v>3</v>
      </c>
      <c r="D13" s="3176">
        <v>0.66</v>
      </c>
      <c r="E13" s="3176">
        <v>0.32</v>
      </c>
      <c r="F13" s="3176">
        <v>0.23</v>
      </c>
      <c r="G13" s="3176">
        <v>0.72</v>
      </c>
      <c r="H13" s="3193">
        <v>0.63</v>
      </c>
      <c r="I13" s="3177">
        <f t="shared" si="15"/>
        <v>0.23</v>
      </c>
      <c r="J13" s="3178"/>
      <c r="K13" s="3179">
        <f t="shared" si="16"/>
        <v>6.6E-3</v>
      </c>
      <c r="L13" s="3169">
        <f t="shared" si="16"/>
        <v>3.2000000000000002E-3</v>
      </c>
      <c r="M13" s="3169">
        <f t="shared" si="16"/>
        <v>2.3E-3</v>
      </c>
      <c r="N13" s="3169">
        <f t="shared" si="16"/>
        <v>7.1999999999999998E-3</v>
      </c>
      <c r="O13" s="3169">
        <f t="shared" si="16"/>
        <v>6.3E-3</v>
      </c>
      <c r="P13" s="3169">
        <f t="shared" si="36"/>
        <v>2.3E-3</v>
      </c>
      <c r="Q13" s="3178"/>
      <c r="R13" s="3180">
        <f>ROUND(IF(项目基本情况!$B$8="出让",SUMPRODUCT(PRODUCT(1+K13:$K$19)),SUMPRODUCT(PRODUCT(1+K13:$K$18))),4)</f>
        <v>1.05</v>
      </c>
      <c r="S13" s="3180">
        <f>ROUND(IF(项目基本情况!$B$8="出让",SUMPRODUCT(PRODUCT(1+L13:$L$19)),SUMPRODUCT(PRODUCT(1+L13:$L$18))),4)</f>
        <v>1.0229999999999999</v>
      </c>
      <c r="T13" s="3180">
        <f>ROUND(IF(项目基本情况!$B$8="出让",SUMPRODUCT(PRODUCT(1+M13:$M$19)),SUMPRODUCT(PRODUCT(1+M13:$M$18))),4)</f>
        <v>1.0134000000000001</v>
      </c>
      <c r="U13" s="3180">
        <f>ROUND(IF(项目基本情况!$B$8="出让",SUMPRODUCT(PRODUCT(1+N13:$N$19)),SUMPRODUCT(PRODUCT(1+N13:$N$18))),4)</f>
        <v>1.0545</v>
      </c>
      <c r="V13" s="3180">
        <f>ROUND(IF(项目基本情况!$B$8="出让",SUMPRODUCT(PRODUCT(1+O13:$O$19)),SUMPRODUCT(PRODUCT(1+O13:$O$18))),4)</f>
        <v>1.0447</v>
      </c>
      <c r="W13" s="3180">
        <f t="shared" si="35"/>
        <v>1.0134000000000001</v>
      </c>
      <c r="X13" s="3178"/>
      <c r="Y13" s="3181">
        <f>IF(D13=0,0,ROUND(AVERAGE(D13:D19)/100,4))</f>
        <v>8.3999999999999995E-3</v>
      </c>
      <c r="Z13" s="3181">
        <f t="shared" ref="Z13:AC13" si="38">IF(E13=0,0,ROUND(AVERAGE(E13:E19)/100,4))</f>
        <v>3.5000000000000001E-3</v>
      </c>
      <c r="AA13" s="3181">
        <f t="shared" si="38"/>
        <v>1.5E-3</v>
      </c>
      <c r="AB13" s="3181">
        <f t="shared" si="38"/>
        <v>9.1999999999999998E-3</v>
      </c>
      <c r="AC13" s="3181">
        <f t="shared" si="38"/>
        <v>6.7999999999999996E-3</v>
      </c>
      <c r="AD13" s="3181">
        <f t="shared" si="18"/>
        <v>1.5E-3</v>
      </c>
    </row>
    <row r="14" spans="1:30" s="3182" customFormat="1" ht="13.2">
      <c r="A14" s="3173" t="s">
        <v>3353</v>
      </c>
      <c r="B14" s="3174">
        <v>2022</v>
      </c>
      <c r="C14" s="3175">
        <v>2</v>
      </c>
      <c r="D14" s="3176">
        <v>0.93</v>
      </c>
      <c r="E14" s="3176">
        <v>0.15</v>
      </c>
      <c r="F14" s="3176">
        <v>0.01</v>
      </c>
      <c r="G14" s="3176">
        <v>1.05</v>
      </c>
      <c r="H14" s="3193">
        <v>1.08</v>
      </c>
      <c r="I14" s="3177">
        <f t="shared" si="15"/>
        <v>0.01</v>
      </c>
      <c r="J14" s="3178"/>
      <c r="K14" s="3179">
        <f t="shared" si="16"/>
        <v>9.300000000000001E-3</v>
      </c>
      <c r="L14" s="3169">
        <f t="shared" si="16"/>
        <v>1.5E-3</v>
      </c>
      <c r="M14" s="3169">
        <f t="shared" si="16"/>
        <v>1E-4</v>
      </c>
      <c r="N14" s="3169">
        <f t="shared" si="16"/>
        <v>1.0500000000000001E-2</v>
      </c>
      <c r="O14" s="3169">
        <f t="shared" si="16"/>
        <v>1.0800000000000001E-2</v>
      </c>
      <c r="P14" s="3169">
        <f t="shared" si="36"/>
        <v>1E-4</v>
      </c>
      <c r="Q14" s="3178"/>
      <c r="R14" s="3180">
        <f>ROUND(IF(项目基本情况!$B$8="出让",SUMPRODUCT(PRODUCT(1+K14:$K$19)),SUMPRODUCT(PRODUCT(1+K14:$K$18))),4)</f>
        <v>1.0430999999999999</v>
      </c>
      <c r="S14" s="3180">
        <f>ROUND(IF(项目基本情况!$B$8="出让",SUMPRODUCT(PRODUCT(1+L14:$L$19)),SUMPRODUCT(PRODUCT(1+L14:$L$18))),4)</f>
        <v>1.0197000000000001</v>
      </c>
      <c r="T14" s="3180">
        <f>ROUND(IF(项目基本情况!$B$8="出让",SUMPRODUCT(PRODUCT(1+M14:$M$19)),SUMPRODUCT(PRODUCT(1+M14:$M$18))),4)</f>
        <v>1.0109999999999999</v>
      </c>
      <c r="U14" s="3180">
        <f>ROUND(IF(项目基本情况!$B$8="出让",SUMPRODUCT(PRODUCT(1+N14:$N$19)),SUMPRODUCT(PRODUCT(1+N14:$N$18))),4)</f>
        <v>1.0468999999999999</v>
      </c>
      <c r="V14" s="3180">
        <f>ROUND(IF(项目基本情况!$B$8="出让",SUMPRODUCT(PRODUCT(1+O14:$O$19)),SUMPRODUCT(PRODUCT(1+O14:$O$18))),4)</f>
        <v>1.0382</v>
      </c>
      <c r="W14" s="3180">
        <f t="shared" si="35"/>
        <v>1.0109999999999999</v>
      </c>
      <c r="X14" s="3178"/>
      <c r="Y14" s="3181">
        <f>IF(D14=0,0,ROUND(AVERAGE(D14:D19)/100,4))</f>
        <v>8.6999999999999994E-3</v>
      </c>
      <c r="Z14" s="3181">
        <f t="shared" ref="Z14:AC14" si="39">IF(E14=0,0,ROUND(AVERAGE(E14:E19)/100,4))</f>
        <v>3.5000000000000001E-3</v>
      </c>
      <c r="AA14" s="3181">
        <f t="shared" si="39"/>
        <v>1.4E-3</v>
      </c>
      <c r="AB14" s="3181">
        <f t="shared" si="39"/>
        <v>9.4999999999999998E-3</v>
      </c>
      <c r="AC14" s="3181">
        <f t="shared" si="39"/>
        <v>6.8999999999999999E-3</v>
      </c>
      <c r="AD14" s="3181">
        <f t="shared" si="18"/>
        <v>1.4E-3</v>
      </c>
    </row>
    <row r="15" spans="1:30" s="3182" customFormat="1" ht="13.2">
      <c r="A15" s="3173" t="s">
        <v>2819</v>
      </c>
      <c r="B15" s="3174">
        <v>2022</v>
      </c>
      <c r="C15" s="3175">
        <v>1</v>
      </c>
      <c r="D15" s="3176">
        <v>0.89</v>
      </c>
      <c r="E15" s="3176">
        <v>0.44</v>
      </c>
      <c r="F15" s="3176">
        <v>0.37</v>
      </c>
      <c r="G15" s="3176">
        <v>0.96</v>
      </c>
      <c r="H15" s="3193">
        <v>0.64</v>
      </c>
      <c r="I15" s="3177">
        <f t="shared" si="15"/>
        <v>0.37</v>
      </c>
      <c r="J15" s="3178"/>
      <c r="K15" s="3179">
        <f t="shared" si="16"/>
        <v>8.8999999999999999E-3</v>
      </c>
      <c r="L15" s="3169">
        <f t="shared" si="16"/>
        <v>4.4000000000000003E-3</v>
      </c>
      <c r="M15" s="3169">
        <f t="shared" si="16"/>
        <v>3.7000000000000002E-3</v>
      </c>
      <c r="N15" s="3169">
        <f t="shared" si="16"/>
        <v>9.5999999999999992E-3</v>
      </c>
      <c r="O15" s="3169">
        <f t="shared" si="16"/>
        <v>6.4000000000000003E-3</v>
      </c>
      <c r="P15" s="3169">
        <f t="shared" si="36"/>
        <v>3.7000000000000002E-3</v>
      </c>
      <c r="Q15" s="3178"/>
      <c r="R15" s="3180">
        <f>ROUND(IF(项目基本情况!$B$8="出让",SUMPRODUCT(PRODUCT(1+K15:$K$19)),SUMPRODUCT(PRODUCT(1+K15:$K$18))),4)</f>
        <v>1.0335000000000001</v>
      </c>
      <c r="S15" s="3180">
        <f>ROUND(IF(项目基本情况!$B$8="出让",SUMPRODUCT(PRODUCT(1+L15:$L$19)),SUMPRODUCT(PRODUCT(1+L15:$L$18))),4)</f>
        <v>1.0182</v>
      </c>
      <c r="T15" s="3180">
        <f>ROUND(IF(项目基本情况!$B$8="出让",SUMPRODUCT(PRODUCT(1+M15:$M$19)),SUMPRODUCT(PRODUCT(1+M15:$M$18))),4)</f>
        <v>1.0108999999999999</v>
      </c>
      <c r="U15" s="3180">
        <f>ROUND(IF(项目基本情况!$B$8="出让",SUMPRODUCT(PRODUCT(1+N15:$N$19)),SUMPRODUCT(PRODUCT(1+N15:$N$18))),4)</f>
        <v>1.0361</v>
      </c>
      <c r="V15" s="3180">
        <f>ROUND(IF(项目基本情况!$B$8="出让",SUMPRODUCT(PRODUCT(1+O15:$O$19)),SUMPRODUCT(PRODUCT(1+O15:$O$18))),4)</f>
        <v>1.0270999999999999</v>
      </c>
      <c r="W15" s="3180">
        <f t="shared" si="35"/>
        <v>1.0108999999999999</v>
      </c>
      <c r="X15" s="3178"/>
      <c r="Y15" s="3181">
        <f>IF(D15=0,0,ROUND(AVERAGE(D15:D19)/100,4))</f>
        <v>8.6E-3</v>
      </c>
      <c r="Z15" s="3181">
        <f t="shared" ref="Z15:AC15" si="40">IF(E15=0,0,ROUND(AVERAGE(E15:E19)/100,4))</f>
        <v>3.8999999999999998E-3</v>
      </c>
      <c r="AA15" s="3181">
        <f t="shared" si="40"/>
        <v>1.6999999999999999E-3</v>
      </c>
      <c r="AB15" s="3181">
        <f t="shared" si="40"/>
        <v>9.2999999999999992E-3</v>
      </c>
      <c r="AC15" s="3181">
        <f t="shared" si="40"/>
        <v>6.1000000000000004E-3</v>
      </c>
      <c r="AD15" s="3181">
        <f t="shared" si="18"/>
        <v>1.6999999999999999E-3</v>
      </c>
    </row>
    <row r="16" spans="1:30" s="3182" customFormat="1" ht="13.2">
      <c r="A16" s="3173" t="s">
        <v>2820</v>
      </c>
      <c r="B16" s="3174">
        <v>2021</v>
      </c>
      <c r="C16" s="3175">
        <v>4</v>
      </c>
      <c r="D16" s="3176">
        <v>1.03</v>
      </c>
      <c r="E16" s="3176">
        <v>0.24</v>
      </c>
      <c r="F16" s="3176">
        <v>7.0000000000000007E-2</v>
      </c>
      <c r="G16" s="3176">
        <v>1.17</v>
      </c>
      <c r="H16" s="3193">
        <v>0.55000000000000004</v>
      </c>
      <c r="I16" s="3177">
        <f t="shared" si="15"/>
        <v>7.0000000000000007E-2</v>
      </c>
      <c r="J16" s="3178"/>
      <c r="K16" s="3179">
        <f t="shared" si="16"/>
        <v>1.03E-2</v>
      </c>
      <c r="L16" s="3169">
        <f t="shared" si="16"/>
        <v>2.3999999999999998E-3</v>
      </c>
      <c r="M16" s="3169">
        <f t="shared" si="16"/>
        <v>7.000000000000001E-4</v>
      </c>
      <c r="N16" s="3169">
        <f t="shared" si="16"/>
        <v>1.1699999999999999E-2</v>
      </c>
      <c r="O16" s="3169">
        <f t="shared" si="16"/>
        <v>5.5000000000000005E-3</v>
      </c>
      <c r="P16" s="3169">
        <f t="shared" si="36"/>
        <v>7.000000000000001E-4</v>
      </c>
      <c r="Q16" s="3178"/>
      <c r="R16" s="3180">
        <f>ROUND(IF(项目基本情况!$B$8="出让",SUMPRODUCT(PRODUCT(1+K16:$K$19)),SUMPRODUCT(PRODUCT(1+K16:$K$18))),4)</f>
        <v>1.0244</v>
      </c>
      <c r="S16" s="3180">
        <f>ROUND(IF(项目基本情况!$B$8="出让",SUMPRODUCT(PRODUCT(1+L16:$L$19)),SUMPRODUCT(PRODUCT(1+L16:$L$18))),4)</f>
        <v>1.0138</v>
      </c>
      <c r="T16" s="3180">
        <f>ROUND(IF(项目基本情况!$B$8="出让",SUMPRODUCT(PRODUCT(1+M16:$M$19)),SUMPRODUCT(PRODUCT(1+M16:$M$18))),4)</f>
        <v>1.0072000000000001</v>
      </c>
      <c r="U16" s="3180">
        <f>ROUND(IF(项目基本情况!$B$8="出让",SUMPRODUCT(PRODUCT(1+N16:$N$19)),SUMPRODUCT(PRODUCT(1+N16:$N$18))),4)</f>
        <v>1.0262</v>
      </c>
      <c r="V16" s="3180">
        <f>ROUND(IF(项目基本情况!$B$8="出让",SUMPRODUCT(PRODUCT(1+O16:$O$19)),SUMPRODUCT(PRODUCT(1+O16:$O$18))),4)</f>
        <v>1.0205</v>
      </c>
      <c r="W16" s="3180">
        <f t="shared" si="35"/>
        <v>1.0072000000000001</v>
      </c>
      <c r="X16" s="3178"/>
      <c r="Y16" s="3181">
        <f>IF(D16=0,0,ROUND(AVERAGE(D16:D19)/100,4))</f>
        <v>8.5000000000000006E-3</v>
      </c>
      <c r="Z16" s="3181">
        <f t="shared" ref="Z16:AC16" si="41">IF(E16=0,0,ROUND(AVERAGE(E16:E19)/100,4))</f>
        <v>3.8E-3</v>
      </c>
      <c r="AA16" s="3181">
        <f t="shared" si="41"/>
        <v>1.1999999999999999E-3</v>
      </c>
      <c r="AB16" s="3181">
        <f t="shared" si="41"/>
        <v>9.2999999999999992E-3</v>
      </c>
      <c r="AC16" s="3181">
        <f t="shared" si="41"/>
        <v>6.0000000000000001E-3</v>
      </c>
      <c r="AD16" s="3181">
        <f t="shared" si="18"/>
        <v>1.1999999999999999E-3</v>
      </c>
    </row>
    <row r="17" spans="1:30" s="3182" customFormat="1" ht="13.2">
      <c r="A17" s="3173" t="s">
        <v>2821</v>
      </c>
      <c r="B17" s="3174">
        <v>2021</v>
      </c>
      <c r="C17" s="3175">
        <v>3</v>
      </c>
      <c r="D17" s="3176">
        <v>0.47</v>
      </c>
      <c r="E17" s="3176">
        <v>0.41</v>
      </c>
      <c r="F17" s="3176">
        <v>0.24</v>
      </c>
      <c r="G17" s="3176">
        <v>0.48</v>
      </c>
      <c r="H17" s="3193">
        <v>0.48</v>
      </c>
      <c r="I17" s="3177">
        <f t="shared" si="15"/>
        <v>0.24</v>
      </c>
      <c r="J17" s="3178"/>
      <c r="K17" s="3179">
        <f t="shared" si="16"/>
        <v>4.6999999999999993E-3</v>
      </c>
      <c r="L17" s="3169">
        <f t="shared" si="16"/>
        <v>4.0999999999999995E-3</v>
      </c>
      <c r="M17" s="3169">
        <f t="shared" si="16"/>
        <v>2.3999999999999998E-3</v>
      </c>
      <c r="N17" s="3169">
        <f t="shared" si="16"/>
        <v>4.7999999999999996E-3</v>
      </c>
      <c r="O17" s="3169">
        <f t="shared" si="16"/>
        <v>4.7999999999999996E-3</v>
      </c>
      <c r="P17" s="3169">
        <f t="shared" si="36"/>
        <v>2.3999999999999998E-3</v>
      </c>
      <c r="Q17" s="3178"/>
      <c r="R17" s="3180">
        <f>ROUND(IF(项目基本情况!$B$8="出让",SUMPRODUCT(PRODUCT(1+K17:$K$19)),SUMPRODUCT(PRODUCT(1+K17:$K$18))),4)</f>
        <v>1.0139</v>
      </c>
      <c r="S17" s="3180">
        <f>ROUND(IF(项目基本情况!$B$8="出让",SUMPRODUCT(PRODUCT(1+L17:$L$19)),SUMPRODUCT(PRODUCT(1+L17:$L$18))),4)</f>
        <v>1.0113000000000001</v>
      </c>
      <c r="T17" s="3180">
        <f>ROUND(IF(项目基本情况!$B$8="出让",SUMPRODUCT(PRODUCT(1+M17:$M$19)),SUMPRODUCT(PRODUCT(1+M17:$M$18))),4)</f>
        <v>1.0065</v>
      </c>
      <c r="U17" s="3180">
        <f>ROUND(IF(项目基本情况!$B$8="出让",SUMPRODUCT(PRODUCT(1+N17:$N$19)),SUMPRODUCT(PRODUCT(1+N17:$N$18))),4)</f>
        <v>1.0143</v>
      </c>
      <c r="V17" s="3180">
        <f>ROUND(IF(项目基本情况!$B$8="出让",SUMPRODUCT(PRODUCT(1+O17:$O$19)),SUMPRODUCT(PRODUCT(1+O17:$O$18))),4)</f>
        <v>1.0148999999999999</v>
      </c>
      <c r="W17" s="3180">
        <f t="shared" si="35"/>
        <v>1.0065</v>
      </c>
      <c r="X17" s="3178"/>
      <c r="Y17" s="3181">
        <f>IF(D17=0,0,ROUND(AVERAGE(D17:D19)/100,4))</f>
        <v>7.9000000000000008E-3</v>
      </c>
      <c r="Z17" s="3181">
        <f>IF(E17=0,0,ROUND(AVERAGE(E17:E19)/100,4))</f>
        <v>4.3E-3</v>
      </c>
      <c r="AA17" s="3181">
        <f>IF(F17=0,0,ROUND(AVERAGE(F17:F19)/100,4))</f>
        <v>1.2999999999999999E-3</v>
      </c>
      <c r="AB17" s="3181">
        <f>IF(G17=0,0,ROUND(AVERAGE(G17:G19)/100,4))</f>
        <v>8.5000000000000006E-3</v>
      </c>
      <c r="AC17" s="3181">
        <f>IF(H17=0,0,ROUND(AVERAGE(H17:H19)/100,4))</f>
        <v>6.1999999999999998E-3</v>
      </c>
      <c r="AD17" s="3181">
        <f t="shared" si="18"/>
        <v>1.2999999999999999E-3</v>
      </c>
    </row>
    <row r="18" spans="1:30" s="3182" customFormat="1" ht="13.2">
      <c r="A18" s="3173" t="s">
        <v>2822</v>
      </c>
      <c r="B18" s="3174">
        <v>2021</v>
      </c>
      <c r="C18" s="3175">
        <v>2</v>
      </c>
      <c r="D18" s="3176">
        <v>0.92</v>
      </c>
      <c r="E18" s="3176">
        <v>0.72</v>
      </c>
      <c r="F18" s="3176">
        <v>0.41</v>
      </c>
      <c r="G18" s="3176">
        <v>0.95</v>
      </c>
      <c r="H18" s="3193">
        <v>1.01</v>
      </c>
      <c r="I18" s="3177">
        <f t="shared" si="15"/>
        <v>0.41</v>
      </c>
      <c r="J18" s="3178"/>
      <c r="K18" s="3179">
        <f t="shared" si="16"/>
        <v>9.1999999999999998E-3</v>
      </c>
      <c r="L18" s="3169">
        <f t="shared" si="16"/>
        <v>7.1999999999999998E-3</v>
      </c>
      <c r="M18" s="3169">
        <f t="shared" si="16"/>
        <v>4.0999999999999995E-3</v>
      </c>
      <c r="N18" s="3169">
        <f t="shared" si="16"/>
        <v>9.4999999999999998E-3</v>
      </c>
      <c r="O18" s="3169">
        <f t="shared" si="16"/>
        <v>1.01E-2</v>
      </c>
      <c r="P18" s="3169">
        <f t="shared" si="36"/>
        <v>4.0999999999999995E-3</v>
      </c>
      <c r="Q18" s="3178"/>
      <c r="R18" s="3180">
        <f>ROUND(IF(项目基本情况!$B$8="出让",SUMPRODUCT(PRODUCT(1+K18:$K$19)),SUMPRODUCT(PRODUCT(1+K18:$K$18))),4)</f>
        <v>1.0092000000000001</v>
      </c>
      <c r="S18" s="3180">
        <f>ROUND(IF(项目基本情况!$B$8="出让",SUMPRODUCT(PRODUCT(1+L18:$L$19)),SUMPRODUCT(PRODUCT(1+L18:$L$18))),4)</f>
        <v>1.0072000000000001</v>
      </c>
      <c r="T18" s="3180">
        <f>ROUND(IF(项目基本情况!$B$8="出让",SUMPRODUCT(PRODUCT(1+M18:$M$19)),SUMPRODUCT(PRODUCT(1+M18:$M$18))),4)</f>
        <v>1.0041</v>
      </c>
      <c r="U18" s="3180">
        <f>ROUND(IF(项目基本情况!$B$8="出让",SUMPRODUCT(PRODUCT(1+N18:$N$19)),SUMPRODUCT(PRODUCT(1+N18:$N$18))),4)</f>
        <v>1.0095000000000001</v>
      </c>
      <c r="V18" s="3180">
        <f>ROUND(IF(项目基本情况!$B$8="出让",SUMPRODUCT(PRODUCT(1+O18:$O$19)),SUMPRODUCT(PRODUCT(1+O18:$O$18))),4)</f>
        <v>1.0101</v>
      </c>
      <c r="W18" s="3180">
        <f t="shared" si="35"/>
        <v>1.0041</v>
      </c>
      <c r="X18" s="3178"/>
      <c r="Y18" s="3181">
        <f>IF(D18=0,0,ROUND(AVERAGE(D18:D19)/100,4))</f>
        <v>9.4999999999999998E-3</v>
      </c>
      <c r="Z18" s="3181">
        <f>IF(E18=0,0,ROUND(AVERAGE(E18:E19)/100,4))</f>
        <v>4.4000000000000003E-3</v>
      </c>
      <c r="AA18" s="3181">
        <f>IF(F18=0,0,ROUND(AVERAGE(F18:F19)/100,4))</f>
        <v>8.0000000000000004E-4</v>
      </c>
      <c r="AB18" s="3181">
        <f>IF(G18=0,0,ROUND(AVERAGE(G18:G19)/100,4))</f>
        <v>1.03E-2</v>
      </c>
      <c r="AC18" s="3181">
        <f>IF(H18=0,0,ROUND(AVERAGE(H18:H19)/100,4))</f>
        <v>6.8999999999999999E-3</v>
      </c>
      <c r="AD18" s="3181">
        <f t="shared" si="18"/>
        <v>8.0000000000000004E-4</v>
      </c>
    </row>
    <row r="19" spans="1:30" s="3204" customFormat="1" ht="13.8" thickBot="1">
      <c r="A19" s="3194" t="s">
        <v>2823</v>
      </c>
      <c r="B19" s="3195">
        <v>2021</v>
      </c>
      <c r="C19" s="3196">
        <v>1</v>
      </c>
      <c r="D19" s="3197">
        <v>0.97</v>
      </c>
      <c r="E19" s="3197">
        <v>0.16</v>
      </c>
      <c r="F19" s="3197">
        <v>-0.25</v>
      </c>
      <c r="G19" s="3197">
        <v>1.1100000000000001</v>
      </c>
      <c r="H19" s="3198">
        <v>0.36</v>
      </c>
      <c r="I19" s="3199">
        <f t="shared" si="15"/>
        <v>-0.25</v>
      </c>
      <c r="J19" s="3200"/>
      <c r="K19" s="3201">
        <f t="shared" si="16"/>
        <v>9.7000000000000003E-3</v>
      </c>
      <c r="L19" s="3202">
        <f t="shared" si="16"/>
        <v>1.6000000000000001E-3</v>
      </c>
      <c r="M19" s="3202">
        <f>F19/100</f>
        <v>-2.5000000000000001E-3</v>
      </c>
      <c r="N19" s="3202">
        <f t="shared" si="16"/>
        <v>1.11E-2</v>
      </c>
      <c r="O19" s="3202">
        <f t="shared" si="16"/>
        <v>3.5999999999999999E-3</v>
      </c>
      <c r="P19" s="3202">
        <f t="shared" si="36"/>
        <v>-2.5000000000000001E-3</v>
      </c>
      <c r="Q19" s="3200"/>
      <c r="R19" s="3203">
        <v>1</v>
      </c>
      <c r="S19" s="3203">
        <v>1</v>
      </c>
      <c r="T19" s="3203">
        <v>1</v>
      </c>
      <c r="U19" s="3203">
        <v>1</v>
      </c>
      <c r="V19" s="3203">
        <v>1</v>
      </c>
      <c r="W19" s="3203">
        <f t="shared" ref="W19" si="42">T19</f>
        <v>1</v>
      </c>
      <c r="X19" s="3200"/>
      <c r="Y19" s="3202">
        <f>IF(D19=0,0,ROUND(AVERAGE(D19:D19)/100,4))</f>
        <v>9.7000000000000003E-3</v>
      </c>
      <c r="Z19" s="3202">
        <f>IF(E19=0,0,ROUND(AVERAGE(E19:E19)/100,4))</f>
        <v>1.6000000000000001E-3</v>
      </c>
      <c r="AA19" s="3202">
        <f>IF(F19=0,0,ROUND(AVERAGE(F19:F19)/100,4))</f>
        <v>-2.5000000000000001E-3</v>
      </c>
      <c r="AB19" s="3202">
        <f>IF(G19=0,0,ROUND(AVERAGE(G19:G19)/100,4))</f>
        <v>1.11E-2</v>
      </c>
      <c r="AC19" s="3202">
        <f>IF(H19=0,0,ROUND(AVERAGE(H19:H19)/100,4))</f>
        <v>3.5999999999999999E-3</v>
      </c>
      <c r="AD19" s="3202">
        <f>AA19</f>
        <v>-2.5000000000000001E-3</v>
      </c>
    </row>
    <row r="20" spans="1:30" s="3006" customFormat="1" ht="15" thickTop="1"/>
    <row r="21" spans="1:30" s="3006" customFormat="1">
      <c r="A21" s="3445" t="s">
        <v>3364</v>
      </c>
    </row>
    <row r="22" spans="1:30" s="3006" customFormat="1">
      <c r="I22" s="3205" t="s">
        <v>2824</v>
      </c>
    </row>
    <row r="23" spans="1:30" s="3006" customFormat="1"/>
    <row r="24" spans="1:30" s="3206" customFormat="1" ht="13.2">
      <c r="B24" s="3207" t="s">
        <v>3370</v>
      </c>
      <c r="C24" s="3208"/>
      <c r="D24" s="3208"/>
      <c r="E24" s="3208"/>
      <c r="F24" s="3208"/>
      <c r="G24" s="3208"/>
      <c r="H24" s="3208"/>
      <c r="I24" s="3208"/>
      <c r="J24" s="3162"/>
      <c r="K24" s="3208" t="s">
        <v>2825</v>
      </c>
      <c r="L24" s="3208"/>
      <c r="M24" s="3208"/>
      <c r="N24" s="3208"/>
      <c r="O24" s="3208"/>
      <c r="P24" s="3208"/>
      <c r="Q24" s="3162"/>
      <c r="R24" s="3842" t="s">
        <v>2826</v>
      </c>
      <c r="S24" s="3843"/>
      <c r="T24" s="3843"/>
      <c r="U24" s="3843"/>
      <c r="V24" s="3843"/>
      <c r="W24" s="3843"/>
      <c r="X24" s="3162"/>
      <c r="Y24" s="3842" t="s">
        <v>2827</v>
      </c>
      <c r="Z24" s="3843"/>
      <c r="AA24" s="3843"/>
      <c r="AB24" s="3843"/>
      <c r="AC24" s="3843"/>
      <c r="AD24" s="3843"/>
    </row>
    <row r="25" spans="1:30" s="3140" customFormat="1" ht="15" thickBot="1">
      <c r="B25" s="3141"/>
      <c r="C25" s="3142"/>
      <c r="D25" s="3143" t="s">
        <v>2828</v>
      </c>
      <c r="E25" s="3144" t="s">
        <v>2829</v>
      </c>
      <c r="F25" s="3144" t="s">
        <v>2830</v>
      </c>
      <c r="G25" s="3144" t="s">
        <v>2831</v>
      </c>
      <c r="H25" s="3144"/>
      <c r="I25" s="3144" t="s">
        <v>2832</v>
      </c>
      <c r="J25" s="3145"/>
      <c r="K25" s="3143" t="s">
        <v>2828</v>
      </c>
      <c r="L25" s="3144" t="s">
        <v>2829</v>
      </c>
      <c r="M25" s="3144" t="s">
        <v>2830</v>
      </c>
      <c r="N25" s="3144" t="s">
        <v>2831</v>
      </c>
      <c r="O25" s="3144"/>
      <c r="P25" s="3144" t="s">
        <v>2832</v>
      </c>
      <c r="Q25" s="3145"/>
      <c r="R25" s="3143" t="s">
        <v>2828</v>
      </c>
      <c r="S25" s="3144" t="s">
        <v>2829</v>
      </c>
      <c r="T25" s="3144" t="s">
        <v>2830</v>
      </c>
      <c r="U25" s="3144" t="s">
        <v>2831</v>
      </c>
      <c r="V25" s="3144"/>
      <c r="W25" s="3144" t="s">
        <v>2832</v>
      </c>
      <c r="X25" s="3145"/>
      <c r="Y25" s="3143" t="s">
        <v>2828</v>
      </c>
      <c r="Z25" s="3144" t="s">
        <v>2829</v>
      </c>
      <c r="AA25" s="3144" t="s">
        <v>2830</v>
      </c>
      <c r="AB25" s="3144" t="s">
        <v>2831</v>
      </c>
      <c r="AC25" s="3144"/>
      <c r="AD25" s="3144" t="s">
        <v>2832</v>
      </c>
    </row>
    <row r="26" spans="1:30" s="3158" customFormat="1" ht="13.2">
      <c r="A26" s="3146" t="s">
        <v>2833</v>
      </c>
      <c r="B26" s="3147"/>
      <c r="C26" s="3148"/>
      <c r="D26" s="3148"/>
      <c r="E26" s="3148">
        <f t="shared" ref="E26:G26" si="43">ROUND(AVERAGEIF(E27:E42,"&lt;&gt;0"),2)</f>
        <v>0.38</v>
      </c>
      <c r="F26" s="3148">
        <f t="shared" si="43"/>
        <v>0.28999999999999998</v>
      </c>
      <c r="G26" s="3148">
        <f t="shared" si="43"/>
        <v>0.56999999999999995</v>
      </c>
      <c r="H26" s="3148"/>
      <c r="I26" s="3148">
        <f>F26</f>
        <v>0.28999999999999998</v>
      </c>
      <c r="J26" s="3149"/>
      <c r="K26" s="3150"/>
      <c r="L26" s="3151">
        <f t="shared" ref="L26:N26" si="44">ROUND(AVERAGEIF(L27:L42,"&lt;&gt;0"),4)</f>
        <v>3.8E-3</v>
      </c>
      <c r="M26" s="3151">
        <f t="shared" si="44"/>
        <v>2.8999999999999998E-3</v>
      </c>
      <c r="N26" s="3151">
        <f t="shared" si="44"/>
        <v>5.7000000000000002E-3</v>
      </c>
      <c r="O26" s="3151"/>
      <c r="P26" s="3151">
        <f>M26</f>
        <v>2.8999999999999998E-3</v>
      </c>
      <c r="Q26" s="3149"/>
      <c r="R26" s="3152"/>
      <c r="S26" s="3153">
        <f>ROUND(SUMPRODUCT(PRODUCT(1+L27:L42)),4)</f>
        <v>1.0502</v>
      </c>
      <c r="T26" s="3153">
        <f t="shared" ref="T26:U26" si="45">ROUND(SUMPRODUCT(PRODUCT(1+M27:M42)),4)</f>
        <v>1.0387999999999999</v>
      </c>
      <c r="U26" s="3153">
        <f t="shared" si="45"/>
        <v>1.0763</v>
      </c>
      <c r="V26" s="3153"/>
      <c r="W26" s="3152">
        <f>T26</f>
        <v>1.0387999999999999</v>
      </c>
      <c r="X26" s="3149"/>
      <c r="Y26" s="3154"/>
      <c r="Z26" s="3155">
        <f t="shared" ref="Z26:AB26" si="46">ROUND(AVERAGEIF(Z27:Z42,"&lt;&gt;0"),4)</f>
        <v>4.3E-3</v>
      </c>
      <c r="AA26" s="3156">
        <f t="shared" si="46"/>
        <v>3.5999999999999999E-3</v>
      </c>
      <c r="AB26" s="3154">
        <f t="shared" si="46"/>
        <v>8.8999999999999999E-3</v>
      </c>
      <c r="AC26" s="3157"/>
      <c r="AD26" s="3154">
        <f>AA26</f>
        <v>3.5999999999999999E-3</v>
      </c>
    </row>
    <row r="27" spans="1:30" s="3159" customFormat="1" ht="13.2">
      <c r="B27" s="3160"/>
      <c r="C27" s="3161"/>
      <c r="D27" s="3161"/>
      <c r="E27" s="3161"/>
      <c r="F27" s="3161"/>
      <c r="G27" s="3161"/>
      <c r="H27" s="3161"/>
      <c r="I27" s="3161"/>
      <c r="J27" s="3162"/>
      <c r="K27" s="3163"/>
      <c r="L27" s="3164"/>
      <c r="M27" s="3164"/>
      <c r="N27" s="3164"/>
      <c r="O27" s="3164"/>
      <c r="P27" s="3164"/>
      <c r="Q27" s="3162"/>
      <c r="R27" s="3165"/>
      <c r="S27" s="3166"/>
      <c r="T27" s="3167"/>
      <c r="U27" s="3165"/>
      <c r="V27" s="3168"/>
      <c r="W27" s="3165"/>
      <c r="X27" s="3162"/>
      <c r="Y27" s="3169"/>
      <c r="Z27" s="3170"/>
      <c r="AA27" s="3171"/>
      <c r="AB27" s="3169"/>
      <c r="AC27" s="3172"/>
      <c r="AD27" s="3169"/>
    </row>
    <row r="28" spans="1:30" s="3182" customFormat="1" ht="13.2">
      <c r="A28" s="2203" t="s">
        <v>3377</v>
      </c>
      <c r="B28" s="3174">
        <v>2024</v>
      </c>
      <c r="C28" s="3175">
        <v>3</v>
      </c>
      <c r="D28" s="3176"/>
      <c r="E28" s="3176">
        <v>0</v>
      </c>
      <c r="F28" s="3176">
        <v>0</v>
      </c>
      <c r="G28" s="3176">
        <v>0</v>
      </c>
      <c r="H28" s="3176"/>
      <c r="I28" s="3177">
        <f t="shared" ref="I28" si="47">F28</f>
        <v>0</v>
      </c>
      <c r="J28" s="3178"/>
      <c r="K28" s="3179"/>
      <c r="L28" s="3169">
        <f t="shared" ref="L28" si="48">E28/100</f>
        <v>0</v>
      </c>
      <c r="M28" s="3169">
        <f t="shared" ref="M28" si="49">F28/100</f>
        <v>0</v>
      </c>
      <c r="N28" s="3169">
        <f t="shared" ref="N28" si="50">G28/100</f>
        <v>0</v>
      </c>
      <c r="O28" s="3169"/>
      <c r="P28" s="3169">
        <f>M28</f>
        <v>0</v>
      </c>
      <c r="Q28" s="3178"/>
      <c r="R28" s="3180"/>
      <c r="S28" s="3180">
        <f>ROUND(IF(项目基本情况!$B$8="出让",SUMPRODUCT(PRODUCT(1+L28:L$42)),SUMPRODUCT(PRODUCT(1+L28:L$41))),4)</f>
        <v>1.0465</v>
      </c>
      <c r="T28" s="3180">
        <f>ROUND(IF(项目基本情况!$B$8="出让",SUMPRODUCT(PRODUCT(1+M28:M$42)),SUMPRODUCT(PRODUCT(1+M28:M$41))),4)</f>
        <v>1.0338000000000001</v>
      </c>
      <c r="U28" s="3180">
        <f>ROUND(IF(项目基本情况!$B$8="出让",SUMPRODUCT(PRODUCT(1+N28:N$42)),SUMPRODUCT(PRODUCT(1+N28:N$41))),4)</f>
        <v>1.0659000000000001</v>
      </c>
      <c r="V28" s="3180"/>
      <c r="W28" s="3180">
        <f>T28</f>
        <v>1.0338000000000001</v>
      </c>
      <c r="X28" s="3178"/>
      <c r="Y28" s="3181"/>
      <c r="Z28" s="3209">
        <f t="shared" ref="Z28:AB29" si="51">IF(E28=0,0,ROUND(AVERAGE(E28:E41)/100,4))</f>
        <v>0</v>
      </c>
      <c r="AA28" s="3209">
        <f t="shared" si="51"/>
        <v>0</v>
      </c>
      <c r="AB28" s="3209">
        <f t="shared" si="51"/>
        <v>0</v>
      </c>
      <c r="AC28" s="3210"/>
      <c r="AD28" s="3181">
        <f>IF(I28=0,0,ROUND(AVERAGE(I28:I41)/100,4))</f>
        <v>0</v>
      </c>
    </row>
    <row r="29" spans="1:30" s="3182" customFormat="1" ht="13.2">
      <c r="A29" s="2203" t="s">
        <v>3372</v>
      </c>
      <c r="B29" s="3174">
        <v>2024</v>
      </c>
      <c r="C29" s="3175">
        <v>2</v>
      </c>
      <c r="D29" s="3176"/>
      <c r="E29" s="3176">
        <v>0</v>
      </c>
      <c r="F29" s="3176">
        <v>0</v>
      </c>
      <c r="G29" s="3176">
        <v>0</v>
      </c>
      <c r="H29" s="3176"/>
      <c r="I29" s="3177">
        <f t="shared" ref="I29:I42" si="52">F29</f>
        <v>0</v>
      </c>
      <c r="J29" s="3178"/>
      <c r="K29" s="3179"/>
      <c r="L29" s="3169">
        <f t="shared" ref="L29:N42" si="53">E29/100</f>
        <v>0</v>
      </c>
      <c r="M29" s="3169">
        <f t="shared" si="53"/>
        <v>0</v>
      </c>
      <c r="N29" s="3169">
        <f t="shared" si="53"/>
        <v>0</v>
      </c>
      <c r="O29" s="3169"/>
      <c r="P29" s="3169">
        <f>M29</f>
        <v>0</v>
      </c>
      <c r="Q29" s="3178"/>
      <c r="R29" s="3180"/>
      <c r="S29" s="3180">
        <f>ROUND(IF(项目基本情况!$B$8="出让",SUMPRODUCT(PRODUCT(1+L29:L$42)),SUMPRODUCT(PRODUCT(1+L29:L$41))),4)</f>
        <v>1.0465</v>
      </c>
      <c r="T29" s="3180">
        <f>ROUND(IF(项目基本情况!$B$8="出让",SUMPRODUCT(PRODUCT(1+M29:M$42)),SUMPRODUCT(PRODUCT(1+M29:M$41))),4)</f>
        <v>1.0338000000000001</v>
      </c>
      <c r="U29" s="3180">
        <f>ROUND(IF(项目基本情况!$B$8="出让",SUMPRODUCT(PRODUCT(1+N29:N$42)),SUMPRODUCT(PRODUCT(1+N29:N$41))),4)</f>
        <v>1.0659000000000001</v>
      </c>
      <c r="V29" s="3180"/>
      <c r="W29" s="3180">
        <f>T29</f>
        <v>1.0338000000000001</v>
      </c>
      <c r="X29" s="3178"/>
      <c r="Y29" s="3181"/>
      <c r="Z29" s="3209">
        <f t="shared" si="51"/>
        <v>0</v>
      </c>
      <c r="AA29" s="3209">
        <f t="shared" si="51"/>
        <v>0</v>
      </c>
      <c r="AB29" s="3209">
        <f t="shared" si="51"/>
        <v>0</v>
      </c>
      <c r="AC29" s="3210"/>
      <c r="AD29" s="3181">
        <f>IF(I29=0,0,ROUND(AVERAGE(I29:I42)/100,4))</f>
        <v>0</v>
      </c>
    </row>
    <row r="30" spans="1:30" s="3192" customFormat="1" ht="13.2">
      <c r="A30" s="3183" t="s">
        <v>3374</v>
      </c>
      <c r="B30" s="3184">
        <v>2024</v>
      </c>
      <c r="C30" s="3185">
        <v>1</v>
      </c>
      <c r="D30" s="3186"/>
      <c r="E30" s="3186">
        <v>0.25</v>
      </c>
      <c r="F30" s="3186">
        <v>0.4</v>
      </c>
      <c r="G30" s="3186">
        <v>-0.63</v>
      </c>
      <c r="H30" s="3187"/>
      <c r="I30" s="3188">
        <f t="shared" ref="I30:I31" si="54">F30</f>
        <v>0.4</v>
      </c>
      <c r="J30" s="3189"/>
      <c r="K30" s="3190"/>
      <c r="L30" s="3191">
        <f t="shared" ref="L30" si="55">E30/100</f>
        <v>2.5000000000000001E-3</v>
      </c>
      <c r="M30" s="3191">
        <f t="shared" ref="M30" si="56">F30/100</f>
        <v>4.0000000000000001E-3</v>
      </c>
      <c r="N30" s="3191">
        <f t="shared" ref="N30" si="57">G30/100</f>
        <v>-6.3E-3</v>
      </c>
      <c r="O30" s="3191"/>
      <c r="P30" s="3191">
        <f t="shared" ref="P30" si="58">M30</f>
        <v>4.0000000000000001E-3</v>
      </c>
      <c r="Q30" s="3189"/>
      <c r="R30" s="3189"/>
      <c r="S30" s="3189">
        <f>ROUND(IF(项目基本情况!$B$8="出让",SUMPRODUCT(PRODUCT(1+L30:L$42)),SUMPRODUCT(PRODUCT(1+L30:L$41))),4)</f>
        <v>1.0465</v>
      </c>
      <c r="T30" s="3189">
        <f>ROUND(IF(项目基本情况!$B$8="出让",SUMPRODUCT(PRODUCT(1+M30:M$42)),SUMPRODUCT(PRODUCT(1+M30:M$41))),4)</f>
        <v>1.0338000000000001</v>
      </c>
      <c r="U30" s="3189">
        <f>ROUND(IF(项目基本情况!$B$8="出让",SUMPRODUCT(PRODUCT(1+N30:N$42)),SUMPRODUCT(PRODUCT(1+N30:N$41))),4)</f>
        <v>1.0659000000000001</v>
      </c>
      <c r="V30" s="3189"/>
      <c r="W30" s="3189">
        <f t="shared" ref="W30" si="59">T30</f>
        <v>1.0338000000000001</v>
      </c>
      <c r="X30" s="3189"/>
      <c r="Y30" s="3191"/>
      <c r="Z30" s="3212"/>
      <c r="AA30" s="3213"/>
      <c r="AB30" s="3191"/>
      <c r="AC30" s="3214"/>
      <c r="AD30" s="3191"/>
    </row>
    <row r="31" spans="1:30" s="3182" customFormat="1" ht="13.2">
      <c r="A31" s="3173" t="s">
        <v>3376</v>
      </c>
      <c r="B31" s="3174">
        <v>2023</v>
      </c>
      <c r="C31" s="3175">
        <v>4</v>
      </c>
      <c r="D31" s="3176"/>
      <c r="E31" s="3176">
        <v>7.0000000000000007E-2</v>
      </c>
      <c r="F31" s="3176">
        <v>0.09</v>
      </c>
      <c r="G31" s="3176">
        <v>0.03</v>
      </c>
      <c r="H31" s="3193"/>
      <c r="I31" s="3177">
        <f t="shared" si="54"/>
        <v>0.09</v>
      </c>
      <c r="J31" s="3178"/>
      <c r="K31" s="3179"/>
      <c r="L31" s="3169">
        <f t="shared" si="53"/>
        <v>7.000000000000001E-4</v>
      </c>
      <c r="M31" s="3169">
        <f t="shared" si="53"/>
        <v>8.9999999999999998E-4</v>
      </c>
      <c r="N31" s="3169">
        <f t="shared" si="53"/>
        <v>2.9999999999999997E-4</v>
      </c>
      <c r="O31" s="3169"/>
      <c r="P31" s="3169">
        <f t="shared" ref="P31" si="60">M31</f>
        <v>8.9999999999999998E-4</v>
      </c>
      <c r="Q31" s="3178"/>
      <c r="R31" s="3180"/>
      <c r="S31" s="3180">
        <f>ROUND(IF(项目基本情况!$B$8="出让",SUMPRODUCT(PRODUCT(1+L31:L$42)),SUMPRODUCT(PRODUCT(1+L31:L$41))),4)</f>
        <v>1.0439000000000001</v>
      </c>
      <c r="T31" s="3180">
        <f>ROUND(IF(项目基本情况!$B$8="出让",SUMPRODUCT(PRODUCT(1+M31:M$42)),SUMPRODUCT(PRODUCT(1+M31:M$41))),4)</f>
        <v>1.0297000000000001</v>
      </c>
      <c r="U31" s="3180">
        <f>ROUND(IF(项目基本情况!$B$8="出让",SUMPRODUCT(PRODUCT(1+N31:N$42)),SUMPRODUCT(PRODUCT(1+N31:N$41))),4)</f>
        <v>1.0727</v>
      </c>
      <c r="V31" s="3180"/>
      <c r="W31" s="3180">
        <f t="shared" ref="W31" si="61">T31</f>
        <v>1.0297000000000001</v>
      </c>
      <c r="X31" s="3178"/>
      <c r="Y31" s="3181"/>
      <c r="Z31" s="3209"/>
      <c r="AA31" s="3211"/>
      <c r="AB31" s="3181"/>
      <c r="AC31" s="3210"/>
      <c r="AD31" s="3181"/>
    </row>
    <row r="32" spans="1:30" s="3182" customFormat="1" ht="13.2">
      <c r="A32" s="3173" t="s">
        <v>3373</v>
      </c>
      <c r="B32" s="3174">
        <v>2023</v>
      </c>
      <c r="C32" s="3175">
        <v>3</v>
      </c>
      <c r="D32" s="3176"/>
      <c r="E32" s="3176">
        <v>0.35</v>
      </c>
      <c r="F32" s="3176">
        <v>0.17</v>
      </c>
      <c r="G32" s="3176">
        <v>0.52</v>
      </c>
      <c r="H32" s="3193"/>
      <c r="I32" s="3177">
        <f t="shared" si="52"/>
        <v>0.17</v>
      </c>
      <c r="J32" s="3178"/>
      <c r="K32" s="3179"/>
      <c r="L32" s="3169">
        <f t="shared" ref="L32:L34" si="62">E32/100</f>
        <v>3.4999999999999996E-3</v>
      </c>
      <c r="M32" s="3169">
        <f t="shared" ref="M32:M34" si="63">F32/100</f>
        <v>1.7000000000000001E-3</v>
      </c>
      <c r="N32" s="3169">
        <f t="shared" ref="N32:N34" si="64">G32/100</f>
        <v>5.1999999999999998E-3</v>
      </c>
      <c r="O32" s="3169"/>
      <c r="P32" s="3169">
        <f t="shared" ref="P32:P34" si="65">M32</f>
        <v>1.7000000000000001E-3</v>
      </c>
      <c r="Q32" s="3178"/>
      <c r="R32" s="3180"/>
      <c r="S32" s="3180">
        <f>ROUND(IF(项目基本情况!$B$8="出让",SUMPRODUCT(PRODUCT(1+L32:L$42)),SUMPRODUCT(PRODUCT(1+L32:L$41))),4)</f>
        <v>1.0431999999999999</v>
      </c>
      <c r="T32" s="3180">
        <f>ROUND(IF(项目基本情况!$B$8="出让",SUMPRODUCT(PRODUCT(1+M32:M$42)),SUMPRODUCT(PRODUCT(1+M32:M$41))),4)</f>
        <v>1.0286999999999999</v>
      </c>
      <c r="U32" s="3180">
        <f>ROUND(IF(项目基本情况!$B$8="出让",SUMPRODUCT(PRODUCT(1+N32:N$42)),SUMPRODUCT(PRODUCT(1+N32:N$41))),4)</f>
        <v>1.0723</v>
      </c>
      <c r="V32" s="3180"/>
      <c r="W32" s="3180">
        <f t="shared" ref="W32:W34" si="66">T32</f>
        <v>1.0286999999999999</v>
      </c>
      <c r="X32" s="3178"/>
      <c r="Y32" s="3181"/>
      <c r="Z32" s="3209"/>
      <c r="AA32" s="3211"/>
      <c r="AB32" s="3181"/>
      <c r="AC32" s="3210"/>
      <c r="AD32" s="3181"/>
    </row>
    <row r="33" spans="1:30" s="3182" customFormat="1" ht="13.2">
      <c r="A33" s="3173" t="s">
        <v>3371</v>
      </c>
      <c r="B33" s="3174">
        <v>2023</v>
      </c>
      <c r="C33" s="3175">
        <v>2</v>
      </c>
      <c r="D33" s="3176"/>
      <c r="E33" s="3176">
        <v>0.5</v>
      </c>
      <c r="F33" s="3176">
        <v>0.45</v>
      </c>
      <c r="G33" s="3176">
        <v>0.89</v>
      </c>
      <c r="H33" s="3193"/>
      <c r="I33" s="3177">
        <f t="shared" si="52"/>
        <v>0.45</v>
      </c>
      <c r="J33" s="3178"/>
      <c r="K33" s="3179"/>
      <c r="L33" s="3169">
        <f t="shared" si="62"/>
        <v>5.0000000000000001E-3</v>
      </c>
      <c r="M33" s="3169">
        <f t="shared" si="63"/>
        <v>4.5000000000000005E-3</v>
      </c>
      <c r="N33" s="3169">
        <f t="shared" si="64"/>
        <v>8.8999999999999999E-3</v>
      </c>
      <c r="O33" s="3169"/>
      <c r="P33" s="3169">
        <f t="shared" si="65"/>
        <v>4.5000000000000005E-3</v>
      </c>
      <c r="Q33" s="3178"/>
      <c r="R33" s="3180"/>
      <c r="S33" s="3180">
        <f>ROUND(IF(项目基本情况!$B$8="出让",SUMPRODUCT(PRODUCT(1+L33:L$42)),SUMPRODUCT(PRODUCT(1+L33:L$41))),4)</f>
        <v>1.0396000000000001</v>
      </c>
      <c r="T33" s="3180">
        <f>ROUND(IF(项目基本情况!$B$8="出让",SUMPRODUCT(PRODUCT(1+M33:M$42)),SUMPRODUCT(PRODUCT(1+M33:M$41))),4)</f>
        <v>1.0269999999999999</v>
      </c>
      <c r="U33" s="3180">
        <f>ROUND(IF(项目基本情况!$B$8="出让",SUMPRODUCT(PRODUCT(1+N33:N$42)),SUMPRODUCT(PRODUCT(1+N33:N$41))),4)</f>
        <v>1.0668</v>
      </c>
      <c r="V33" s="3180"/>
      <c r="W33" s="3180">
        <f t="shared" si="66"/>
        <v>1.0269999999999999</v>
      </c>
      <c r="X33" s="3178"/>
      <c r="Y33" s="3181"/>
      <c r="Z33" s="3209"/>
      <c r="AA33" s="3211"/>
      <c r="AB33" s="3181"/>
      <c r="AC33" s="3210"/>
      <c r="AD33" s="3181"/>
    </row>
    <row r="34" spans="1:30" s="3182" customFormat="1" ht="13.2">
      <c r="A34" s="3173" t="s">
        <v>3367</v>
      </c>
      <c r="B34" s="3174">
        <v>2023</v>
      </c>
      <c r="C34" s="3175">
        <v>1</v>
      </c>
      <c r="D34" s="3176"/>
      <c r="E34" s="3176">
        <v>0.55000000000000004</v>
      </c>
      <c r="F34" s="3176">
        <v>0.59</v>
      </c>
      <c r="G34" s="3176">
        <v>0.64</v>
      </c>
      <c r="H34" s="3193"/>
      <c r="I34" s="3177">
        <f t="shared" si="52"/>
        <v>0.59</v>
      </c>
      <c r="J34" s="3178"/>
      <c r="K34" s="3179"/>
      <c r="L34" s="3169">
        <f t="shared" si="62"/>
        <v>5.5000000000000005E-3</v>
      </c>
      <c r="M34" s="3169">
        <f t="shared" si="63"/>
        <v>5.8999999999999999E-3</v>
      </c>
      <c r="N34" s="3169">
        <f t="shared" si="64"/>
        <v>6.4000000000000003E-3</v>
      </c>
      <c r="O34" s="3169"/>
      <c r="P34" s="3169">
        <f t="shared" si="65"/>
        <v>5.8999999999999999E-3</v>
      </c>
      <c r="Q34" s="3178"/>
      <c r="R34" s="3180"/>
      <c r="S34" s="3180">
        <f>ROUND(IF(项目基本情况!$B$8="出让",SUMPRODUCT(PRODUCT(1+L34:L$42)),SUMPRODUCT(PRODUCT(1+L34:L$41))),4)</f>
        <v>1.0344</v>
      </c>
      <c r="T34" s="3180">
        <f>ROUND(IF(项目基本情况!$B$8="出让",SUMPRODUCT(PRODUCT(1+M34:M$42)),SUMPRODUCT(PRODUCT(1+M34:M$41))),4)</f>
        <v>1.0224</v>
      </c>
      <c r="U34" s="3180">
        <f>ROUND(IF(项目基本情况!$B$8="出让",SUMPRODUCT(PRODUCT(1+N34:N$42)),SUMPRODUCT(PRODUCT(1+N34:N$41))),4)</f>
        <v>1.0573999999999999</v>
      </c>
      <c r="V34" s="3180"/>
      <c r="W34" s="3180">
        <f t="shared" si="66"/>
        <v>1.0224</v>
      </c>
      <c r="X34" s="3178"/>
      <c r="Y34" s="3181"/>
      <c r="Z34" s="3209"/>
      <c r="AA34" s="3211"/>
      <c r="AB34" s="3181"/>
      <c r="AC34" s="3210"/>
      <c r="AD34" s="3181"/>
    </row>
    <row r="35" spans="1:30" s="3182" customFormat="1" ht="13.2">
      <c r="A35" s="3173" t="s">
        <v>3366</v>
      </c>
      <c r="B35" s="3174">
        <v>2022</v>
      </c>
      <c r="C35" s="3175">
        <v>4</v>
      </c>
      <c r="D35" s="3176"/>
      <c r="E35" s="3176">
        <v>0.45</v>
      </c>
      <c r="F35" s="3176">
        <v>0.2</v>
      </c>
      <c r="G35" s="3176">
        <v>0.38</v>
      </c>
      <c r="H35" s="3193"/>
      <c r="I35" s="3177">
        <f t="shared" si="52"/>
        <v>0.2</v>
      </c>
      <c r="J35" s="3178"/>
      <c r="K35" s="3179"/>
      <c r="L35" s="3169">
        <f t="shared" si="53"/>
        <v>4.5000000000000005E-3</v>
      </c>
      <c r="M35" s="3169">
        <f t="shared" si="53"/>
        <v>2E-3</v>
      </c>
      <c r="N35" s="3169">
        <f t="shared" si="53"/>
        <v>3.8E-3</v>
      </c>
      <c r="O35" s="3169"/>
      <c r="P35" s="3169">
        <f t="shared" ref="P35:P42" si="67">M35</f>
        <v>2E-3</v>
      </c>
      <c r="Q35" s="3178"/>
      <c r="R35" s="3180"/>
      <c r="S35" s="3180">
        <f>ROUND(IF(项目基本情况!$B$8="出让",SUMPRODUCT(PRODUCT(1+L35:L$42)),SUMPRODUCT(PRODUCT(1+L35:L$41))),4)</f>
        <v>1.0286999999999999</v>
      </c>
      <c r="T35" s="3180">
        <f>ROUND(IF(项目基本情况!$B$8="出让",SUMPRODUCT(PRODUCT(1+M35:M$42)),SUMPRODUCT(PRODUCT(1+M35:M$41))),4)</f>
        <v>1.0164</v>
      </c>
      <c r="U35" s="3180">
        <f>ROUND(IF(项目基本情况!$B$8="出让",SUMPRODUCT(PRODUCT(1+N35:N$42)),SUMPRODUCT(PRODUCT(1+N35:N$41))),4)</f>
        <v>1.0506</v>
      </c>
      <c r="V35" s="3180"/>
      <c r="W35" s="3180">
        <f t="shared" ref="W35:W42" si="68">T35</f>
        <v>1.0164</v>
      </c>
      <c r="X35" s="3178"/>
      <c r="Y35" s="3181"/>
      <c r="Z35" s="3209">
        <f t="shared" ref="Z35:AD42" si="69">IF(E35=0,0,ROUND(AVERAGE(E35:E43)/100,4))</f>
        <v>4.0000000000000001E-3</v>
      </c>
      <c r="AA35" s="3211">
        <f t="shared" si="69"/>
        <v>2.5999999999999999E-3</v>
      </c>
      <c r="AB35" s="3181">
        <f t="shared" si="69"/>
        <v>7.4000000000000003E-3</v>
      </c>
      <c r="AC35" s="3210"/>
      <c r="AD35" s="3181">
        <f t="shared" si="69"/>
        <v>2.5999999999999999E-3</v>
      </c>
    </row>
    <row r="36" spans="1:30" s="3182" customFormat="1" ht="13.2">
      <c r="A36" s="3173" t="s">
        <v>3363</v>
      </c>
      <c r="B36" s="3174">
        <v>2022</v>
      </c>
      <c r="C36" s="3175">
        <v>3</v>
      </c>
      <c r="D36" s="3176"/>
      <c r="E36" s="3176">
        <v>0.3</v>
      </c>
      <c r="F36" s="3176">
        <v>0.28999999999999998</v>
      </c>
      <c r="G36" s="3176">
        <v>0.83</v>
      </c>
      <c r="H36" s="3193"/>
      <c r="I36" s="3177">
        <f t="shared" si="52"/>
        <v>0.28999999999999998</v>
      </c>
      <c r="J36" s="3178"/>
      <c r="K36" s="3179"/>
      <c r="L36" s="3169">
        <f t="shared" si="53"/>
        <v>3.0000000000000001E-3</v>
      </c>
      <c r="M36" s="3169">
        <f t="shared" si="53"/>
        <v>2.8999999999999998E-3</v>
      </c>
      <c r="N36" s="3169">
        <f t="shared" si="53"/>
        <v>8.3000000000000001E-3</v>
      </c>
      <c r="O36" s="3169"/>
      <c r="P36" s="3169">
        <f t="shared" si="67"/>
        <v>2.8999999999999998E-3</v>
      </c>
      <c r="Q36" s="3178"/>
      <c r="R36" s="3180"/>
      <c r="S36" s="3180">
        <f>ROUND(IF(项目基本情况!$B$8="出让",SUMPRODUCT(PRODUCT(1+L36:L$42)),SUMPRODUCT(PRODUCT(1+L36:L$41))),4)</f>
        <v>1.0241</v>
      </c>
      <c r="T36" s="3180">
        <f>ROUND(IF(项目基本情况!$B$8="出让",SUMPRODUCT(PRODUCT(1+M36:M$42)),SUMPRODUCT(PRODUCT(1+M36:M$41))),4)</f>
        <v>1.0144</v>
      </c>
      <c r="U36" s="3180">
        <f>ROUND(IF(项目基本情况!$B$8="出让",SUMPRODUCT(PRODUCT(1+N36:N$42)),SUMPRODUCT(PRODUCT(1+N36:N$41))),4)</f>
        <v>1.0467</v>
      </c>
      <c r="V36" s="3180"/>
      <c r="W36" s="3180">
        <f t="shared" si="68"/>
        <v>1.0144</v>
      </c>
      <c r="X36" s="3178"/>
      <c r="Y36" s="3181"/>
      <c r="Z36" s="3209">
        <f t="shared" si="69"/>
        <v>3.8999999999999998E-3</v>
      </c>
      <c r="AA36" s="3211">
        <f t="shared" si="69"/>
        <v>2.7000000000000001E-3</v>
      </c>
      <c r="AB36" s="3181">
        <f t="shared" si="69"/>
        <v>7.9000000000000008E-3</v>
      </c>
      <c r="AC36" s="3210"/>
      <c r="AD36" s="3181">
        <f t="shared" si="69"/>
        <v>2.7000000000000001E-3</v>
      </c>
    </row>
    <row r="37" spans="1:30" s="3182" customFormat="1" ht="13.2">
      <c r="A37" s="3173" t="s">
        <v>3353</v>
      </c>
      <c r="B37" s="3174">
        <v>2022</v>
      </c>
      <c r="C37" s="3175">
        <v>2</v>
      </c>
      <c r="D37" s="3176"/>
      <c r="E37" s="3176">
        <v>-0.11</v>
      </c>
      <c r="F37" s="3176">
        <v>-0.13</v>
      </c>
      <c r="G37" s="3176">
        <v>0.53</v>
      </c>
      <c r="H37" s="3193"/>
      <c r="I37" s="3177">
        <f t="shared" si="52"/>
        <v>-0.13</v>
      </c>
      <c r="J37" s="3178"/>
      <c r="K37" s="3179"/>
      <c r="L37" s="3169">
        <f t="shared" si="53"/>
        <v>-1.1000000000000001E-3</v>
      </c>
      <c r="M37" s="3169">
        <f t="shared" si="53"/>
        <v>-1.2999999999999999E-3</v>
      </c>
      <c r="N37" s="3169">
        <f t="shared" si="53"/>
        <v>5.3E-3</v>
      </c>
      <c r="O37" s="3169"/>
      <c r="P37" s="3169">
        <f t="shared" si="67"/>
        <v>-1.2999999999999999E-3</v>
      </c>
      <c r="Q37" s="3178"/>
      <c r="R37" s="3180"/>
      <c r="S37" s="3180">
        <f>ROUND(IF(项目基本情况!$B$8="出让",SUMPRODUCT(PRODUCT(1+L37:L$42)),SUMPRODUCT(PRODUCT(1+L37:L$41))),4)</f>
        <v>1.0210999999999999</v>
      </c>
      <c r="T37" s="3180">
        <f>ROUND(IF(项目基本情况!$B$8="出让",SUMPRODUCT(PRODUCT(1+M37:M$42)),SUMPRODUCT(PRODUCT(1+M37:M$41))),4)</f>
        <v>1.0114000000000001</v>
      </c>
      <c r="U37" s="3180">
        <f>ROUND(IF(项目基本情况!$B$8="出让",SUMPRODUCT(PRODUCT(1+N37:N$42)),SUMPRODUCT(PRODUCT(1+N37:N$41))),4)</f>
        <v>1.0381</v>
      </c>
      <c r="V37" s="3180"/>
      <c r="W37" s="3180">
        <f t="shared" si="68"/>
        <v>1.0114000000000001</v>
      </c>
      <c r="X37" s="3178"/>
      <c r="Y37" s="3181"/>
      <c r="Z37" s="3209">
        <f t="shared" si="69"/>
        <v>4.1000000000000003E-3</v>
      </c>
      <c r="AA37" s="3211">
        <f t="shared" si="69"/>
        <v>2.7000000000000001E-3</v>
      </c>
      <c r="AB37" s="3181">
        <f t="shared" si="69"/>
        <v>7.9000000000000008E-3</v>
      </c>
      <c r="AC37" s="3210"/>
      <c r="AD37" s="3181">
        <f t="shared" si="69"/>
        <v>2.7000000000000001E-3</v>
      </c>
    </row>
    <row r="38" spans="1:30" s="3182" customFormat="1" ht="13.2">
      <c r="A38" s="3173" t="s">
        <v>2834</v>
      </c>
      <c r="B38" s="3174">
        <v>2022</v>
      </c>
      <c r="C38" s="3175">
        <v>1</v>
      </c>
      <c r="D38" s="3176"/>
      <c r="E38" s="3176">
        <v>0.6</v>
      </c>
      <c r="F38" s="3176">
        <v>0.45</v>
      </c>
      <c r="G38" s="3176">
        <v>0.53</v>
      </c>
      <c r="H38" s="3193"/>
      <c r="I38" s="3177">
        <f t="shared" si="52"/>
        <v>0.45</v>
      </c>
      <c r="J38" s="3178"/>
      <c r="K38" s="3179"/>
      <c r="L38" s="3169">
        <f t="shared" si="53"/>
        <v>6.0000000000000001E-3</v>
      </c>
      <c r="M38" s="3169">
        <f t="shared" si="53"/>
        <v>4.5000000000000005E-3</v>
      </c>
      <c r="N38" s="3169">
        <f t="shared" si="53"/>
        <v>5.3E-3</v>
      </c>
      <c r="O38" s="3169"/>
      <c r="P38" s="3169">
        <f t="shared" si="67"/>
        <v>4.5000000000000005E-3</v>
      </c>
      <c r="Q38" s="3178"/>
      <c r="R38" s="3180"/>
      <c r="S38" s="3180">
        <f>ROUND(IF(项目基本情况!$B$8="出让",SUMPRODUCT(PRODUCT(1+L38:L$42)),SUMPRODUCT(PRODUCT(1+L38:L$41))),4)</f>
        <v>1.0222</v>
      </c>
      <c r="T38" s="3180">
        <f>ROUND(IF(项目基本情况!$B$8="出让",SUMPRODUCT(PRODUCT(1+M38:M$42)),SUMPRODUCT(PRODUCT(1+M38:M$41))),4)</f>
        <v>1.0127999999999999</v>
      </c>
      <c r="U38" s="3180">
        <f>ROUND(IF(项目基本情况!$B$8="出让",SUMPRODUCT(PRODUCT(1+N38:N$42)),SUMPRODUCT(PRODUCT(1+N38:N$41))),4)</f>
        <v>1.0326</v>
      </c>
      <c r="V38" s="3180"/>
      <c r="W38" s="3180">
        <f t="shared" si="68"/>
        <v>1.0127999999999999</v>
      </c>
      <c r="X38" s="3178"/>
      <c r="Y38" s="3181"/>
      <c r="Z38" s="3209">
        <f t="shared" si="69"/>
        <v>5.1000000000000004E-3</v>
      </c>
      <c r="AA38" s="3211">
        <f t="shared" si="69"/>
        <v>3.5000000000000001E-3</v>
      </c>
      <c r="AB38" s="3181">
        <f t="shared" si="69"/>
        <v>8.3999999999999995E-3</v>
      </c>
      <c r="AC38" s="3210"/>
      <c r="AD38" s="3181">
        <f t="shared" si="69"/>
        <v>3.5000000000000001E-3</v>
      </c>
    </row>
    <row r="39" spans="1:30" s="3182" customFormat="1" ht="13.2">
      <c r="A39" s="3173" t="s">
        <v>2835</v>
      </c>
      <c r="B39" s="3174">
        <v>2021</v>
      </c>
      <c r="C39" s="3175">
        <v>4</v>
      </c>
      <c r="D39" s="3176"/>
      <c r="E39" s="3176">
        <v>0.57999999999999996</v>
      </c>
      <c r="F39" s="3176">
        <v>0.08</v>
      </c>
      <c r="G39" s="3176">
        <v>0.68</v>
      </c>
      <c r="H39" s="3193"/>
      <c r="I39" s="3177">
        <f t="shared" si="52"/>
        <v>0.08</v>
      </c>
      <c r="J39" s="3178"/>
      <c r="K39" s="3179"/>
      <c r="L39" s="3169">
        <f t="shared" si="53"/>
        <v>5.7999999999999996E-3</v>
      </c>
      <c r="M39" s="3169">
        <f t="shared" si="53"/>
        <v>8.0000000000000004E-4</v>
      </c>
      <c r="N39" s="3169">
        <f t="shared" si="53"/>
        <v>6.8000000000000005E-3</v>
      </c>
      <c r="O39" s="3169"/>
      <c r="P39" s="3169">
        <f t="shared" si="67"/>
        <v>8.0000000000000004E-4</v>
      </c>
      <c r="Q39" s="3178"/>
      <c r="R39" s="3180"/>
      <c r="S39" s="3180">
        <f>ROUND(IF(项目基本情况!$B$8="出让",SUMPRODUCT(PRODUCT(1+L39:L$42)),SUMPRODUCT(PRODUCT(1+L39:L$41))),4)</f>
        <v>1.0161</v>
      </c>
      <c r="T39" s="3180">
        <f>ROUND(IF(项目基本情况!$B$8="出让",SUMPRODUCT(PRODUCT(1+M39:M$42)),SUMPRODUCT(PRODUCT(1+M39:M$41))),4)</f>
        <v>1.0082</v>
      </c>
      <c r="U39" s="3180">
        <f>ROUND(IF(项目基本情况!$B$8="出让",SUMPRODUCT(PRODUCT(1+N39:N$42)),SUMPRODUCT(PRODUCT(1+N39:N$41))),4)</f>
        <v>1.0270999999999999</v>
      </c>
      <c r="V39" s="3180"/>
      <c r="W39" s="3180">
        <f t="shared" si="68"/>
        <v>1.0082</v>
      </c>
      <c r="X39" s="3178"/>
      <c r="Y39" s="3181"/>
      <c r="Z39" s="3209">
        <f t="shared" si="69"/>
        <v>4.8999999999999998E-3</v>
      </c>
      <c r="AA39" s="3211">
        <f t="shared" si="69"/>
        <v>3.3E-3</v>
      </c>
      <c r="AB39" s="3181">
        <f t="shared" si="69"/>
        <v>9.1999999999999998E-3</v>
      </c>
      <c r="AC39" s="3210"/>
      <c r="AD39" s="3181">
        <f t="shared" si="69"/>
        <v>3.3E-3</v>
      </c>
    </row>
    <row r="40" spans="1:30" s="3182" customFormat="1" ht="13.2">
      <c r="A40" s="3173" t="s">
        <v>2836</v>
      </c>
      <c r="B40" s="3174">
        <v>2021</v>
      </c>
      <c r="C40" s="3175">
        <v>3</v>
      </c>
      <c r="D40" s="3176"/>
      <c r="E40" s="3176">
        <v>0.47</v>
      </c>
      <c r="F40" s="3176">
        <v>0.28000000000000003</v>
      </c>
      <c r="G40" s="3176">
        <v>0.91</v>
      </c>
      <c r="H40" s="3193"/>
      <c r="I40" s="3177">
        <f t="shared" si="52"/>
        <v>0.28000000000000003</v>
      </c>
      <c r="J40" s="3178"/>
      <c r="K40" s="3179"/>
      <c r="L40" s="3169">
        <f t="shared" si="53"/>
        <v>4.6999999999999993E-3</v>
      </c>
      <c r="M40" s="3169">
        <f t="shared" si="53"/>
        <v>2.8000000000000004E-3</v>
      </c>
      <c r="N40" s="3169">
        <f t="shared" si="53"/>
        <v>9.1000000000000004E-3</v>
      </c>
      <c r="O40" s="3169"/>
      <c r="P40" s="3169">
        <f t="shared" si="67"/>
        <v>2.8000000000000004E-3</v>
      </c>
      <c r="Q40" s="3178"/>
      <c r="R40" s="3180"/>
      <c r="S40" s="3180">
        <f>ROUND(IF(项目基本情况!$B$8="出让",SUMPRODUCT(PRODUCT(1+L40:L$42)),SUMPRODUCT(PRODUCT(1+L40:L$41))),4)</f>
        <v>1.0102</v>
      </c>
      <c r="T40" s="3180">
        <f>ROUND(IF(项目基本情况!$B$8="出让",SUMPRODUCT(PRODUCT(1+M40:M$42)),SUMPRODUCT(PRODUCT(1+M40:M$41))),4)</f>
        <v>1.0074000000000001</v>
      </c>
      <c r="U40" s="3180">
        <f>ROUND(IF(项目基本情况!$B$8="出让",SUMPRODUCT(PRODUCT(1+N40:N$42)),SUMPRODUCT(PRODUCT(1+N40:N$41))),4)</f>
        <v>1.0202</v>
      </c>
      <c r="V40" s="3180"/>
      <c r="W40" s="3180">
        <f t="shared" si="68"/>
        <v>1.0074000000000001</v>
      </c>
      <c r="X40" s="3178"/>
      <c r="Y40" s="3181"/>
      <c r="Z40" s="3209">
        <f t="shared" si="69"/>
        <v>4.5999999999999999E-3</v>
      </c>
      <c r="AA40" s="3211">
        <f t="shared" si="69"/>
        <v>4.1000000000000003E-3</v>
      </c>
      <c r="AB40" s="3181">
        <f t="shared" si="69"/>
        <v>0.01</v>
      </c>
      <c r="AC40" s="3210"/>
      <c r="AD40" s="3181">
        <f t="shared" si="69"/>
        <v>4.1000000000000003E-3</v>
      </c>
    </row>
    <row r="41" spans="1:30" s="3182" customFormat="1" ht="13.2">
      <c r="A41" s="3173" t="s">
        <v>2837</v>
      </c>
      <c r="B41" s="3174">
        <v>2021</v>
      </c>
      <c r="C41" s="3175">
        <v>2</v>
      </c>
      <c r="D41" s="3176"/>
      <c r="E41" s="3176">
        <v>0.55000000000000004</v>
      </c>
      <c r="F41" s="3176">
        <v>0.46</v>
      </c>
      <c r="G41" s="3176">
        <v>1.1000000000000001</v>
      </c>
      <c r="H41" s="3193"/>
      <c r="I41" s="3177">
        <f t="shared" si="52"/>
        <v>0.46</v>
      </c>
      <c r="J41" s="3178"/>
      <c r="K41" s="3179"/>
      <c r="L41" s="3169">
        <f t="shared" si="53"/>
        <v>5.5000000000000005E-3</v>
      </c>
      <c r="M41" s="3169">
        <f t="shared" si="53"/>
        <v>4.5999999999999999E-3</v>
      </c>
      <c r="N41" s="3169">
        <f t="shared" si="53"/>
        <v>1.1000000000000001E-2</v>
      </c>
      <c r="O41" s="3169"/>
      <c r="P41" s="3169">
        <f t="shared" si="67"/>
        <v>4.5999999999999999E-3</v>
      </c>
      <c r="Q41" s="3178"/>
      <c r="R41" s="3180"/>
      <c r="S41" s="3180">
        <f>ROUND(IF(项目基本情况!$B$8="出让",SUMPRODUCT(PRODUCT(1+L41:L$42)),SUMPRODUCT(PRODUCT(1+L41:L$41))),4)</f>
        <v>1.0055000000000001</v>
      </c>
      <c r="T41" s="3180">
        <f>ROUND(IF(项目基本情况!$B$8="出让",SUMPRODUCT(PRODUCT(1+M41:M$42)),SUMPRODUCT(PRODUCT(1+M41:M$41))),4)</f>
        <v>1.0045999999999999</v>
      </c>
      <c r="U41" s="3180">
        <f>ROUND(IF(项目基本情况!$B$8="出让",SUMPRODUCT(PRODUCT(1+N41:N$42)),SUMPRODUCT(PRODUCT(1+N41:N$41))),4)</f>
        <v>1.0109999999999999</v>
      </c>
      <c r="V41" s="3180"/>
      <c r="W41" s="3180">
        <f t="shared" si="68"/>
        <v>1.0045999999999999</v>
      </c>
      <c r="X41" s="3178"/>
      <c r="Y41" s="3181"/>
      <c r="Z41" s="3209">
        <f t="shared" si="69"/>
        <v>4.4999999999999997E-3</v>
      </c>
      <c r="AA41" s="3211">
        <f t="shared" si="69"/>
        <v>4.7000000000000002E-3</v>
      </c>
      <c r="AB41" s="3181">
        <f t="shared" si="69"/>
        <v>1.04E-2</v>
      </c>
      <c r="AC41" s="3210"/>
      <c r="AD41" s="3181">
        <f t="shared" si="69"/>
        <v>4.7000000000000002E-3</v>
      </c>
    </row>
    <row r="42" spans="1:30" s="3204" customFormat="1" ht="13.8" thickBot="1">
      <c r="A42" s="3194" t="s">
        <v>2823</v>
      </c>
      <c r="B42" s="3195">
        <v>2021</v>
      </c>
      <c r="C42" s="3196">
        <v>1</v>
      </c>
      <c r="D42" s="3197"/>
      <c r="E42" s="3197">
        <v>0.35</v>
      </c>
      <c r="F42" s="3197">
        <v>0.48</v>
      </c>
      <c r="G42" s="3197">
        <v>0.98</v>
      </c>
      <c r="H42" s="3198"/>
      <c r="I42" s="3199">
        <f t="shared" si="52"/>
        <v>0.48</v>
      </c>
      <c r="J42" s="3200"/>
      <c r="K42" s="3201"/>
      <c r="L42" s="3202">
        <f t="shared" si="53"/>
        <v>3.4999999999999996E-3</v>
      </c>
      <c r="M42" s="3202">
        <f>F42/100</f>
        <v>4.7999999999999996E-3</v>
      </c>
      <c r="N42" s="3202">
        <f t="shared" si="53"/>
        <v>9.7999999999999997E-3</v>
      </c>
      <c r="O42" s="3202"/>
      <c r="P42" s="3202">
        <f t="shared" si="67"/>
        <v>4.7999999999999996E-3</v>
      </c>
      <c r="Q42" s="3200"/>
      <c r="R42" s="3203"/>
      <c r="S42" s="3203">
        <v>1</v>
      </c>
      <c r="T42" s="3203">
        <v>1</v>
      </c>
      <c r="U42" s="3203">
        <v>1</v>
      </c>
      <c r="V42" s="3203"/>
      <c r="W42" s="3203">
        <f t="shared" si="68"/>
        <v>1</v>
      </c>
      <c r="X42" s="3200"/>
      <c r="Y42" s="3202"/>
      <c r="Z42" s="3215">
        <f t="shared" si="69"/>
        <v>3.5000000000000001E-3</v>
      </c>
      <c r="AA42" s="3216">
        <f t="shared" si="69"/>
        <v>4.7999999999999996E-3</v>
      </c>
      <c r="AB42" s="3202">
        <f t="shared" si="69"/>
        <v>9.7999999999999997E-3</v>
      </c>
      <c r="AC42" s="3217"/>
      <c r="AD42" s="3202">
        <f t="shared" si="69"/>
        <v>4.7999999999999996E-3</v>
      </c>
    </row>
    <row r="43" spans="1:30" ht="15" thickTop="1"/>
    <row r="44" spans="1:30">
      <c r="A44" s="3445" t="s">
        <v>3365</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849" t="s">
        <v>452</v>
      </c>
      <c r="C1" s="3849"/>
      <c r="D1" s="3849"/>
      <c r="E1" s="3849"/>
      <c r="F1" s="3849"/>
      <c r="G1" s="3845" t="s">
        <v>453</v>
      </c>
      <c r="H1" s="3845"/>
      <c r="I1" s="3845"/>
      <c r="J1" s="3845"/>
      <c r="K1" s="3845"/>
      <c r="L1" s="3845"/>
      <c r="N1" s="3845" t="s">
        <v>454</v>
      </c>
      <c r="O1" s="3845"/>
      <c r="P1" s="3845"/>
      <c r="Q1" s="3845"/>
      <c r="S1" s="3845" t="s">
        <v>455</v>
      </c>
      <c r="T1" s="3845"/>
      <c r="U1" s="3845"/>
      <c r="V1" s="3845"/>
      <c r="X1" s="3844" t="s">
        <v>456</v>
      </c>
      <c r="Y1" s="3845"/>
      <c r="Z1" s="3845"/>
      <c r="AA1" s="3845"/>
      <c r="AB1" s="3845"/>
      <c r="AD1" s="3844" t="s">
        <v>457</v>
      </c>
      <c r="AE1" s="3845"/>
      <c r="AF1" s="3845"/>
      <c r="AG1" s="3845"/>
      <c r="AH1" s="3845"/>
    </row>
    <row r="2" spans="1:34" s="2170" customFormat="1" ht="15" thickBot="1">
      <c r="B2" s="2171" t="s">
        <v>458</v>
      </c>
      <c r="C2" s="2171" t="s">
        <v>459</v>
      </c>
      <c r="D2" s="2172" t="s">
        <v>460</v>
      </c>
      <c r="E2" s="2172" t="s">
        <v>461</v>
      </c>
      <c r="F2" s="2171" t="s">
        <v>462</v>
      </c>
      <c r="G2" s="2173"/>
      <c r="I2" s="2171" t="s">
        <v>458</v>
      </c>
      <c r="J2" s="2172" t="s">
        <v>674</v>
      </c>
      <c r="K2" s="2172" t="s">
        <v>308</v>
      </c>
      <c r="L2" s="2171" t="s">
        <v>462</v>
      </c>
      <c r="N2" s="2171" t="s">
        <v>458</v>
      </c>
      <c r="O2" s="2172" t="s">
        <v>674</v>
      </c>
      <c r="P2" s="2172" t="s">
        <v>308</v>
      </c>
      <c r="Q2" s="2171" t="s">
        <v>462</v>
      </c>
      <c r="S2" s="2171" t="s">
        <v>458</v>
      </c>
      <c r="T2" s="2172" t="s">
        <v>674</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2109</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3361</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3358</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2110</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3359</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3360</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2125</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2123</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2122</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2121</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2119</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2118</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2120</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4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2116</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4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2115</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4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2108</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2106</v>
      </c>
      <c r="B25" s="2218">
        <v>439</v>
      </c>
      <c r="C25" s="2218">
        <v>327</v>
      </c>
      <c r="D25" s="2218">
        <f>C25</f>
        <v>327</v>
      </c>
      <c r="E25" s="2218">
        <v>627</v>
      </c>
      <c r="F25" s="2219">
        <v>283</v>
      </c>
      <c r="G25" s="385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2107</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4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675</v>
      </c>
      <c r="B27" s="2204">
        <f t="shared" si="232"/>
        <v>419.31181600000002</v>
      </c>
      <c r="C27" s="2204">
        <f t="shared" si="233"/>
        <v>313.95436800000004</v>
      </c>
      <c r="D27" s="2204">
        <f t="shared" si="234"/>
        <v>313.95436800000004</v>
      </c>
      <c r="E27" s="2204">
        <f t="shared" si="235"/>
        <v>596.63028431999999</v>
      </c>
      <c r="F27" s="2204">
        <f t="shared" si="236"/>
        <v>274.74220703999998</v>
      </c>
      <c r="G27" s="384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4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4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4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84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4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4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4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84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4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4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4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85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84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4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4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84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84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4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4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4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84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4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4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4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84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4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4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4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84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4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4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4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84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4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4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4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84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4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4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4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84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4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4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4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84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4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4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4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84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4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47">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848">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84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4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47">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848">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5" customWidth="1"/>
    <col min="2" max="9" width="12.109375" style="1475" customWidth="1"/>
    <col min="10" max="16384" width="9" style="1475"/>
  </cols>
  <sheetData>
    <row r="1" spans="1:9" ht="18" thickBot="1">
      <c r="A1" s="3526" t="str">
        <f>IF(项目基本情况!B9="房地产市场价值","估价结果一览表","结果表-2")</f>
        <v>结果表-2</v>
      </c>
      <c r="B1" s="3526"/>
      <c r="C1" s="3526"/>
      <c r="D1" s="3526"/>
      <c r="E1" s="3526"/>
      <c r="F1" s="3526"/>
      <c r="G1" s="3526"/>
      <c r="H1" s="3526"/>
      <c r="I1" s="3526"/>
    </row>
    <row r="2" spans="1:9" ht="30" customHeight="1" thickTop="1">
      <c r="A2" s="3527" t="s">
        <v>926</v>
      </c>
      <c r="B2" s="3527" t="s">
        <v>927</v>
      </c>
      <c r="C2" s="3527" t="s">
        <v>928</v>
      </c>
      <c r="D2" s="3527" t="str">
        <f>结果表110!D116</f>
        <v>出让国有建设用地使用权价值</v>
      </c>
      <c r="E2" s="3527"/>
      <c r="F2" s="3527" t="str">
        <f>结果表110!F116</f>
        <v>在建建筑物价值</v>
      </c>
      <c r="G2" s="3527"/>
      <c r="H2" s="3527" t="str">
        <f>IF(项目基本情况!B9="房地产市场价值","房地产市场价值","房地产价值")</f>
        <v>房地产价值</v>
      </c>
      <c r="I2" s="3527"/>
    </row>
    <row r="3" spans="1:9" ht="15.6">
      <c r="A3" s="3528"/>
      <c r="B3" s="3528"/>
      <c r="C3" s="3528"/>
      <c r="D3" s="852" t="s">
        <v>923</v>
      </c>
      <c r="E3" s="852" t="s">
        <v>929</v>
      </c>
      <c r="F3" s="852" t="s">
        <v>923</v>
      </c>
      <c r="G3" s="852" t="s">
        <v>924</v>
      </c>
      <c r="H3" s="852" t="s">
        <v>923</v>
      </c>
      <c r="I3" s="852" t="s">
        <v>924</v>
      </c>
    </row>
    <row r="4" spans="1:9" ht="30">
      <c r="A4" s="1503" t="str">
        <f>项目基本情况!S2</f>
        <v>北京市海淀区林风二路38号院5号楼1至2层110房地产</v>
      </c>
      <c r="B4" s="852">
        <f>项目基本情况!C17</f>
        <v>521.56999999999994</v>
      </c>
      <c r="C4" s="852">
        <f>项目基本情况!C18</f>
        <v>0</v>
      </c>
      <c r="D4" s="852">
        <f>结果表110!D118</f>
        <v>0</v>
      </c>
      <c r="E4" s="852">
        <f>结果表110!E118</f>
        <v>0</v>
      </c>
      <c r="F4" s="852">
        <f>结果表110!F118</f>
        <v>0</v>
      </c>
      <c r="G4" s="852">
        <f>结果表110!G118</f>
        <v>0</v>
      </c>
      <c r="H4" s="852">
        <f ca="1">结果表110!H118</f>
        <v>914</v>
      </c>
      <c r="I4" s="852">
        <f ca="1">结果表110!I118</f>
        <v>34052</v>
      </c>
    </row>
    <row r="5" spans="1:9" ht="30" customHeight="1">
      <c r="A5" s="3528" t="s">
        <v>925</v>
      </c>
      <c r="B5" s="3528"/>
      <c r="C5" s="3528"/>
      <c r="D5" s="3528" t="str">
        <f>结果表110!D119</f>
        <v>零元整</v>
      </c>
      <c r="E5" s="3528"/>
      <c r="F5" s="3528" t="str">
        <f>结果表110!F119</f>
        <v>零元整</v>
      </c>
      <c r="G5" s="3528"/>
      <c r="H5" s="3528" t="str">
        <f ca="1">结果表110!H119</f>
        <v>玖佰壹拾肆万元整</v>
      </c>
      <c r="I5" s="3528"/>
    </row>
    <row r="6" spans="1:9" ht="15.6">
      <c r="A6" s="3529" t="str">
        <f>结果表110!A120</f>
        <v>估价师知悉的法定优先受偿款</v>
      </c>
      <c r="B6" s="3529"/>
      <c r="C6" s="3529"/>
      <c r="D6" s="3529">
        <f>结果表110!D120</f>
        <v>0</v>
      </c>
      <c r="E6" s="3529"/>
      <c r="F6" s="3529"/>
      <c r="G6" s="3529"/>
      <c r="H6" s="3529"/>
      <c r="I6" s="3529"/>
    </row>
    <row r="7" spans="1:9" ht="15">
      <c r="A7" s="3528" t="s">
        <v>925</v>
      </c>
      <c r="B7" s="3528"/>
      <c r="C7" s="3528"/>
      <c r="D7" s="3530" t="str">
        <f>结果表110!D121</f>
        <v>零元整</v>
      </c>
      <c r="E7" s="3531"/>
      <c r="F7" s="3531"/>
      <c r="G7" s="3531"/>
      <c r="H7" s="3531"/>
      <c r="I7" s="3532"/>
    </row>
    <row r="8" spans="1:9" ht="15.6">
      <c r="A8" s="3529" t="str">
        <f>结果表110!A122</f>
        <v>房地产抵押价值</v>
      </c>
      <c r="B8" s="3529"/>
      <c r="C8" s="3529"/>
      <c r="D8" s="3529">
        <f ca="1">结果表110!D122</f>
        <v>914</v>
      </c>
      <c r="E8" s="3529"/>
      <c r="F8" s="3529"/>
      <c r="G8" s="3529"/>
      <c r="H8" s="3529"/>
      <c r="I8" s="3529"/>
    </row>
    <row r="9" spans="1:9" ht="15">
      <c r="A9" s="3528" t="s">
        <v>925</v>
      </c>
      <c r="B9" s="3528"/>
      <c r="C9" s="3528"/>
      <c r="D9" s="3528" t="str">
        <f ca="1">结果表110!D123</f>
        <v>玖佰壹拾肆万元整</v>
      </c>
      <c r="E9" s="3528"/>
      <c r="F9" s="3528"/>
      <c r="G9" s="3528"/>
      <c r="H9" s="3528"/>
      <c r="I9" s="3528"/>
    </row>
    <row r="10" spans="1:9" ht="15.6">
      <c r="A10" s="3529" t="str">
        <f>结果表110!A124</f>
        <v/>
      </c>
      <c r="B10" s="3529"/>
      <c r="C10" s="3529"/>
      <c r="D10" s="3529" t="str">
        <f>结果表110!D124</f>
        <v>——</v>
      </c>
      <c r="E10" s="3529"/>
      <c r="F10" s="3529"/>
      <c r="G10" s="3529"/>
      <c r="H10" s="3529"/>
      <c r="I10" s="3529"/>
    </row>
    <row r="11" spans="1:9" ht="15">
      <c r="A11" s="3528" t="s">
        <v>925</v>
      </c>
      <c r="B11" s="3528"/>
      <c r="C11" s="3528"/>
      <c r="D11" s="3528" t="e">
        <f>结果表110!D125</f>
        <v>#VALUE!</v>
      </c>
      <c r="E11" s="3528"/>
      <c r="F11" s="3528"/>
      <c r="G11" s="3528"/>
      <c r="H11" s="3528"/>
      <c r="I11" s="3528"/>
    </row>
    <row r="12" spans="1:9" ht="15.6">
      <c r="A12" s="3529" t="str">
        <f>结果表110!A126</f>
        <v/>
      </c>
      <c r="B12" s="3529"/>
      <c r="C12" s="3529"/>
      <c r="D12" s="3529" t="str">
        <f>结果表110!D126</f>
        <v>——</v>
      </c>
      <c r="E12" s="3529"/>
      <c r="F12" s="3529"/>
      <c r="G12" s="3529"/>
      <c r="H12" s="3529"/>
      <c r="I12" s="3529"/>
    </row>
    <row r="13" spans="1:9" ht="15.6" thickBot="1">
      <c r="A13" s="3533" t="s">
        <v>925</v>
      </c>
      <c r="B13" s="3533"/>
      <c r="C13" s="3533"/>
      <c r="D13" s="3533" t="e">
        <f>结果表110!D127</f>
        <v>#VALUE!</v>
      </c>
      <c r="E13" s="3533"/>
      <c r="F13" s="3533"/>
      <c r="G13" s="3533"/>
      <c r="H13" s="3533"/>
      <c r="I13" s="3533"/>
    </row>
    <row r="14" spans="1:9" ht="14.4" thickTop="1">
      <c r="A14" s="3534" t="s">
        <v>930</v>
      </c>
      <c r="B14" s="3534"/>
      <c r="C14" s="3534"/>
      <c r="D14" s="3534"/>
      <c r="E14" s="3534"/>
      <c r="F14" s="3534"/>
      <c r="G14" s="3534"/>
      <c r="H14" s="3534"/>
      <c r="I14" s="3534"/>
    </row>
    <row r="16" spans="1:9" ht="17.399999999999999">
      <c r="A16" s="1504" t="s">
        <v>913</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40" customWidth="1"/>
    <col min="2" max="2" width="13.21875" style="1246" customWidth="1"/>
    <col min="3" max="3" width="15.6640625" style="1246" customWidth="1"/>
    <col min="4" max="4" width="9.33203125" style="1246" bestFit="1" customWidth="1"/>
    <col min="5" max="5" width="13.44140625" style="1246" customWidth="1"/>
    <col min="6" max="6" width="9" style="1246"/>
    <col min="7" max="7" width="9.33203125" style="1246" bestFit="1" customWidth="1"/>
    <col min="8" max="8" width="12.21875" style="1246" customWidth="1"/>
    <col min="9" max="9" width="9" style="1246"/>
    <col min="10" max="10" width="9.33203125" style="1246" bestFit="1" customWidth="1"/>
    <col min="11" max="11" width="4" style="1240" customWidth="1"/>
    <col min="12" max="12" width="5.109375" style="1246" customWidth="1"/>
    <col min="13" max="13" width="13.77734375" style="1246" customWidth="1"/>
    <col min="14" max="256" width="9" style="1246"/>
    <col min="257" max="257" width="4.88671875" style="1237" customWidth="1"/>
    <col min="258" max="258" width="13.21875" style="1237" customWidth="1"/>
    <col min="259" max="259" width="15.6640625" style="1237" customWidth="1"/>
    <col min="260" max="260" width="9.33203125" style="1237" bestFit="1" customWidth="1"/>
    <col min="261" max="261" width="13.44140625" style="1237" customWidth="1"/>
    <col min="262" max="262" width="9" style="1237"/>
    <col min="263" max="263" width="9.33203125" style="1237" bestFit="1" customWidth="1"/>
    <col min="264" max="265" width="9" style="1237"/>
    <col min="266" max="266" width="9.33203125" style="1237" bestFit="1" customWidth="1"/>
    <col min="267" max="267" width="4" style="1237" customWidth="1"/>
    <col min="268" max="268" width="5.109375" style="1237" customWidth="1"/>
    <col min="269" max="269" width="13.77734375" style="1237" customWidth="1"/>
    <col min="270" max="512" width="9" style="1237"/>
    <col min="513" max="513" width="4.88671875" style="1237" customWidth="1"/>
    <col min="514" max="514" width="13.21875" style="1237" customWidth="1"/>
    <col min="515" max="515" width="15.6640625" style="1237" customWidth="1"/>
    <col min="516" max="516" width="9.33203125" style="1237" bestFit="1" customWidth="1"/>
    <col min="517" max="517" width="13.44140625" style="1237" customWidth="1"/>
    <col min="518" max="518" width="9" style="1237"/>
    <col min="519" max="519" width="9.33203125" style="1237" bestFit="1" customWidth="1"/>
    <col min="520" max="521" width="9" style="1237"/>
    <col min="522" max="522" width="9.33203125" style="1237" bestFit="1" customWidth="1"/>
    <col min="523" max="523" width="4" style="1237" customWidth="1"/>
    <col min="524" max="524" width="5.109375" style="1237" customWidth="1"/>
    <col min="525" max="525" width="13.77734375" style="1237" customWidth="1"/>
    <col min="526" max="768" width="9" style="1237"/>
    <col min="769" max="769" width="4.88671875" style="1237" customWidth="1"/>
    <col min="770" max="770" width="13.21875" style="1237" customWidth="1"/>
    <col min="771" max="771" width="15.6640625" style="1237" customWidth="1"/>
    <col min="772" max="772" width="9.33203125" style="1237" bestFit="1" customWidth="1"/>
    <col min="773" max="773" width="13.44140625" style="1237" customWidth="1"/>
    <col min="774" max="774" width="9" style="1237"/>
    <col min="775" max="775" width="9.33203125" style="1237" bestFit="1" customWidth="1"/>
    <col min="776" max="777" width="9" style="1237"/>
    <col min="778" max="778" width="9.33203125" style="1237" bestFit="1" customWidth="1"/>
    <col min="779" max="779" width="4" style="1237" customWidth="1"/>
    <col min="780" max="780" width="5.109375" style="1237" customWidth="1"/>
    <col min="781" max="781" width="13.77734375" style="1237" customWidth="1"/>
    <col min="782" max="1024" width="9" style="1237"/>
    <col min="1025" max="1025" width="4.88671875" style="1237" customWidth="1"/>
    <col min="1026" max="1026" width="13.21875" style="1237" customWidth="1"/>
    <col min="1027" max="1027" width="15.6640625" style="1237" customWidth="1"/>
    <col min="1028" max="1028" width="9.33203125" style="1237" bestFit="1" customWidth="1"/>
    <col min="1029" max="1029" width="13.44140625" style="1237" customWidth="1"/>
    <col min="1030" max="1030" width="9" style="1237"/>
    <col min="1031" max="1031" width="9.33203125" style="1237" bestFit="1" customWidth="1"/>
    <col min="1032" max="1033" width="9" style="1237"/>
    <col min="1034" max="1034" width="9.33203125" style="1237" bestFit="1" customWidth="1"/>
    <col min="1035" max="1035" width="4" style="1237" customWidth="1"/>
    <col min="1036" max="1036" width="5.109375" style="1237" customWidth="1"/>
    <col min="1037" max="1037" width="13.77734375" style="1237" customWidth="1"/>
    <col min="1038" max="1280" width="9" style="1237"/>
    <col min="1281" max="1281" width="4.88671875" style="1237" customWidth="1"/>
    <col min="1282" max="1282" width="13.21875" style="1237" customWidth="1"/>
    <col min="1283" max="1283" width="15.6640625" style="1237" customWidth="1"/>
    <col min="1284" max="1284" width="9.33203125" style="1237" bestFit="1" customWidth="1"/>
    <col min="1285" max="1285" width="13.44140625" style="1237" customWidth="1"/>
    <col min="1286" max="1286" width="9" style="1237"/>
    <col min="1287" max="1287" width="9.33203125" style="1237" bestFit="1" customWidth="1"/>
    <col min="1288" max="1289" width="9" style="1237"/>
    <col min="1290" max="1290" width="9.33203125" style="1237" bestFit="1" customWidth="1"/>
    <col min="1291" max="1291" width="4" style="1237" customWidth="1"/>
    <col min="1292" max="1292" width="5.109375" style="1237" customWidth="1"/>
    <col min="1293" max="1293" width="13.77734375" style="1237" customWidth="1"/>
    <col min="1294" max="1536" width="9" style="1237"/>
    <col min="1537" max="1537" width="4.88671875" style="1237" customWidth="1"/>
    <col min="1538" max="1538" width="13.21875" style="1237" customWidth="1"/>
    <col min="1539" max="1539" width="15.6640625" style="1237" customWidth="1"/>
    <col min="1540" max="1540" width="9.33203125" style="1237" bestFit="1" customWidth="1"/>
    <col min="1541" max="1541" width="13.44140625" style="1237" customWidth="1"/>
    <col min="1542" max="1542" width="9" style="1237"/>
    <col min="1543" max="1543" width="9.33203125" style="1237" bestFit="1" customWidth="1"/>
    <col min="1544" max="1545" width="9" style="1237"/>
    <col min="1546" max="1546" width="9.33203125" style="1237" bestFit="1" customWidth="1"/>
    <col min="1547" max="1547" width="4" style="1237" customWidth="1"/>
    <col min="1548" max="1548" width="5.109375" style="1237" customWidth="1"/>
    <col min="1549" max="1549" width="13.77734375" style="1237" customWidth="1"/>
    <col min="1550" max="1792" width="9" style="1237"/>
    <col min="1793" max="1793" width="4.88671875" style="1237" customWidth="1"/>
    <col min="1794" max="1794" width="13.21875" style="1237" customWidth="1"/>
    <col min="1795" max="1795" width="15.6640625" style="1237" customWidth="1"/>
    <col min="1796" max="1796" width="9.33203125" style="1237" bestFit="1" customWidth="1"/>
    <col min="1797" max="1797" width="13.44140625" style="1237" customWidth="1"/>
    <col min="1798" max="1798" width="9" style="1237"/>
    <col min="1799" max="1799" width="9.33203125" style="1237" bestFit="1" customWidth="1"/>
    <col min="1800" max="1801" width="9" style="1237"/>
    <col min="1802" max="1802" width="9.33203125" style="1237" bestFit="1" customWidth="1"/>
    <col min="1803" max="1803" width="4" style="1237" customWidth="1"/>
    <col min="1804" max="1804" width="5.109375" style="1237" customWidth="1"/>
    <col min="1805" max="1805" width="13.77734375" style="1237" customWidth="1"/>
    <col min="1806" max="2048" width="9" style="1237"/>
    <col min="2049" max="2049" width="4.88671875" style="1237" customWidth="1"/>
    <col min="2050" max="2050" width="13.21875" style="1237" customWidth="1"/>
    <col min="2051" max="2051" width="15.6640625" style="1237" customWidth="1"/>
    <col min="2052" max="2052" width="9.33203125" style="1237" bestFit="1" customWidth="1"/>
    <col min="2053" max="2053" width="13.44140625" style="1237" customWidth="1"/>
    <col min="2054" max="2054" width="9" style="1237"/>
    <col min="2055" max="2055" width="9.33203125" style="1237" bestFit="1" customWidth="1"/>
    <col min="2056" max="2057" width="9" style="1237"/>
    <col min="2058" max="2058" width="9.33203125" style="1237" bestFit="1" customWidth="1"/>
    <col min="2059" max="2059" width="4" style="1237" customWidth="1"/>
    <col min="2060" max="2060" width="5.109375" style="1237" customWidth="1"/>
    <col min="2061" max="2061" width="13.77734375" style="1237" customWidth="1"/>
    <col min="2062" max="2304" width="9" style="1237"/>
    <col min="2305" max="2305" width="4.88671875" style="1237" customWidth="1"/>
    <col min="2306" max="2306" width="13.21875" style="1237" customWidth="1"/>
    <col min="2307" max="2307" width="15.6640625" style="1237" customWidth="1"/>
    <col min="2308" max="2308" width="9.33203125" style="1237" bestFit="1" customWidth="1"/>
    <col min="2309" max="2309" width="13.44140625" style="1237" customWidth="1"/>
    <col min="2310" max="2310" width="9" style="1237"/>
    <col min="2311" max="2311" width="9.33203125" style="1237" bestFit="1" customWidth="1"/>
    <col min="2312" max="2313" width="9" style="1237"/>
    <col min="2314" max="2314" width="9.33203125" style="1237" bestFit="1" customWidth="1"/>
    <col min="2315" max="2315" width="4" style="1237" customWidth="1"/>
    <col min="2316" max="2316" width="5.109375" style="1237" customWidth="1"/>
    <col min="2317" max="2317" width="13.77734375" style="1237" customWidth="1"/>
    <col min="2318" max="2560" width="9" style="1237"/>
    <col min="2561" max="2561" width="4.88671875" style="1237" customWidth="1"/>
    <col min="2562" max="2562" width="13.21875" style="1237" customWidth="1"/>
    <col min="2563" max="2563" width="15.6640625" style="1237" customWidth="1"/>
    <col min="2564" max="2564" width="9.33203125" style="1237" bestFit="1" customWidth="1"/>
    <col min="2565" max="2565" width="13.44140625" style="1237" customWidth="1"/>
    <col min="2566" max="2566" width="9" style="1237"/>
    <col min="2567" max="2567" width="9.33203125" style="1237" bestFit="1" customWidth="1"/>
    <col min="2568" max="2569" width="9" style="1237"/>
    <col min="2570" max="2570" width="9.33203125" style="1237" bestFit="1" customWidth="1"/>
    <col min="2571" max="2571" width="4" style="1237" customWidth="1"/>
    <col min="2572" max="2572" width="5.109375" style="1237" customWidth="1"/>
    <col min="2573" max="2573" width="13.77734375" style="1237" customWidth="1"/>
    <col min="2574" max="2816" width="9" style="1237"/>
    <col min="2817" max="2817" width="4.88671875" style="1237" customWidth="1"/>
    <col min="2818" max="2818" width="13.21875" style="1237" customWidth="1"/>
    <col min="2819" max="2819" width="15.6640625" style="1237" customWidth="1"/>
    <col min="2820" max="2820" width="9.33203125" style="1237" bestFit="1" customWidth="1"/>
    <col min="2821" max="2821" width="13.44140625" style="1237" customWidth="1"/>
    <col min="2822" max="2822" width="9" style="1237"/>
    <col min="2823" max="2823" width="9.33203125" style="1237" bestFit="1" customWidth="1"/>
    <col min="2824" max="2825" width="9" style="1237"/>
    <col min="2826" max="2826" width="9.33203125" style="1237" bestFit="1" customWidth="1"/>
    <col min="2827" max="2827" width="4" style="1237" customWidth="1"/>
    <col min="2828" max="2828" width="5.109375" style="1237" customWidth="1"/>
    <col min="2829" max="2829" width="13.77734375" style="1237" customWidth="1"/>
    <col min="2830" max="3072" width="9" style="1237"/>
    <col min="3073" max="3073" width="4.88671875" style="1237" customWidth="1"/>
    <col min="3074" max="3074" width="13.21875" style="1237" customWidth="1"/>
    <col min="3075" max="3075" width="15.6640625" style="1237" customWidth="1"/>
    <col min="3076" max="3076" width="9.33203125" style="1237" bestFit="1" customWidth="1"/>
    <col min="3077" max="3077" width="13.44140625" style="1237" customWidth="1"/>
    <col min="3078" max="3078" width="9" style="1237"/>
    <col min="3079" max="3079" width="9.33203125" style="1237" bestFit="1" customWidth="1"/>
    <col min="3080" max="3081" width="9" style="1237"/>
    <col min="3082" max="3082" width="9.33203125" style="1237" bestFit="1" customWidth="1"/>
    <col min="3083" max="3083" width="4" style="1237" customWidth="1"/>
    <col min="3084" max="3084" width="5.109375" style="1237" customWidth="1"/>
    <col min="3085" max="3085" width="13.77734375" style="1237" customWidth="1"/>
    <col min="3086" max="3328" width="9" style="1237"/>
    <col min="3329" max="3329" width="4.88671875" style="1237" customWidth="1"/>
    <col min="3330" max="3330" width="13.21875" style="1237" customWidth="1"/>
    <col min="3331" max="3331" width="15.6640625" style="1237" customWidth="1"/>
    <col min="3332" max="3332" width="9.33203125" style="1237" bestFit="1" customWidth="1"/>
    <col min="3333" max="3333" width="13.44140625" style="1237" customWidth="1"/>
    <col min="3334" max="3334" width="9" style="1237"/>
    <col min="3335" max="3335" width="9.33203125" style="1237" bestFit="1" customWidth="1"/>
    <col min="3336" max="3337" width="9" style="1237"/>
    <col min="3338" max="3338" width="9.33203125" style="1237" bestFit="1" customWidth="1"/>
    <col min="3339" max="3339" width="4" style="1237" customWidth="1"/>
    <col min="3340" max="3340" width="5.109375" style="1237" customWidth="1"/>
    <col min="3341" max="3341" width="13.77734375" style="1237" customWidth="1"/>
    <col min="3342" max="3584" width="9" style="1237"/>
    <col min="3585" max="3585" width="4.88671875" style="1237" customWidth="1"/>
    <col min="3586" max="3586" width="13.21875" style="1237" customWidth="1"/>
    <col min="3587" max="3587" width="15.6640625" style="1237" customWidth="1"/>
    <col min="3588" max="3588" width="9.33203125" style="1237" bestFit="1" customWidth="1"/>
    <col min="3589" max="3589" width="13.44140625" style="1237" customWidth="1"/>
    <col min="3590" max="3590" width="9" style="1237"/>
    <col min="3591" max="3591" width="9.33203125" style="1237" bestFit="1" customWidth="1"/>
    <col min="3592" max="3593" width="9" style="1237"/>
    <col min="3594" max="3594" width="9.33203125" style="1237" bestFit="1" customWidth="1"/>
    <col min="3595" max="3595" width="4" style="1237" customWidth="1"/>
    <col min="3596" max="3596" width="5.109375" style="1237" customWidth="1"/>
    <col min="3597" max="3597" width="13.77734375" style="1237" customWidth="1"/>
    <col min="3598" max="3840" width="9" style="1237"/>
    <col min="3841" max="3841" width="4.88671875" style="1237" customWidth="1"/>
    <col min="3842" max="3842" width="13.21875" style="1237" customWidth="1"/>
    <col min="3843" max="3843" width="15.6640625" style="1237" customWidth="1"/>
    <col min="3844" max="3844" width="9.33203125" style="1237" bestFit="1" customWidth="1"/>
    <col min="3845" max="3845" width="13.44140625" style="1237" customWidth="1"/>
    <col min="3846" max="3846" width="9" style="1237"/>
    <col min="3847" max="3847" width="9.33203125" style="1237" bestFit="1" customWidth="1"/>
    <col min="3848" max="3849" width="9" style="1237"/>
    <col min="3850" max="3850" width="9.33203125" style="1237" bestFit="1" customWidth="1"/>
    <col min="3851" max="3851" width="4" style="1237" customWidth="1"/>
    <col min="3852" max="3852" width="5.109375" style="1237" customWidth="1"/>
    <col min="3853" max="3853" width="13.77734375" style="1237" customWidth="1"/>
    <col min="3854" max="4096" width="9" style="1237"/>
    <col min="4097" max="4097" width="4.88671875" style="1237" customWidth="1"/>
    <col min="4098" max="4098" width="13.21875" style="1237" customWidth="1"/>
    <col min="4099" max="4099" width="15.6640625" style="1237" customWidth="1"/>
    <col min="4100" max="4100" width="9.33203125" style="1237" bestFit="1" customWidth="1"/>
    <col min="4101" max="4101" width="13.44140625" style="1237" customWidth="1"/>
    <col min="4102" max="4102" width="9" style="1237"/>
    <col min="4103" max="4103" width="9.33203125" style="1237" bestFit="1" customWidth="1"/>
    <col min="4104" max="4105" width="9" style="1237"/>
    <col min="4106" max="4106" width="9.33203125" style="1237" bestFit="1" customWidth="1"/>
    <col min="4107" max="4107" width="4" style="1237" customWidth="1"/>
    <col min="4108" max="4108" width="5.109375" style="1237" customWidth="1"/>
    <col min="4109" max="4109" width="13.77734375" style="1237" customWidth="1"/>
    <col min="4110" max="4352" width="9" style="1237"/>
    <col min="4353" max="4353" width="4.88671875" style="1237" customWidth="1"/>
    <col min="4354" max="4354" width="13.21875" style="1237" customWidth="1"/>
    <col min="4355" max="4355" width="15.6640625" style="1237" customWidth="1"/>
    <col min="4356" max="4356" width="9.33203125" style="1237" bestFit="1" customWidth="1"/>
    <col min="4357" max="4357" width="13.44140625" style="1237" customWidth="1"/>
    <col min="4358" max="4358" width="9" style="1237"/>
    <col min="4359" max="4359" width="9.33203125" style="1237" bestFit="1" customWidth="1"/>
    <col min="4360" max="4361" width="9" style="1237"/>
    <col min="4362" max="4362" width="9.33203125" style="1237" bestFit="1" customWidth="1"/>
    <col min="4363" max="4363" width="4" style="1237" customWidth="1"/>
    <col min="4364" max="4364" width="5.109375" style="1237" customWidth="1"/>
    <col min="4365" max="4365" width="13.77734375" style="1237" customWidth="1"/>
    <col min="4366" max="4608" width="9" style="1237"/>
    <col min="4609" max="4609" width="4.88671875" style="1237" customWidth="1"/>
    <col min="4610" max="4610" width="13.21875" style="1237" customWidth="1"/>
    <col min="4611" max="4611" width="15.6640625" style="1237" customWidth="1"/>
    <col min="4612" max="4612" width="9.33203125" style="1237" bestFit="1" customWidth="1"/>
    <col min="4613" max="4613" width="13.44140625" style="1237" customWidth="1"/>
    <col min="4614" max="4614" width="9" style="1237"/>
    <col min="4615" max="4615" width="9.33203125" style="1237" bestFit="1" customWidth="1"/>
    <col min="4616" max="4617" width="9" style="1237"/>
    <col min="4618" max="4618" width="9.33203125" style="1237" bestFit="1" customWidth="1"/>
    <col min="4619" max="4619" width="4" style="1237" customWidth="1"/>
    <col min="4620" max="4620" width="5.109375" style="1237" customWidth="1"/>
    <col min="4621" max="4621" width="13.77734375" style="1237" customWidth="1"/>
    <col min="4622" max="4864" width="9" style="1237"/>
    <col min="4865" max="4865" width="4.88671875" style="1237" customWidth="1"/>
    <col min="4866" max="4866" width="13.21875" style="1237" customWidth="1"/>
    <col min="4867" max="4867" width="15.6640625" style="1237" customWidth="1"/>
    <col min="4868" max="4868" width="9.33203125" style="1237" bestFit="1" customWidth="1"/>
    <col min="4869" max="4869" width="13.44140625" style="1237" customWidth="1"/>
    <col min="4870" max="4870" width="9" style="1237"/>
    <col min="4871" max="4871" width="9.33203125" style="1237" bestFit="1" customWidth="1"/>
    <col min="4872" max="4873" width="9" style="1237"/>
    <col min="4874" max="4874" width="9.33203125" style="1237" bestFit="1" customWidth="1"/>
    <col min="4875" max="4875" width="4" style="1237" customWidth="1"/>
    <col min="4876" max="4876" width="5.109375" style="1237" customWidth="1"/>
    <col min="4877" max="4877" width="13.77734375" style="1237" customWidth="1"/>
    <col min="4878" max="5120" width="9" style="1237"/>
    <col min="5121" max="5121" width="4.88671875" style="1237" customWidth="1"/>
    <col min="5122" max="5122" width="13.21875" style="1237" customWidth="1"/>
    <col min="5123" max="5123" width="15.6640625" style="1237" customWidth="1"/>
    <col min="5124" max="5124" width="9.33203125" style="1237" bestFit="1" customWidth="1"/>
    <col min="5125" max="5125" width="13.44140625" style="1237" customWidth="1"/>
    <col min="5126" max="5126" width="9" style="1237"/>
    <col min="5127" max="5127" width="9.33203125" style="1237" bestFit="1" customWidth="1"/>
    <col min="5128" max="5129" width="9" style="1237"/>
    <col min="5130" max="5130" width="9.33203125" style="1237" bestFit="1" customWidth="1"/>
    <col min="5131" max="5131" width="4" style="1237" customWidth="1"/>
    <col min="5132" max="5132" width="5.109375" style="1237" customWidth="1"/>
    <col min="5133" max="5133" width="13.77734375" style="1237" customWidth="1"/>
    <col min="5134" max="5376" width="9" style="1237"/>
    <col min="5377" max="5377" width="4.88671875" style="1237" customWidth="1"/>
    <col min="5378" max="5378" width="13.21875" style="1237" customWidth="1"/>
    <col min="5379" max="5379" width="15.6640625" style="1237" customWidth="1"/>
    <col min="5380" max="5380" width="9.33203125" style="1237" bestFit="1" customWidth="1"/>
    <col min="5381" max="5381" width="13.44140625" style="1237" customWidth="1"/>
    <col min="5382" max="5382" width="9" style="1237"/>
    <col min="5383" max="5383" width="9.33203125" style="1237" bestFit="1" customWidth="1"/>
    <col min="5384" max="5385" width="9" style="1237"/>
    <col min="5386" max="5386" width="9.33203125" style="1237" bestFit="1" customWidth="1"/>
    <col min="5387" max="5387" width="4" style="1237" customWidth="1"/>
    <col min="5388" max="5388" width="5.109375" style="1237" customWidth="1"/>
    <col min="5389" max="5389" width="13.77734375" style="1237" customWidth="1"/>
    <col min="5390" max="5632" width="9" style="1237"/>
    <col min="5633" max="5633" width="4.88671875" style="1237" customWidth="1"/>
    <col min="5634" max="5634" width="13.21875" style="1237" customWidth="1"/>
    <col min="5635" max="5635" width="15.6640625" style="1237" customWidth="1"/>
    <col min="5636" max="5636" width="9.33203125" style="1237" bestFit="1" customWidth="1"/>
    <col min="5637" max="5637" width="13.44140625" style="1237" customWidth="1"/>
    <col min="5638" max="5638" width="9" style="1237"/>
    <col min="5639" max="5639" width="9.33203125" style="1237" bestFit="1" customWidth="1"/>
    <col min="5640" max="5641" width="9" style="1237"/>
    <col min="5642" max="5642" width="9.33203125" style="1237" bestFit="1" customWidth="1"/>
    <col min="5643" max="5643" width="4" style="1237" customWidth="1"/>
    <col min="5644" max="5644" width="5.109375" style="1237" customWidth="1"/>
    <col min="5645" max="5645" width="13.77734375" style="1237" customWidth="1"/>
    <col min="5646" max="5888" width="9" style="1237"/>
    <col min="5889" max="5889" width="4.88671875" style="1237" customWidth="1"/>
    <col min="5890" max="5890" width="13.21875" style="1237" customWidth="1"/>
    <col min="5891" max="5891" width="15.6640625" style="1237" customWidth="1"/>
    <col min="5892" max="5892" width="9.33203125" style="1237" bestFit="1" customWidth="1"/>
    <col min="5893" max="5893" width="13.44140625" style="1237" customWidth="1"/>
    <col min="5894" max="5894" width="9" style="1237"/>
    <col min="5895" max="5895" width="9.33203125" style="1237" bestFit="1" customWidth="1"/>
    <col min="5896" max="5897" width="9" style="1237"/>
    <col min="5898" max="5898" width="9.33203125" style="1237" bestFit="1" customWidth="1"/>
    <col min="5899" max="5899" width="4" style="1237" customWidth="1"/>
    <col min="5900" max="5900" width="5.109375" style="1237" customWidth="1"/>
    <col min="5901" max="5901" width="13.77734375" style="1237" customWidth="1"/>
    <col min="5902" max="6144" width="9" style="1237"/>
    <col min="6145" max="6145" width="4.88671875" style="1237" customWidth="1"/>
    <col min="6146" max="6146" width="13.21875" style="1237" customWidth="1"/>
    <col min="6147" max="6147" width="15.6640625" style="1237" customWidth="1"/>
    <col min="6148" max="6148" width="9.33203125" style="1237" bestFit="1" customWidth="1"/>
    <col min="6149" max="6149" width="13.44140625" style="1237" customWidth="1"/>
    <col min="6150" max="6150" width="9" style="1237"/>
    <col min="6151" max="6151" width="9.33203125" style="1237" bestFit="1" customWidth="1"/>
    <col min="6152" max="6153" width="9" style="1237"/>
    <col min="6154" max="6154" width="9.33203125" style="1237" bestFit="1" customWidth="1"/>
    <col min="6155" max="6155" width="4" style="1237" customWidth="1"/>
    <col min="6156" max="6156" width="5.109375" style="1237" customWidth="1"/>
    <col min="6157" max="6157" width="13.77734375" style="1237" customWidth="1"/>
    <col min="6158" max="6400" width="9" style="1237"/>
    <col min="6401" max="6401" width="4.88671875" style="1237" customWidth="1"/>
    <col min="6402" max="6402" width="13.21875" style="1237" customWidth="1"/>
    <col min="6403" max="6403" width="15.6640625" style="1237" customWidth="1"/>
    <col min="6404" max="6404" width="9.33203125" style="1237" bestFit="1" customWidth="1"/>
    <col min="6405" max="6405" width="13.44140625" style="1237" customWidth="1"/>
    <col min="6406" max="6406" width="9" style="1237"/>
    <col min="6407" max="6407" width="9.33203125" style="1237" bestFit="1" customWidth="1"/>
    <col min="6408" max="6409" width="9" style="1237"/>
    <col min="6410" max="6410" width="9.33203125" style="1237" bestFit="1" customWidth="1"/>
    <col min="6411" max="6411" width="4" style="1237" customWidth="1"/>
    <col min="6412" max="6412" width="5.109375" style="1237" customWidth="1"/>
    <col min="6413" max="6413" width="13.77734375" style="1237" customWidth="1"/>
    <col min="6414" max="6656" width="9" style="1237"/>
    <col min="6657" max="6657" width="4.88671875" style="1237" customWidth="1"/>
    <col min="6658" max="6658" width="13.21875" style="1237" customWidth="1"/>
    <col min="6659" max="6659" width="15.6640625" style="1237" customWidth="1"/>
    <col min="6660" max="6660" width="9.33203125" style="1237" bestFit="1" customWidth="1"/>
    <col min="6661" max="6661" width="13.44140625" style="1237" customWidth="1"/>
    <col min="6662" max="6662" width="9" style="1237"/>
    <col min="6663" max="6663" width="9.33203125" style="1237" bestFit="1" customWidth="1"/>
    <col min="6664" max="6665" width="9" style="1237"/>
    <col min="6666" max="6666" width="9.33203125" style="1237" bestFit="1" customWidth="1"/>
    <col min="6667" max="6667" width="4" style="1237" customWidth="1"/>
    <col min="6668" max="6668" width="5.109375" style="1237" customWidth="1"/>
    <col min="6669" max="6669" width="13.77734375" style="1237" customWidth="1"/>
    <col min="6670" max="6912" width="9" style="1237"/>
    <col min="6913" max="6913" width="4.88671875" style="1237" customWidth="1"/>
    <col min="6914" max="6914" width="13.21875" style="1237" customWidth="1"/>
    <col min="6915" max="6915" width="15.6640625" style="1237" customWidth="1"/>
    <col min="6916" max="6916" width="9.33203125" style="1237" bestFit="1" customWidth="1"/>
    <col min="6917" max="6917" width="13.44140625" style="1237" customWidth="1"/>
    <col min="6918" max="6918" width="9" style="1237"/>
    <col min="6919" max="6919" width="9.33203125" style="1237" bestFit="1" customWidth="1"/>
    <col min="6920" max="6921" width="9" style="1237"/>
    <col min="6922" max="6922" width="9.33203125" style="1237" bestFit="1" customWidth="1"/>
    <col min="6923" max="6923" width="4" style="1237" customWidth="1"/>
    <col min="6924" max="6924" width="5.109375" style="1237" customWidth="1"/>
    <col min="6925" max="6925" width="13.77734375" style="1237" customWidth="1"/>
    <col min="6926" max="7168" width="9" style="1237"/>
    <col min="7169" max="7169" width="4.88671875" style="1237" customWidth="1"/>
    <col min="7170" max="7170" width="13.21875" style="1237" customWidth="1"/>
    <col min="7171" max="7171" width="15.6640625" style="1237" customWidth="1"/>
    <col min="7172" max="7172" width="9.33203125" style="1237" bestFit="1" customWidth="1"/>
    <col min="7173" max="7173" width="13.44140625" style="1237" customWidth="1"/>
    <col min="7174" max="7174" width="9" style="1237"/>
    <col min="7175" max="7175" width="9.33203125" style="1237" bestFit="1" customWidth="1"/>
    <col min="7176" max="7177" width="9" style="1237"/>
    <col min="7178" max="7178" width="9.33203125" style="1237" bestFit="1" customWidth="1"/>
    <col min="7179" max="7179" width="4" style="1237" customWidth="1"/>
    <col min="7180" max="7180" width="5.109375" style="1237" customWidth="1"/>
    <col min="7181" max="7181" width="13.77734375" style="1237" customWidth="1"/>
    <col min="7182" max="7424" width="9" style="1237"/>
    <col min="7425" max="7425" width="4.88671875" style="1237" customWidth="1"/>
    <col min="7426" max="7426" width="13.21875" style="1237" customWidth="1"/>
    <col min="7427" max="7427" width="15.6640625" style="1237" customWidth="1"/>
    <col min="7428" max="7428" width="9.33203125" style="1237" bestFit="1" customWidth="1"/>
    <col min="7429" max="7429" width="13.44140625" style="1237" customWidth="1"/>
    <col min="7430" max="7430" width="9" style="1237"/>
    <col min="7431" max="7431" width="9.33203125" style="1237" bestFit="1" customWidth="1"/>
    <col min="7432" max="7433" width="9" style="1237"/>
    <col min="7434" max="7434" width="9.33203125" style="1237" bestFit="1" customWidth="1"/>
    <col min="7435" max="7435" width="4" style="1237" customWidth="1"/>
    <col min="7436" max="7436" width="5.109375" style="1237" customWidth="1"/>
    <col min="7437" max="7437" width="13.77734375" style="1237" customWidth="1"/>
    <col min="7438" max="7680" width="9" style="1237"/>
    <col min="7681" max="7681" width="4.88671875" style="1237" customWidth="1"/>
    <col min="7682" max="7682" width="13.21875" style="1237" customWidth="1"/>
    <col min="7683" max="7683" width="15.6640625" style="1237" customWidth="1"/>
    <col min="7684" max="7684" width="9.33203125" style="1237" bestFit="1" customWidth="1"/>
    <col min="7685" max="7685" width="13.44140625" style="1237" customWidth="1"/>
    <col min="7686" max="7686" width="9" style="1237"/>
    <col min="7687" max="7687" width="9.33203125" style="1237" bestFit="1" customWidth="1"/>
    <col min="7688" max="7689" width="9" style="1237"/>
    <col min="7690" max="7690" width="9.33203125" style="1237" bestFit="1" customWidth="1"/>
    <col min="7691" max="7691" width="4" style="1237" customWidth="1"/>
    <col min="7692" max="7692" width="5.109375" style="1237" customWidth="1"/>
    <col min="7693" max="7693" width="13.77734375" style="1237" customWidth="1"/>
    <col min="7694" max="7936" width="9" style="1237"/>
    <col min="7937" max="7937" width="4.88671875" style="1237" customWidth="1"/>
    <col min="7938" max="7938" width="13.21875" style="1237" customWidth="1"/>
    <col min="7939" max="7939" width="15.6640625" style="1237" customWidth="1"/>
    <col min="7940" max="7940" width="9.33203125" style="1237" bestFit="1" customWidth="1"/>
    <col min="7941" max="7941" width="13.44140625" style="1237" customWidth="1"/>
    <col min="7942" max="7942" width="9" style="1237"/>
    <col min="7943" max="7943" width="9.33203125" style="1237" bestFit="1" customWidth="1"/>
    <col min="7944" max="7945" width="9" style="1237"/>
    <col min="7946" max="7946" width="9.33203125" style="1237" bestFit="1" customWidth="1"/>
    <col min="7947" max="7947" width="4" style="1237" customWidth="1"/>
    <col min="7948" max="7948" width="5.109375" style="1237" customWidth="1"/>
    <col min="7949" max="7949" width="13.77734375" style="1237" customWidth="1"/>
    <col min="7950" max="8192" width="9" style="1237"/>
    <col min="8193" max="8193" width="4.88671875" style="1237" customWidth="1"/>
    <col min="8194" max="8194" width="13.21875" style="1237" customWidth="1"/>
    <col min="8195" max="8195" width="15.6640625" style="1237" customWidth="1"/>
    <col min="8196" max="8196" width="9.33203125" style="1237" bestFit="1" customWidth="1"/>
    <col min="8197" max="8197" width="13.44140625" style="1237" customWidth="1"/>
    <col min="8198" max="8198" width="9" style="1237"/>
    <col min="8199" max="8199" width="9.33203125" style="1237" bestFit="1" customWidth="1"/>
    <col min="8200" max="8201" width="9" style="1237"/>
    <col min="8202" max="8202" width="9.33203125" style="1237" bestFit="1" customWidth="1"/>
    <col min="8203" max="8203" width="4" style="1237" customWidth="1"/>
    <col min="8204" max="8204" width="5.109375" style="1237" customWidth="1"/>
    <col min="8205" max="8205" width="13.77734375" style="1237" customWidth="1"/>
    <col min="8206" max="8448" width="9" style="1237"/>
    <col min="8449" max="8449" width="4.88671875" style="1237" customWidth="1"/>
    <col min="8450" max="8450" width="13.21875" style="1237" customWidth="1"/>
    <col min="8451" max="8451" width="15.6640625" style="1237" customWidth="1"/>
    <col min="8452" max="8452" width="9.33203125" style="1237" bestFit="1" customWidth="1"/>
    <col min="8453" max="8453" width="13.44140625" style="1237" customWidth="1"/>
    <col min="8454" max="8454" width="9" style="1237"/>
    <col min="8455" max="8455" width="9.33203125" style="1237" bestFit="1" customWidth="1"/>
    <col min="8456" max="8457" width="9" style="1237"/>
    <col min="8458" max="8458" width="9.33203125" style="1237" bestFit="1" customWidth="1"/>
    <col min="8459" max="8459" width="4" style="1237" customWidth="1"/>
    <col min="8460" max="8460" width="5.109375" style="1237" customWidth="1"/>
    <col min="8461" max="8461" width="13.77734375" style="1237" customWidth="1"/>
    <col min="8462" max="8704" width="9" style="1237"/>
    <col min="8705" max="8705" width="4.88671875" style="1237" customWidth="1"/>
    <col min="8706" max="8706" width="13.21875" style="1237" customWidth="1"/>
    <col min="8707" max="8707" width="15.6640625" style="1237" customWidth="1"/>
    <col min="8708" max="8708" width="9.33203125" style="1237" bestFit="1" customWidth="1"/>
    <col min="8709" max="8709" width="13.44140625" style="1237" customWidth="1"/>
    <col min="8710" max="8710" width="9" style="1237"/>
    <col min="8711" max="8711" width="9.33203125" style="1237" bestFit="1" customWidth="1"/>
    <col min="8712" max="8713" width="9" style="1237"/>
    <col min="8714" max="8714" width="9.33203125" style="1237" bestFit="1" customWidth="1"/>
    <col min="8715" max="8715" width="4" style="1237" customWidth="1"/>
    <col min="8716" max="8716" width="5.109375" style="1237" customWidth="1"/>
    <col min="8717" max="8717" width="13.77734375" style="1237" customWidth="1"/>
    <col min="8718" max="8960" width="9" style="1237"/>
    <col min="8961" max="8961" width="4.88671875" style="1237" customWidth="1"/>
    <col min="8962" max="8962" width="13.21875" style="1237" customWidth="1"/>
    <col min="8963" max="8963" width="15.6640625" style="1237" customWidth="1"/>
    <col min="8964" max="8964" width="9.33203125" style="1237" bestFit="1" customWidth="1"/>
    <col min="8965" max="8965" width="13.44140625" style="1237" customWidth="1"/>
    <col min="8966" max="8966" width="9" style="1237"/>
    <col min="8967" max="8967" width="9.33203125" style="1237" bestFit="1" customWidth="1"/>
    <col min="8968" max="8969" width="9" style="1237"/>
    <col min="8970" max="8970" width="9.33203125" style="1237" bestFit="1" customWidth="1"/>
    <col min="8971" max="8971" width="4" style="1237" customWidth="1"/>
    <col min="8972" max="8972" width="5.109375" style="1237" customWidth="1"/>
    <col min="8973" max="8973" width="13.77734375" style="1237" customWidth="1"/>
    <col min="8974" max="9216" width="9" style="1237"/>
    <col min="9217" max="9217" width="4.88671875" style="1237" customWidth="1"/>
    <col min="9218" max="9218" width="13.21875" style="1237" customWidth="1"/>
    <col min="9219" max="9219" width="15.6640625" style="1237" customWidth="1"/>
    <col min="9220" max="9220" width="9.33203125" style="1237" bestFit="1" customWidth="1"/>
    <col min="9221" max="9221" width="13.44140625" style="1237" customWidth="1"/>
    <col min="9222" max="9222" width="9" style="1237"/>
    <col min="9223" max="9223" width="9.33203125" style="1237" bestFit="1" customWidth="1"/>
    <col min="9224" max="9225" width="9" style="1237"/>
    <col min="9226" max="9226" width="9.33203125" style="1237" bestFit="1" customWidth="1"/>
    <col min="9227" max="9227" width="4" style="1237" customWidth="1"/>
    <col min="9228" max="9228" width="5.109375" style="1237" customWidth="1"/>
    <col min="9229" max="9229" width="13.77734375" style="1237" customWidth="1"/>
    <col min="9230" max="9472" width="9" style="1237"/>
    <col min="9473" max="9473" width="4.88671875" style="1237" customWidth="1"/>
    <col min="9474" max="9474" width="13.21875" style="1237" customWidth="1"/>
    <col min="9475" max="9475" width="15.6640625" style="1237" customWidth="1"/>
    <col min="9476" max="9476" width="9.33203125" style="1237" bestFit="1" customWidth="1"/>
    <col min="9477" max="9477" width="13.44140625" style="1237" customWidth="1"/>
    <col min="9478" max="9478" width="9" style="1237"/>
    <col min="9479" max="9479" width="9.33203125" style="1237" bestFit="1" customWidth="1"/>
    <col min="9480" max="9481" width="9" style="1237"/>
    <col min="9482" max="9482" width="9.33203125" style="1237" bestFit="1" customWidth="1"/>
    <col min="9483" max="9483" width="4" style="1237" customWidth="1"/>
    <col min="9484" max="9484" width="5.109375" style="1237" customWidth="1"/>
    <col min="9485" max="9485" width="13.77734375" style="1237" customWidth="1"/>
    <col min="9486" max="9728" width="9" style="1237"/>
    <col min="9729" max="9729" width="4.88671875" style="1237" customWidth="1"/>
    <col min="9730" max="9730" width="13.21875" style="1237" customWidth="1"/>
    <col min="9731" max="9731" width="15.6640625" style="1237" customWidth="1"/>
    <col min="9732" max="9732" width="9.33203125" style="1237" bestFit="1" customWidth="1"/>
    <col min="9733" max="9733" width="13.44140625" style="1237" customWidth="1"/>
    <col min="9734" max="9734" width="9" style="1237"/>
    <col min="9735" max="9735" width="9.33203125" style="1237" bestFit="1" customWidth="1"/>
    <col min="9736" max="9737" width="9" style="1237"/>
    <col min="9738" max="9738" width="9.33203125" style="1237" bestFit="1" customWidth="1"/>
    <col min="9739" max="9739" width="4" style="1237" customWidth="1"/>
    <col min="9740" max="9740" width="5.109375" style="1237" customWidth="1"/>
    <col min="9741" max="9741" width="13.77734375" style="1237" customWidth="1"/>
    <col min="9742" max="9984" width="9" style="1237"/>
    <col min="9985" max="9985" width="4.88671875" style="1237" customWidth="1"/>
    <col min="9986" max="9986" width="13.21875" style="1237" customWidth="1"/>
    <col min="9987" max="9987" width="15.6640625" style="1237" customWidth="1"/>
    <col min="9988" max="9988" width="9.33203125" style="1237" bestFit="1" customWidth="1"/>
    <col min="9989" max="9989" width="13.44140625" style="1237" customWidth="1"/>
    <col min="9990" max="9990" width="9" style="1237"/>
    <col min="9991" max="9991" width="9.33203125" style="1237" bestFit="1" customWidth="1"/>
    <col min="9992" max="9993" width="9" style="1237"/>
    <col min="9994" max="9994" width="9.33203125" style="1237" bestFit="1" customWidth="1"/>
    <col min="9995" max="9995" width="4" style="1237" customWidth="1"/>
    <col min="9996" max="9996" width="5.109375" style="1237" customWidth="1"/>
    <col min="9997" max="9997" width="13.77734375" style="1237" customWidth="1"/>
    <col min="9998" max="10240" width="9" style="1237"/>
    <col min="10241" max="10241" width="4.88671875" style="1237" customWidth="1"/>
    <col min="10242" max="10242" width="13.21875" style="1237" customWidth="1"/>
    <col min="10243" max="10243" width="15.6640625" style="1237" customWidth="1"/>
    <col min="10244" max="10244" width="9.33203125" style="1237" bestFit="1" customWidth="1"/>
    <col min="10245" max="10245" width="13.44140625" style="1237" customWidth="1"/>
    <col min="10246" max="10246" width="9" style="1237"/>
    <col min="10247" max="10247" width="9.33203125" style="1237" bestFit="1" customWidth="1"/>
    <col min="10248" max="10249" width="9" style="1237"/>
    <col min="10250" max="10250" width="9.33203125" style="1237" bestFit="1" customWidth="1"/>
    <col min="10251" max="10251" width="4" style="1237" customWidth="1"/>
    <col min="10252" max="10252" width="5.109375" style="1237" customWidth="1"/>
    <col min="10253" max="10253" width="13.77734375" style="1237" customWidth="1"/>
    <col min="10254" max="10496" width="9" style="1237"/>
    <col min="10497" max="10497" width="4.88671875" style="1237" customWidth="1"/>
    <col min="10498" max="10498" width="13.21875" style="1237" customWidth="1"/>
    <col min="10499" max="10499" width="15.6640625" style="1237" customWidth="1"/>
    <col min="10500" max="10500" width="9.33203125" style="1237" bestFit="1" customWidth="1"/>
    <col min="10501" max="10501" width="13.44140625" style="1237" customWidth="1"/>
    <col min="10502" max="10502" width="9" style="1237"/>
    <col min="10503" max="10503" width="9.33203125" style="1237" bestFit="1" customWidth="1"/>
    <col min="10504" max="10505" width="9" style="1237"/>
    <col min="10506" max="10506" width="9.33203125" style="1237" bestFit="1" customWidth="1"/>
    <col min="10507" max="10507" width="4" style="1237" customWidth="1"/>
    <col min="10508" max="10508" width="5.109375" style="1237" customWidth="1"/>
    <col min="10509" max="10509" width="13.77734375" style="1237" customWidth="1"/>
    <col min="10510" max="10752" width="9" style="1237"/>
    <col min="10753" max="10753" width="4.88671875" style="1237" customWidth="1"/>
    <col min="10754" max="10754" width="13.21875" style="1237" customWidth="1"/>
    <col min="10755" max="10755" width="15.6640625" style="1237" customWidth="1"/>
    <col min="10756" max="10756" width="9.33203125" style="1237" bestFit="1" customWidth="1"/>
    <col min="10757" max="10757" width="13.44140625" style="1237" customWidth="1"/>
    <col min="10758" max="10758" width="9" style="1237"/>
    <col min="10759" max="10759" width="9.33203125" style="1237" bestFit="1" customWidth="1"/>
    <col min="10760" max="10761" width="9" style="1237"/>
    <col min="10762" max="10762" width="9.33203125" style="1237" bestFit="1" customWidth="1"/>
    <col min="10763" max="10763" width="4" style="1237" customWidth="1"/>
    <col min="10764" max="10764" width="5.109375" style="1237" customWidth="1"/>
    <col min="10765" max="10765" width="13.77734375" style="1237" customWidth="1"/>
    <col min="10766" max="11008" width="9" style="1237"/>
    <col min="11009" max="11009" width="4.88671875" style="1237" customWidth="1"/>
    <col min="11010" max="11010" width="13.21875" style="1237" customWidth="1"/>
    <col min="11011" max="11011" width="15.6640625" style="1237" customWidth="1"/>
    <col min="11012" max="11012" width="9.33203125" style="1237" bestFit="1" customWidth="1"/>
    <col min="11013" max="11013" width="13.44140625" style="1237" customWidth="1"/>
    <col min="11014" max="11014" width="9" style="1237"/>
    <col min="11015" max="11015" width="9.33203125" style="1237" bestFit="1" customWidth="1"/>
    <col min="11016" max="11017" width="9" style="1237"/>
    <col min="11018" max="11018" width="9.33203125" style="1237" bestFit="1" customWidth="1"/>
    <col min="11019" max="11019" width="4" style="1237" customWidth="1"/>
    <col min="11020" max="11020" width="5.109375" style="1237" customWidth="1"/>
    <col min="11021" max="11021" width="13.77734375" style="1237" customWidth="1"/>
    <col min="11022" max="11264" width="9" style="1237"/>
    <col min="11265" max="11265" width="4.88671875" style="1237" customWidth="1"/>
    <col min="11266" max="11266" width="13.21875" style="1237" customWidth="1"/>
    <col min="11267" max="11267" width="15.6640625" style="1237" customWidth="1"/>
    <col min="11268" max="11268" width="9.33203125" style="1237" bestFit="1" customWidth="1"/>
    <col min="11269" max="11269" width="13.44140625" style="1237" customWidth="1"/>
    <col min="11270" max="11270" width="9" style="1237"/>
    <col min="11271" max="11271" width="9.33203125" style="1237" bestFit="1" customWidth="1"/>
    <col min="11272" max="11273" width="9" style="1237"/>
    <col min="11274" max="11274" width="9.33203125" style="1237" bestFit="1" customWidth="1"/>
    <col min="11275" max="11275" width="4" style="1237" customWidth="1"/>
    <col min="11276" max="11276" width="5.109375" style="1237" customWidth="1"/>
    <col min="11277" max="11277" width="13.77734375" style="1237" customWidth="1"/>
    <col min="11278" max="11520" width="9" style="1237"/>
    <col min="11521" max="11521" width="4.88671875" style="1237" customWidth="1"/>
    <col min="11522" max="11522" width="13.21875" style="1237" customWidth="1"/>
    <col min="11523" max="11523" width="15.6640625" style="1237" customWidth="1"/>
    <col min="11524" max="11524" width="9.33203125" style="1237" bestFit="1" customWidth="1"/>
    <col min="11525" max="11525" width="13.44140625" style="1237" customWidth="1"/>
    <col min="11526" max="11526" width="9" style="1237"/>
    <col min="11527" max="11527" width="9.33203125" style="1237" bestFit="1" customWidth="1"/>
    <col min="11528" max="11529" width="9" style="1237"/>
    <col min="11530" max="11530" width="9.33203125" style="1237" bestFit="1" customWidth="1"/>
    <col min="11531" max="11531" width="4" style="1237" customWidth="1"/>
    <col min="11532" max="11532" width="5.109375" style="1237" customWidth="1"/>
    <col min="11533" max="11533" width="13.77734375" style="1237" customWidth="1"/>
    <col min="11534" max="11776" width="9" style="1237"/>
    <col min="11777" max="11777" width="4.88671875" style="1237" customWidth="1"/>
    <col min="11778" max="11778" width="13.21875" style="1237" customWidth="1"/>
    <col min="11779" max="11779" width="15.6640625" style="1237" customWidth="1"/>
    <col min="11780" max="11780" width="9.33203125" style="1237" bestFit="1" customWidth="1"/>
    <col min="11781" max="11781" width="13.44140625" style="1237" customWidth="1"/>
    <col min="11782" max="11782" width="9" style="1237"/>
    <col min="11783" max="11783" width="9.33203125" style="1237" bestFit="1" customWidth="1"/>
    <col min="11784" max="11785" width="9" style="1237"/>
    <col min="11786" max="11786" width="9.33203125" style="1237" bestFit="1" customWidth="1"/>
    <col min="11787" max="11787" width="4" style="1237" customWidth="1"/>
    <col min="11788" max="11788" width="5.109375" style="1237" customWidth="1"/>
    <col min="11789" max="11789" width="13.77734375" style="1237" customWidth="1"/>
    <col min="11790" max="12032" width="9" style="1237"/>
    <col min="12033" max="12033" width="4.88671875" style="1237" customWidth="1"/>
    <col min="12034" max="12034" width="13.21875" style="1237" customWidth="1"/>
    <col min="12035" max="12035" width="15.6640625" style="1237" customWidth="1"/>
    <col min="12036" max="12036" width="9.33203125" style="1237" bestFit="1" customWidth="1"/>
    <col min="12037" max="12037" width="13.44140625" style="1237" customWidth="1"/>
    <col min="12038" max="12038" width="9" style="1237"/>
    <col min="12039" max="12039" width="9.33203125" style="1237" bestFit="1" customWidth="1"/>
    <col min="12040" max="12041" width="9" style="1237"/>
    <col min="12042" max="12042" width="9.33203125" style="1237" bestFit="1" customWidth="1"/>
    <col min="12043" max="12043" width="4" style="1237" customWidth="1"/>
    <col min="12044" max="12044" width="5.109375" style="1237" customWidth="1"/>
    <col min="12045" max="12045" width="13.77734375" style="1237" customWidth="1"/>
    <col min="12046" max="12288" width="9" style="1237"/>
    <col min="12289" max="12289" width="4.88671875" style="1237" customWidth="1"/>
    <col min="12290" max="12290" width="13.21875" style="1237" customWidth="1"/>
    <col min="12291" max="12291" width="15.6640625" style="1237" customWidth="1"/>
    <col min="12292" max="12292" width="9.33203125" style="1237" bestFit="1" customWidth="1"/>
    <col min="12293" max="12293" width="13.44140625" style="1237" customWidth="1"/>
    <col min="12294" max="12294" width="9" style="1237"/>
    <col min="12295" max="12295" width="9.33203125" style="1237" bestFit="1" customWidth="1"/>
    <col min="12296" max="12297" width="9" style="1237"/>
    <col min="12298" max="12298" width="9.33203125" style="1237" bestFit="1" customWidth="1"/>
    <col min="12299" max="12299" width="4" style="1237" customWidth="1"/>
    <col min="12300" max="12300" width="5.109375" style="1237" customWidth="1"/>
    <col min="12301" max="12301" width="13.77734375" style="1237" customWidth="1"/>
    <col min="12302" max="12544" width="9" style="1237"/>
    <col min="12545" max="12545" width="4.88671875" style="1237" customWidth="1"/>
    <col min="12546" max="12546" width="13.21875" style="1237" customWidth="1"/>
    <col min="12547" max="12547" width="15.6640625" style="1237" customWidth="1"/>
    <col min="12548" max="12548" width="9.33203125" style="1237" bestFit="1" customWidth="1"/>
    <col min="12549" max="12549" width="13.44140625" style="1237" customWidth="1"/>
    <col min="12550" max="12550" width="9" style="1237"/>
    <col min="12551" max="12551" width="9.33203125" style="1237" bestFit="1" customWidth="1"/>
    <col min="12552" max="12553" width="9" style="1237"/>
    <col min="12554" max="12554" width="9.33203125" style="1237" bestFit="1" customWidth="1"/>
    <col min="12555" max="12555" width="4" style="1237" customWidth="1"/>
    <col min="12556" max="12556" width="5.109375" style="1237" customWidth="1"/>
    <col min="12557" max="12557" width="13.77734375" style="1237" customWidth="1"/>
    <col min="12558" max="12800" width="9" style="1237"/>
    <col min="12801" max="12801" width="4.88671875" style="1237" customWidth="1"/>
    <col min="12802" max="12802" width="13.21875" style="1237" customWidth="1"/>
    <col min="12803" max="12803" width="15.6640625" style="1237" customWidth="1"/>
    <col min="12804" max="12804" width="9.33203125" style="1237" bestFit="1" customWidth="1"/>
    <col min="12805" max="12805" width="13.44140625" style="1237" customWidth="1"/>
    <col min="12806" max="12806" width="9" style="1237"/>
    <col min="12807" max="12807" width="9.33203125" style="1237" bestFit="1" customWidth="1"/>
    <col min="12808" max="12809" width="9" style="1237"/>
    <col min="12810" max="12810" width="9.33203125" style="1237" bestFit="1" customWidth="1"/>
    <col min="12811" max="12811" width="4" style="1237" customWidth="1"/>
    <col min="12812" max="12812" width="5.109375" style="1237" customWidth="1"/>
    <col min="12813" max="12813" width="13.77734375" style="1237" customWidth="1"/>
    <col min="12814" max="13056" width="9" style="1237"/>
    <col min="13057" max="13057" width="4.88671875" style="1237" customWidth="1"/>
    <col min="13058" max="13058" width="13.21875" style="1237" customWidth="1"/>
    <col min="13059" max="13059" width="15.6640625" style="1237" customWidth="1"/>
    <col min="13060" max="13060" width="9.33203125" style="1237" bestFit="1" customWidth="1"/>
    <col min="13061" max="13061" width="13.44140625" style="1237" customWidth="1"/>
    <col min="13062" max="13062" width="9" style="1237"/>
    <col min="13063" max="13063" width="9.33203125" style="1237" bestFit="1" customWidth="1"/>
    <col min="13064" max="13065" width="9" style="1237"/>
    <col min="13066" max="13066" width="9.33203125" style="1237" bestFit="1" customWidth="1"/>
    <col min="13067" max="13067" width="4" style="1237" customWidth="1"/>
    <col min="13068" max="13068" width="5.109375" style="1237" customWidth="1"/>
    <col min="13069" max="13069" width="13.77734375" style="1237" customWidth="1"/>
    <col min="13070" max="13312" width="9" style="1237"/>
    <col min="13313" max="13313" width="4.88671875" style="1237" customWidth="1"/>
    <col min="13314" max="13314" width="13.21875" style="1237" customWidth="1"/>
    <col min="13315" max="13315" width="15.6640625" style="1237" customWidth="1"/>
    <col min="13316" max="13316" width="9.33203125" style="1237" bestFit="1" customWidth="1"/>
    <col min="13317" max="13317" width="13.44140625" style="1237" customWidth="1"/>
    <col min="13318" max="13318" width="9" style="1237"/>
    <col min="13319" max="13319" width="9.33203125" style="1237" bestFit="1" customWidth="1"/>
    <col min="13320" max="13321" width="9" style="1237"/>
    <col min="13322" max="13322" width="9.33203125" style="1237" bestFit="1" customWidth="1"/>
    <col min="13323" max="13323" width="4" style="1237" customWidth="1"/>
    <col min="13324" max="13324" width="5.109375" style="1237" customWidth="1"/>
    <col min="13325" max="13325" width="13.77734375" style="1237" customWidth="1"/>
    <col min="13326" max="13568" width="9" style="1237"/>
    <col min="13569" max="13569" width="4.88671875" style="1237" customWidth="1"/>
    <col min="13570" max="13570" width="13.21875" style="1237" customWidth="1"/>
    <col min="13571" max="13571" width="15.6640625" style="1237" customWidth="1"/>
    <col min="13572" max="13572" width="9.33203125" style="1237" bestFit="1" customWidth="1"/>
    <col min="13573" max="13573" width="13.44140625" style="1237" customWidth="1"/>
    <col min="13574" max="13574" width="9" style="1237"/>
    <col min="13575" max="13575" width="9.33203125" style="1237" bestFit="1" customWidth="1"/>
    <col min="13576" max="13577" width="9" style="1237"/>
    <col min="13578" max="13578" width="9.33203125" style="1237" bestFit="1" customWidth="1"/>
    <col min="13579" max="13579" width="4" style="1237" customWidth="1"/>
    <col min="13580" max="13580" width="5.109375" style="1237" customWidth="1"/>
    <col min="13581" max="13581" width="13.77734375" style="1237" customWidth="1"/>
    <col min="13582" max="13824" width="9" style="1237"/>
    <col min="13825" max="13825" width="4.88671875" style="1237" customWidth="1"/>
    <col min="13826" max="13826" width="13.21875" style="1237" customWidth="1"/>
    <col min="13827" max="13827" width="15.6640625" style="1237" customWidth="1"/>
    <col min="13828" max="13828" width="9.33203125" style="1237" bestFit="1" customWidth="1"/>
    <col min="13829" max="13829" width="13.44140625" style="1237" customWidth="1"/>
    <col min="13830" max="13830" width="9" style="1237"/>
    <col min="13831" max="13831" width="9.33203125" style="1237" bestFit="1" customWidth="1"/>
    <col min="13832" max="13833" width="9" style="1237"/>
    <col min="13834" max="13834" width="9.33203125" style="1237" bestFit="1" customWidth="1"/>
    <col min="13835" max="13835" width="4" style="1237" customWidth="1"/>
    <col min="13836" max="13836" width="5.109375" style="1237" customWidth="1"/>
    <col min="13837" max="13837" width="13.77734375" style="1237" customWidth="1"/>
    <col min="13838" max="14080" width="9" style="1237"/>
    <col min="14081" max="14081" width="4.88671875" style="1237" customWidth="1"/>
    <col min="14082" max="14082" width="13.21875" style="1237" customWidth="1"/>
    <col min="14083" max="14083" width="15.6640625" style="1237" customWidth="1"/>
    <col min="14084" max="14084" width="9.33203125" style="1237" bestFit="1" customWidth="1"/>
    <col min="14085" max="14085" width="13.44140625" style="1237" customWidth="1"/>
    <col min="14086" max="14086" width="9" style="1237"/>
    <col min="14087" max="14087" width="9.33203125" style="1237" bestFit="1" customWidth="1"/>
    <col min="14088" max="14089" width="9" style="1237"/>
    <col min="14090" max="14090" width="9.33203125" style="1237" bestFit="1" customWidth="1"/>
    <col min="14091" max="14091" width="4" style="1237" customWidth="1"/>
    <col min="14092" max="14092" width="5.109375" style="1237" customWidth="1"/>
    <col min="14093" max="14093" width="13.77734375" style="1237" customWidth="1"/>
    <col min="14094" max="14336" width="9" style="1237"/>
    <col min="14337" max="14337" width="4.88671875" style="1237" customWidth="1"/>
    <col min="14338" max="14338" width="13.21875" style="1237" customWidth="1"/>
    <col min="14339" max="14339" width="15.6640625" style="1237" customWidth="1"/>
    <col min="14340" max="14340" width="9.33203125" style="1237" bestFit="1" customWidth="1"/>
    <col min="14341" max="14341" width="13.44140625" style="1237" customWidth="1"/>
    <col min="14342" max="14342" width="9" style="1237"/>
    <col min="14343" max="14343" width="9.33203125" style="1237" bestFit="1" customWidth="1"/>
    <col min="14344" max="14345" width="9" style="1237"/>
    <col min="14346" max="14346" width="9.33203125" style="1237" bestFit="1" customWidth="1"/>
    <col min="14347" max="14347" width="4" style="1237" customWidth="1"/>
    <col min="14348" max="14348" width="5.109375" style="1237" customWidth="1"/>
    <col min="14349" max="14349" width="13.77734375" style="1237" customWidth="1"/>
    <col min="14350" max="14592" width="9" style="1237"/>
    <col min="14593" max="14593" width="4.88671875" style="1237" customWidth="1"/>
    <col min="14594" max="14594" width="13.21875" style="1237" customWidth="1"/>
    <col min="14595" max="14595" width="15.6640625" style="1237" customWidth="1"/>
    <col min="14596" max="14596" width="9.33203125" style="1237" bestFit="1" customWidth="1"/>
    <col min="14597" max="14597" width="13.44140625" style="1237" customWidth="1"/>
    <col min="14598" max="14598" width="9" style="1237"/>
    <col min="14599" max="14599" width="9.33203125" style="1237" bestFit="1" customWidth="1"/>
    <col min="14600" max="14601" width="9" style="1237"/>
    <col min="14602" max="14602" width="9.33203125" style="1237" bestFit="1" customWidth="1"/>
    <col min="14603" max="14603" width="4" style="1237" customWidth="1"/>
    <col min="14604" max="14604" width="5.109375" style="1237" customWidth="1"/>
    <col min="14605" max="14605" width="13.77734375" style="1237" customWidth="1"/>
    <col min="14606" max="14848" width="9" style="1237"/>
    <col min="14849" max="14849" width="4.88671875" style="1237" customWidth="1"/>
    <col min="14850" max="14850" width="13.21875" style="1237" customWidth="1"/>
    <col min="14851" max="14851" width="15.6640625" style="1237" customWidth="1"/>
    <col min="14852" max="14852" width="9.33203125" style="1237" bestFit="1" customWidth="1"/>
    <col min="14853" max="14853" width="13.44140625" style="1237" customWidth="1"/>
    <col min="14854" max="14854" width="9" style="1237"/>
    <col min="14855" max="14855" width="9.33203125" style="1237" bestFit="1" customWidth="1"/>
    <col min="14856" max="14857" width="9" style="1237"/>
    <col min="14858" max="14858" width="9.33203125" style="1237" bestFit="1" customWidth="1"/>
    <col min="14859" max="14859" width="4" style="1237" customWidth="1"/>
    <col min="14860" max="14860" width="5.109375" style="1237" customWidth="1"/>
    <col min="14861" max="14861" width="13.77734375" style="1237" customWidth="1"/>
    <col min="14862" max="15104" width="9" style="1237"/>
    <col min="15105" max="15105" width="4.88671875" style="1237" customWidth="1"/>
    <col min="15106" max="15106" width="13.21875" style="1237" customWidth="1"/>
    <col min="15107" max="15107" width="15.6640625" style="1237" customWidth="1"/>
    <col min="15108" max="15108" width="9.33203125" style="1237" bestFit="1" customWidth="1"/>
    <col min="15109" max="15109" width="13.44140625" style="1237" customWidth="1"/>
    <col min="15110" max="15110" width="9" style="1237"/>
    <col min="15111" max="15111" width="9.33203125" style="1237" bestFit="1" customWidth="1"/>
    <col min="15112" max="15113" width="9" style="1237"/>
    <col min="15114" max="15114" width="9.33203125" style="1237" bestFit="1" customWidth="1"/>
    <col min="15115" max="15115" width="4" style="1237" customWidth="1"/>
    <col min="15116" max="15116" width="5.109375" style="1237" customWidth="1"/>
    <col min="15117" max="15117" width="13.77734375" style="1237" customWidth="1"/>
    <col min="15118" max="15360" width="9" style="1237"/>
    <col min="15361" max="15361" width="4.88671875" style="1237" customWidth="1"/>
    <col min="15362" max="15362" width="13.21875" style="1237" customWidth="1"/>
    <col min="15363" max="15363" width="15.6640625" style="1237" customWidth="1"/>
    <col min="15364" max="15364" width="9.33203125" style="1237" bestFit="1" customWidth="1"/>
    <col min="15365" max="15365" width="13.44140625" style="1237" customWidth="1"/>
    <col min="15366" max="15366" width="9" style="1237"/>
    <col min="15367" max="15367" width="9.33203125" style="1237" bestFit="1" customWidth="1"/>
    <col min="15368" max="15369" width="9" style="1237"/>
    <col min="15370" max="15370" width="9.33203125" style="1237" bestFit="1" customWidth="1"/>
    <col min="15371" max="15371" width="4" style="1237" customWidth="1"/>
    <col min="15372" max="15372" width="5.109375" style="1237" customWidth="1"/>
    <col min="15373" max="15373" width="13.77734375" style="1237" customWidth="1"/>
    <col min="15374" max="15616" width="9" style="1237"/>
    <col min="15617" max="15617" width="4.88671875" style="1237" customWidth="1"/>
    <col min="15618" max="15618" width="13.21875" style="1237" customWidth="1"/>
    <col min="15619" max="15619" width="15.6640625" style="1237" customWidth="1"/>
    <col min="15620" max="15620" width="9.33203125" style="1237" bestFit="1" customWidth="1"/>
    <col min="15621" max="15621" width="13.44140625" style="1237" customWidth="1"/>
    <col min="15622" max="15622" width="9" style="1237"/>
    <col min="15623" max="15623" width="9.33203125" style="1237" bestFit="1" customWidth="1"/>
    <col min="15624" max="15625" width="9" style="1237"/>
    <col min="15626" max="15626" width="9.33203125" style="1237" bestFit="1" customWidth="1"/>
    <col min="15627" max="15627" width="4" style="1237" customWidth="1"/>
    <col min="15628" max="15628" width="5.109375" style="1237" customWidth="1"/>
    <col min="15629" max="15629" width="13.77734375" style="1237" customWidth="1"/>
    <col min="15630" max="15872" width="9" style="1237"/>
    <col min="15873" max="15873" width="4.88671875" style="1237" customWidth="1"/>
    <col min="15874" max="15874" width="13.21875" style="1237" customWidth="1"/>
    <col min="15875" max="15875" width="15.6640625" style="1237" customWidth="1"/>
    <col min="15876" max="15876" width="9.33203125" style="1237" bestFit="1" customWidth="1"/>
    <col min="15877" max="15877" width="13.44140625" style="1237" customWidth="1"/>
    <col min="15878" max="15878" width="9" style="1237"/>
    <col min="15879" max="15879" width="9.33203125" style="1237" bestFit="1" customWidth="1"/>
    <col min="15880" max="15881" width="9" style="1237"/>
    <col min="15882" max="15882" width="9.33203125" style="1237" bestFit="1" customWidth="1"/>
    <col min="15883" max="15883" width="4" style="1237" customWidth="1"/>
    <col min="15884" max="15884" width="5.109375" style="1237" customWidth="1"/>
    <col min="15885" max="15885" width="13.77734375" style="1237" customWidth="1"/>
    <col min="15886" max="16128" width="9" style="1237"/>
    <col min="16129" max="16129" width="4.88671875" style="1237" customWidth="1"/>
    <col min="16130" max="16130" width="13.21875" style="1237" customWidth="1"/>
    <col min="16131" max="16131" width="15.6640625" style="1237" customWidth="1"/>
    <col min="16132" max="16132" width="9.33203125" style="1237" bestFit="1" customWidth="1"/>
    <col min="16133" max="16133" width="13.44140625" style="1237" customWidth="1"/>
    <col min="16134" max="16134" width="9" style="1237"/>
    <col min="16135" max="16135" width="9.33203125" style="1237" bestFit="1" customWidth="1"/>
    <col min="16136" max="16137" width="9" style="1237"/>
    <col min="16138" max="16138" width="9.33203125" style="1237" bestFit="1" customWidth="1"/>
    <col min="16139" max="16139" width="4" style="1237" customWidth="1"/>
    <col min="16140" max="16140" width="5.109375" style="1237" customWidth="1"/>
    <col min="16141" max="16141" width="13.77734375" style="1237" customWidth="1"/>
    <col min="16142" max="16384" width="9" style="1237"/>
  </cols>
  <sheetData>
    <row r="1" spans="1:257" s="1299" customFormat="1" ht="15" thickBot="1">
      <c r="A1" s="1293"/>
      <c r="B1" s="1300" t="s">
        <v>602</v>
      </c>
      <c r="C1" s="1294">
        <f>项目基本情况!D3</f>
        <v>45504</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6"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399999999999999">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2">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31.2">
      <c r="A13" s="1282"/>
      <c r="B13" s="1283" t="s">
        <v>632</v>
      </c>
      <c r="C13" s="2818">
        <v>45159</v>
      </c>
      <c r="D13" s="2819">
        <v>3.45</v>
      </c>
      <c r="E13" s="2819">
        <f>D13</f>
        <v>3.45</v>
      </c>
      <c r="F13" s="2819">
        <f>D13</f>
        <v>3.45</v>
      </c>
      <c r="G13" s="2819">
        <f>D13</f>
        <v>3.45</v>
      </c>
      <c r="H13" s="2819">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5.6">
      <c r="A14" s="1282"/>
      <c r="B14" s="2813"/>
      <c r="C14" s="2815">
        <v>45097</v>
      </c>
      <c r="D14" s="2814">
        <v>3.55</v>
      </c>
      <c r="E14" s="2814">
        <f>D14</f>
        <v>3.55</v>
      </c>
      <c r="F14" s="2814">
        <f>D14</f>
        <v>3.55</v>
      </c>
      <c r="G14" s="2814">
        <f>D14</f>
        <v>3.55</v>
      </c>
      <c r="H14" s="2814">
        <v>4.2</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5.6">
      <c r="A15" s="1282"/>
      <c r="B15" s="2813"/>
      <c r="C15" s="2815">
        <v>44795</v>
      </c>
      <c r="D15" s="2814">
        <v>3.65</v>
      </c>
      <c r="E15" s="2814">
        <v>3.65</v>
      </c>
      <c r="F15" s="2814">
        <v>3.65</v>
      </c>
      <c r="G15" s="2814">
        <v>3.65</v>
      </c>
      <c r="H15" s="2814">
        <v>4.3</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5.6">
      <c r="A16" s="1282"/>
      <c r="B16" s="2813"/>
      <c r="C16" s="2815">
        <v>44701</v>
      </c>
      <c r="D16" s="2814">
        <v>3.7</v>
      </c>
      <c r="E16" s="2814">
        <f>D16</f>
        <v>3.7</v>
      </c>
      <c r="F16" s="2814">
        <f>D16</f>
        <v>3.7</v>
      </c>
      <c r="G16" s="2814">
        <f>D16</f>
        <v>3.7</v>
      </c>
      <c r="H16" s="2814">
        <v>4.45</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5.6">
      <c r="A17" s="1282"/>
      <c r="B17" s="2813"/>
      <c r="C17" s="2815">
        <v>44581</v>
      </c>
      <c r="D17" s="2814">
        <v>3.7</v>
      </c>
      <c r="E17" s="2814">
        <f>D17</f>
        <v>3.7</v>
      </c>
      <c r="F17" s="2814">
        <f>D17</f>
        <v>3.7</v>
      </c>
      <c r="G17" s="2814">
        <f>D17</f>
        <v>3.7</v>
      </c>
      <c r="H17" s="2814">
        <v>4.5999999999999996</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6.8">
      <c r="A18" s="1282"/>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2"/>
      <c r="B19" s="2814"/>
      <c r="C19" s="2815">
        <v>43941</v>
      </c>
      <c r="D19" s="2814">
        <v>3.85</v>
      </c>
      <c r="E19" s="2814">
        <v>3.85</v>
      </c>
      <c r="F19" s="2814">
        <v>3.85</v>
      </c>
      <c r="G19" s="2814">
        <v>3.85</v>
      </c>
      <c r="H19" s="2814">
        <v>4.6500000000000004</v>
      </c>
      <c r="I19" s="2814"/>
      <c r="J19" s="2814"/>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6">
      <c r="A20" s="1282"/>
      <c r="B20" s="2814"/>
      <c r="C20" s="2815">
        <v>43881</v>
      </c>
      <c r="D20" s="2814">
        <v>4.05</v>
      </c>
      <c r="E20" s="2814">
        <v>4.05</v>
      </c>
      <c r="F20" s="2814">
        <v>4.05</v>
      </c>
      <c r="G20" s="2814">
        <v>4.05</v>
      </c>
      <c r="H20" s="2814">
        <v>4.75</v>
      </c>
      <c r="I20" s="2814"/>
      <c r="J20" s="2814"/>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5.6">
      <c r="A21" s="1282"/>
      <c r="B21" s="2814"/>
      <c r="C21" s="2815">
        <v>43789</v>
      </c>
      <c r="D21" s="2814">
        <v>4.1500000000000004</v>
      </c>
      <c r="E21" s="2814">
        <v>4.1500000000000004</v>
      </c>
      <c r="F21" s="2814">
        <v>4.1500000000000004</v>
      </c>
      <c r="G21" s="2814">
        <v>4.1500000000000004</v>
      </c>
      <c r="H21" s="2814">
        <v>4.8</v>
      </c>
      <c r="I21" s="2814"/>
      <c r="J21" s="2814"/>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5.6">
      <c r="A22" s="1282"/>
      <c r="B22" s="2814"/>
      <c r="C22" s="2815">
        <v>43728</v>
      </c>
      <c r="D22" s="2814">
        <v>4.2</v>
      </c>
      <c r="E22" s="2814">
        <v>4.2</v>
      </c>
      <c r="F22" s="2814">
        <v>4.2</v>
      </c>
      <c r="G22" s="2814">
        <v>4.2</v>
      </c>
      <c r="H22" s="2814">
        <v>4.8499999999999996</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5.6">
      <c r="A23" s="2820"/>
      <c r="B23" s="2813" t="s">
        <v>2308</v>
      </c>
      <c r="C23" s="2816">
        <v>43697</v>
      </c>
      <c r="D23" s="2817">
        <v>4.25</v>
      </c>
      <c r="E23" s="2817">
        <v>4.25</v>
      </c>
      <c r="F23" s="2817">
        <v>4.25</v>
      </c>
      <c r="G23" s="2817">
        <v>4.25</v>
      </c>
      <c r="H23" s="2817">
        <v>4.8499999999999996</v>
      </c>
      <c r="I23" s="2817"/>
      <c r="J23" s="2817"/>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5.6">
      <c r="B24" s="2821"/>
      <c r="C24" s="2822">
        <v>42301</v>
      </c>
      <c r="D24" s="2823">
        <v>4.3499999999999996</v>
      </c>
      <c r="E24" s="2823">
        <v>4.3499999999999996</v>
      </c>
      <c r="F24" s="2823">
        <v>4.75</v>
      </c>
      <c r="G24" s="2823">
        <v>4.75</v>
      </c>
      <c r="H24" s="2823">
        <v>4.9000000000000004</v>
      </c>
      <c r="I24" s="2823"/>
      <c r="J24" s="2823"/>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5" customWidth="1"/>
    <col min="2" max="3" width="22.33203125" style="1475" customWidth="1"/>
    <col min="4" max="4" width="23" style="1475" customWidth="1"/>
    <col min="5" max="16384" width="9" style="1475"/>
  </cols>
  <sheetData>
    <row r="1" spans="1:4" ht="17.399999999999999">
      <c r="A1" s="3535" t="s">
        <v>947</v>
      </c>
      <c r="B1" s="3535"/>
      <c r="C1" s="3535"/>
      <c r="D1" s="3535"/>
    </row>
    <row r="2" spans="1:4" ht="17.399999999999999">
      <c r="A2" s="3536" t="s">
        <v>931</v>
      </c>
      <c r="B2" s="3536"/>
      <c r="C2" s="3536"/>
      <c r="D2" s="3536"/>
    </row>
    <row r="3" spans="1:4" ht="17.399999999999999">
      <c r="A3" s="1507" t="s">
        <v>932</v>
      </c>
      <c r="B3" s="1507" t="s">
        <v>933</v>
      </c>
      <c r="C3" s="1507" t="s">
        <v>934</v>
      </c>
      <c r="D3" s="1507" t="s">
        <v>935</v>
      </c>
    </row>
    <row r="4" spans="1:4" ht="56.25" customHeight="1">
      <c r="A4" s="1508" t="str">
        <f>项目基本情况!B4</f>
        <v>郑燚</v>
      </c>
      <c r="B4" s="1509">
        <f ca="1">项目基本情况!C4</f>
        <v>1120070131</v>
      </c>
      <c r="C4" s="1510"/>
      <c r="D4" s="1511" t="s">
        <v>936</v>
      </c>
    </row>
    <row r="5" spans="1:4" ht="56.25" customHeight="1">
      <c r="A5" s="1508" t="str">
        <f>项目基本情况!D4</f>
        <v>崔锴</v>
      </c>
      <c r="B5" s="1509">
        <f ca="1">项目基本情况!E4</f>
        <v>1120100036</v>
      </c>
      <c r="C5" s="1512"/>
      <c r="D5" s="1511" t="s">
        <v>936</v>
      </c>
    </row>
    <row r="6" spans="1:4" ht="17.399999999999999">
      <c r="A6" s="3536" t="s">
        <v>937</v>
      </c>
      <c r="B6" s="3536"/>
      <c r="C6" s="3536"/>
      <c r="D6" s="3536"/>
    </row>
    <row r="7" spans="1:4" ht="17.399999999999999">
      <c r="A7" s="1507" t="s">
        <v>932</v>
      </c>
      <c r="B7" s="1509" t="s">
        <v>938</v>
      </c>
      <c r="C7" s="1507" t="s">
        <v>934</v>
      </c>
      <c r="D7" s="1507" t="s">
        <v>935</v>
      </c>
    </row>
    <row r="8" spans="1:4" ht="56.25" customHeight="1">
      <c r="A8" s="1513" t="s">
        <v>390</v>
      </c>
      <c r="B8" s="1513" t="s">
        <v>0</v>
      </c>
      <c r="C8" s="1510"/>
      <c r="D8" s="1511" t="s">
        <v>936</v>
      </c>
    </row>
    <row r="9" spans="1:4">
      <c r="A9" s="673"/>
      <c r="B9" s="673"/>
      <c r="C9" s="673"/>
      <c r="D9" s="673"/>
    </row>
    <row r="10" spans="1:4" ht="17.399999999999999">
      <c r="A10" s="1514" t="s">
        <v>939</v>
      </c>
      <c r="B10" s="673"/>
      <c r="C10" s="673"/>
      <c r="D10" s="673"/>
    </row>
    <row r="11" spans="1:4" ht="30" customHeight="1">
      <c r="A11" s="3537" t="s">
        <v>940</v>
      </c>
      <c r="B11" s="3538"/>
      <c r="C11" s="3538"/>
      <c r="D11" s="3538"/>
    </row>
    <row r="12" spans="1:4" ht="15.6">
      <c r="A12" s="35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9"/>
      <c r="C12" s="3539"/>
      <c r="D12" s="3539"/>
    </row>
    <row r="13" spans="1:4" ht="30" customHeight="1">
      <c r="A13" s="35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9"/>
      <c r="C13" s="3539"/>
      <c r="D13" s="3539"/>
    </row>
    <row r="14" spans="1:4" ht="15.75" customHeight="1">
      <c r="A14" s="3538" t="str">
        <f>IF(项目基本情况!B8="抵押","4.本次评估估价师所知悉的法定优先受偿款情况说明如下：","——")</f>
        <v>4.本次评估估价师所知悉的法定优先受偿款情况说明如下：</v>
      </c>
      <c r="B14" s="3539"/>
      <c r="C14" s="3539"/>
      <c r="D14" s="3539"/>
    </row>
    <row r="15" spans="1:4" ht="42" customHeight="1">
      <c r="A15" s="353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8"/>
      <c r="C15" s="3538"/>
      <c r="D15" s="3538"/>
    </row>
    <row r="16" spans="1:4" ht="30" customHeight="1">
      <c r="A16" s="3541" t="s">
        <v>941</v>
      </c>
      <c r="B16" s="3541"/>
      <c r="C16" s="3541"/>
      <c r="D16" s="3541"/>
    </row>
    <row r="17" spans="1:4" ht="144" customHeight="1">
      <c r="A17" s="3541" t="s">
        <v>942</v>
      </c>
      <c r="B17" s="3541"/>
      <c r="C17" s="3541"/>
      <c r="D17" s="3541"/>
    </row>
    <row r="18" spans="1:4" ht="15.75" customHeight="1">
      <c r="A18" s="3538" t="str">
        <f>IF(项目基本情况!B8="抵押",结果表110!K120,"——")</f>
        <v>故，本次评估不存在估价师知悉的法定优先受偿款</v>
      </c>
      <c r="B18" s="3538"/>
      <c r="C18" s="3538"/>
      <c r="D18" s="3538"/>
    </row>
    <row r="19" spans="1:4" ht="46.5" customHeight="1">
      <c r="A19" s="35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8"/>
      <c r="C19" s="3538"/>
      <c r="D19" s="3538"/>
    </row>
    <row r="20" spans="1:4" ht="57.75" customHeight="1">
      <c r="A20" s="3538" t="str">
        <f>IF(结果表110!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8"/>
      <c r="C20" s="3538"/>
      <c r="D20" s="3538"/>
    </row>
    <row r="21" spans="1:4" ht="57.75" customHeight="1">
      <c r="A21" s="3542" t="str">
        <f>IF(结果表110!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2"/>
      <c r="C21" s="3542"/>
      <c r="D21" s="3542"/>
    </row>
    <row r="22" spans="1:4" ht="18.75" customHeight="1">
      <c r="A22" s="3543" t="s">
        <v>943</v>
      </c>
      <c r="B22" s="3543"/>
      <c r="C22" s="3543"/>
      <c r="D22" s="3543"/>
    </row>
    <row r="23" spans="1:4">
      <c r="A23" s="1515"/>
      <c r="B23" s="1487"/>
      <c r="C23" s="1487"/>
      <c r="D23" s="1487"/>
    </row>
    <row r="24" spans="1:4">
      <c r="A24" s="1515"/>
      <c r="B24" s="1487"/>
      <c r="C24" s="1487"/>
      <c r="D24" s="1487"/>
    </row>
    <row r="25" spans="1:4" ht="17.399999999999999">
      <c r="A25" s="1516" t="s">
        <v>944</v>
      </c>
    </row>
    <row r="26" spans="1:4" ht="17.399999999999999">
      <c r="A26" s="1485"/>
    </row>
    <row r="27" spans="1:4" ht="17.399999999999999">
      <c r="A27" s="1485" t="s">
        <v>945</v>
      </c>
    </row>
    <row r="30" spans="1:4" ht="17.399999999999999">
      <c r="D30" s="1516" t="s">
        <v>946</v>
      </c>
    </row>
    <row r="31" spans="1:4" ht="13.5" customHeight="1">
      <c r="C31" s="3540">
        <v>42551</v>
      </c>
      <c r="D31" s="35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3" customWidth="1"/>
    <col min="3" max="10" width="12.44140625" style="1473" customWidth="1"/>
    <col min="11" max="16384" width="9" style="1473"/>
  </cols>
  <sheetData>
    <row r="1" spans="1:10" ht="17.399999999999999">
      <c r="A1" s="1506" t="s">
        <v>391</v>
      </c>
      <c r="B1" s="1517"/>
      <c r="C1" s="1517"/>
      <c r="D1" s="1517"/>
      <c r="E1" s="1517"/>
      <c r="F1" s="1517"/>
      <c r="G1" s="1517"/>
      <c r="H1" s="1517"/>
      <c r="I1" s="1517"/>
      <c r="J1" s="1517"/>
    </row>
    <row r="2" spans="1:10" ht="17.399999999999999">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3" customWidth="1"/>
    <col min="2" max="16384" width="14.44140625" style="1505"/>
  </cols>
  <sheetData>
    <row r="1" spans="1:7" s="1520" customFormat="1" ht="17.399999999999999">
      <c r="A1" s="1519" t="s">
        <v>948</v>
      </c>
    </row>
    <row r="3" spans="1:7">
      <c r="A3" s="1521" t="s">
        <v>55</v>
      </c>
      <c r="B3" s="1505" t="s">
        <v>949</v>
      </c>
      <c r="G3" s="1522"/>
    </row>
    <row r="4" spans="1:7">
      <c r="G4" s="1522"/>
    </row>
    <row r="5" spans="1:7">
      <c r="A5" s="1524" t="s">
        <v>46</v>
      </c>
      <c r="B5" s="1505" t="s">
        <v>950</v>
      </c>
      <c r="G5" s="1522"/>
    </row>
    <row r="6" spans="1:7">
      <c r="G6" s="1522"/>
    </row>
    <row r="7" spans="1:7">
      <c r="A7" s="1525" t="s">
        <v>108</v>
      </c>
      <c r="B7" s="1505" t="s">
        <v>951</v>
      </c>
      <c r="G7" s="1522"/>
    </row>
    <row r="8" spans="1:7">
      <c r="G8" s="1522"/>
    </row>
    <row r="9" spans="1:7">
      <c r="A9" s="1526" t="s">
        <v>47</v>
      </c>
      <c r="B9" s="1505" t="s">
        <v>952</v>
      </c>
    </row>
    <row r="11" spans="1:7">
      <c r="A11" s="1527" t="s">
        <v>48</v>
      </c>
      <c r="B11" s="1528" t="s">
        <v>45</v>
      </c>
    </row>
    <row r="13" spans="1:7">
      <c r="A13" s="1529" t="s">
        <v>953</v>
      </c>
    </row>
    <row r="15" spans="1:7" ht="14.4">
      <c r="A15" s="3549" t="s">
        <v>954</v>
      </c>
      <c r="B15" s="3544" t="s">
        <v>109</v>
      </c>
      <c r="C15" s="3545"/>
    </row>
    <row r="16" spans="1:7" ht="14.4">
      <c r="A16" s="3550"/>
      <c r="B16" s="3544" t="s">
        <v>42</v>
      </c>
      <c r="C16" s="3545"/>
    </row>
    <row r="17" spans="1:3" ht="14.4">
      <c r="A17" s="3550"/>
      <c r="B17" s="3547" t="s">
        <v>955</v>
      </c>
      <c r="C17" s="1530" t="s">
        <v>954</v>
      </c>
    </row>
    <row r="18" spans="1:3" ht="14.4">
      <c r="A18" s="3550"/>
      <c r="B18" s="3547"/>
      <c r="C18" s="1530" t="s">
        <v>956</v>
      </c>
    </row>
    <row r="19" spans="1:3" ht="14.4">
      <c r="A19" s="3550"/>
      <c r="B19" s="3547"/>
      <c r="C19" s="1530" t="s">
        <v>957</v>
      </c>
    </row>
    <row r="20" spans="1:3" ht="14.4">
      <c r="A20" s="3551"/>
      <c r="B20" s="3546" t="s">
        <v>958</v>
      </c>
      <c r="C20" s="3545"/>
    </row>
    <row r="21" spans="1:3" ht="14.4">
      <c r="A21" s="1531" t="s">
        <v>959</v>
      </c>
      <c r="B21" s="1532"/>
      <c r="C21" s="1533"/>
    </row>
    <row r="22" spans="1:3" ht="14.4">
      <c r="A22" s="3548" t="s">
        <v>960</v>
      </c>
      <c r="B22" s="3546" t="s">
        <v>961</v>
      </c>
      <c r="C22" s="3545"/>
    </row>
    <row r="23" spans="1:3" ht="14.4">
      <c r="A23" s="3548"/>
      <c r="B23" s="3546" t="s">
        <v>962</v>
      </c>
      <c r="C23" s="3545"/>
    </row>
    <row r="24" spans="1:3" ht="14.4">
      <c r="A24" s="3548"/>
      <c r="B24" s="3546" t="s">
        <v>963</v>
      </c>
      <c r="C24" s="3545"/>
    </row>
    <row r="25" spans="1:3" ht="14.4">
      <c r="A25" s="3548"/>
      <c r="B25" s="3547" t="s">
        <v>964</v>
      </c>
      <c r="C25" s="1530" t="s">
        <v>965</v>
      </c>
    </row>
    <row r="26" spans="1:3" ht="14.4">
      <c r="A26" s="3548"/>
      <c r="B26" s="3547"/>
      <c r="C26" s="1530" t="s">
        <v>966</v>
      </c>
    </row>
    <row r="27" spans="1:3" ht="14.4">
      <c r="A27" s="3548"/>
      <c r="B27" s="3547"/>
      <c r="C27" s="1530" t="s">
        <v>967</v>
      </c>
    </row>
    <row r="28" spans="1:3" ht="14.4">
      <c r="A28" s="3548"/>
      <c r="B28" s="3547"/>
      <c r="C28" s="1530" t="s">
        <v>968</v>
      </c>
    </row>
    <row r="29" spans="1:3" ht="14.4">
      <c r="A29" s="3548"/>
      <c r="B29" s="3547"/>
      <c r="C29" s="1530" t="s">
        <v>969</v>
      </c>
    </row>
    <row r="30" spans="1:3" ht="14.4">
      <c r="A30" s="3548"/>
      <c r="B30" s="3547"/>
      <c r="C30" s="1530" t="s">
        <v>970</v>
      </c>
    </row>
    <row r="31" spans="1:3" ht="14.4">
      <c r="A31" s="3548"/>
      <c r="B31" s="3547"/>
      <c r="C31" s="1530" t="s">
        <v>971</v>
      </c>
    </row>
    <row r="32" spans="1:3" ht="14.4">
      <c r="A32" s="3548"/>
      <c r="B32" s="3547"/>
      <c r="C32" s="1530" t="s">
        <v>972</v>
      </c>
    </row>
    <row r="33" spans="1:3" ht="14.4">
      <c r="A33" s="3548"/>
      <c r="B33" s="3547"/>
      <c r="C33" s="1530" t="s">
        <v>973</v>
      </c>
    </row>
    <row r="34" spans="1:3">
      <c r="A34" s="1534" t="s">
        <v>49</v>
      </c>
    </row>
    <row r="37" spans="1:3">
      <c r="A37" s="1534" t="s">
        <v>974</v>
      </c>
    </row>
    <row r="38" spans="1:3" ht="14.4">
      <c r="A38" s="1535" t="s">
        <v>50</v>
      </c>
    </row>
    <row r="39" spans="1:3" ht="14.4">
      <c r="A39" s="1535" t="s">
        <v>51</v>
      </c>
    </row>
    <row r="40" spans="1:3" ht="14.4">
      <c r="A40" s="1535" t="s">
        <v>52</v>
      </c>
    </row>
    <row r="41" spans="1:3" ht="14.4">
      <c r="A41" s="1536" t="s">
        <v>53</v>
      </c>
    </row>
    <row r="42" spans="1:3" ht="14.4">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2134</v>
      </c>
      <c r="B2" s="2337">
        <f ca="1">TODAY()</f>
        <v>45506</v>
      </c>
      <c r="C2" s="2338" t="s">
        <v>2135</v>
      </c>
      <c r="D2" s="2338"/>
      <c r="E2" s="2338"/>
      <c r="F2" s="2334"/>
      <c r="G2" s="2334"/>
      <c r="H2" s="2334"/>
    </row>
    <row r="3" spans="1:8" ht="24" customHeight="1">
      <c r="A3" s="2339" t="s">
        <v>2136</v>
      </c>
      <c r="B3" s="2340" t="s">
        <v>2137</v>
      </c>
      <c r="C3" s="2340" t="s">
        <v>2138</v>
      </c>
      <c r="D3" s="2341" t="s">
        <v>2139</v>
      </c>
      <c r="E3" s="2342" t="s">
        <v>2140</v>
      </c>
      <c r="F3" s="1302" t="s">
        <v>2141</v>
      </c>
      <c r="G3" s="2340" t="s">
        <v>2138</v>
      </c>
      <c r="H3" s="2341" t="s">
        <v>2142</v>
      </c>
    </row>
    <row r="4" spans="1:8" ht="24" customHeight="1">
      <c r="A4" s="1302" t="s">
        <v>2143</v>
      </c>
      <c r="B4" s="1302">
        <f ca="1">IF(C4&lt;B2,"已过期",1119970066)</f>
        <v>1119970066</v>
      </c>
      <c r="C4" s="2343">
        <v>45937</v>
      </c>
      <c r="D4" s="2344" t="str">
        <f ca="1">A4&amp;"（注册号："&amp;B4&amp;"）"</f>
        <v>梁津（注册号：1119970066）</v>
      </c>
      <c r="E4" s="2345" t="s">
        <v>2143</v>
      </c>
      <c r="F4" s="1302">
        <f ca="1">IF(G4&lt;B2,"已过期",96010014)</f>
        <v>96010014</v>
      </c>
      <c r="G4" s="2346">
        <v>47118</v>
      </c>
      <c r="H4" s="2347" t="str">
        <f ca="1">E4&amp;"（注册号："&amp;F4&amp;"）"</f>
        <v>梁津（注册号：96010014）</v>
      </c>
    </row>
    <row r="5" spans="1:8" ht="24" customHeight="1">
      <c r="A5" s="1302" t="s">
        <v>2144</v>
      </c>
      <c r="B5" s="1302">
        <f ca="1">IF(C5&lt;B2,"已过期",1119970111)</f>
        <v>1119970111</v>
      </c>
      <c r="C5" s="2343">
        <v>45937</v>
      </c>
      <c r="D5" s="2344" t="str">
        <f t="shared" ref="D5:D15" ca="1" si="0">A5&amp;"（注册号："&amp;B5&amp;"）"</f>
        <v>叶凌（注册号：1119970111）</v>
      </c>
      <c r="E5" s="2345" t="s">
        <v>2144</v>
      </c>
      <c r="F5" s="1302">
        <f ca="1">IF(G5&lt;B2,"已过期",94010078)</f>
        <v>94010078</v>
      </c>
      <c r="G5" s="2346">
        <v>46387</v>
      </c>
      <c r="H5" s="2347" t="str">
        <f t="shared" ref="H5:H16" ca="1" si="1">E5&amp;"（注册号："&amp;F5&amp;"）"</f>
        <v>叶凌（注册号：94010078）</v>
      </c>
    </row>
    <row r="6" spans="1:8" ht="24" customHeight="1">
      <c r="A6" s="1302" t="s">
        <v>2145</v>
      </c>
      <c r="B6" s="1302" t="str">
        <f ca="1">IF(C6&lt;B2,"已过期",1120050019)</f>
        <v>已过期</v>
      </c>
      <c r="C6" s="2343">
        <v>45410</v>
      </c>
      <c r="D6" s="2344" t="str">
        <f t="shared" ca="1" si="0"/>
        <v>王鹏（注册号：已过期）</v>
      </c>
      <c r="E6" s="2345" t="s">
        <v>2145</v>
      </c>
      <c r="F6" s="1302">
        <f ca="1">IF(G6&lt;B2,"已过期",2002110030)</f>
        <v>2002110030</v>
      </c>
      <c r="G6" s="2346">
        <v>46387</v>
      </c>
      <c r="H6" s="2347" t="str">
        <f t="shared" ca="1" si="1"/>
        <v>王鹏（注册号：2002110030）</v>
      </c>
    </row>
    <row r="7" spans="1:8" ht="24" customHeight="1">
      <c r="A7" s="1302" t="s">
        <v>2146</v>
      </c>
      <c r="B7" s="1302">
        <f ca="1">IF(C7&lt;B2,"已过期",1120000080)</f>
        <v>1120000080</v>
      </c>
      <c r="C7" s="2343">
        <v>45937</v>
      </c>
      <c r="D7" s="2344" t="str">
        <f t="shared" ca="1" si="0"/>
        <v>欧红伟（注册号：1120000080）</v>
      </c>
      <c r="E7" s="2345" t="s">
        <v>2146</v>
      </c>
      <c r="F7" s="1302">
        <f ca="1">IF(G7&lt;B2,"已过期",2000110082)</f>
        <v>2000110082</v>
      </c>
      <c r="G7" s="2346">
        <v>46387</v>
      </c>
      <c r="H7" s="2347" t="str">
        <f t="shared" ca="1" si="1"/>
        <v>欧红伟（注册号：2000110082）</v>
      </c>
    </row>
    <row r="8" spans="1:8" ht="24" customHeight="1">
      <c r="A8" s="1302" t="s">
        <v>2147</v>
      </c>
      <c r="B8" s="1302">
        <f ca="1">IF(C8&lt;B2,"已过期",1419970001)</f>
        <v>1419970001</v>
      </c>
      <c r="C8" s="2343">
        <v>45937</v>
      </c>
      <c r="D8" s="2344" t="str">
        <f t="shared" ca="1" si="0"/>
        <v>吴薇（注册号：1419970001）</v>
      </c>
      <c r="E8" s="2345" t="s">
        <v>2147</v>
      </c>
      <c r="F8" s="1302">
        <f ca="1">IF(G8&lt;B2,"已过期",2002110125)</f>
        <v>2002110125</v>
      </c>
      <c r="G8" s="2346">
        <v>47118</v>
      </c>
      <c r="H8" s="2347" t="str">
        <f t="shared" ca="1" si="1"/>
        <v>吴薇（注册号：2002110125）</v>
      </c>
    </row>
    <row r="9" spans="1:8" ht="24" customHeight="1">
      <c r="A9" s="1302" t="s">
        <v>2148</v>
      </c>
      <c r="B9" s="1302">
        <f ca="1">IF(C9&lt;B2,"已过期",1120060040)</f>
        <v>1120060040</v>
      </c>
      <c r="C9" s="2348">
        <v>45592</v>
      </c>
      <c r="D9" s="2344" t="str">
        <f t="shared" ca="1" si="0"/>
        <v>陈颖（注册号：1120060040）</v>
      </c>
      <c r="E9" s="2345" t="s">
        <v>2148</v>
      </c>
      <c r="F9" s="1302">
        <f ca="1">IF(G9&lt;B2,"已过期",2004110096)</f>
        <v>2004110096</v>
      </c>
      <c r="G9" s="2346">
        <v>47118</v>
      </c>
      <c r="H9" s="2347" t="str">
        <f t="shared" ca="1" si="1"/>
        <v>陈颖（注册号：2004110096）</v>
      </c>
    </row>
    <row r="10" spans="1:8" ht="24" customHeight="1">
      <c r="A10" s="1302" t="s">
        <v>2149</v>
      </c>
      <c r="B10" s="1302">
        <f ca="1">IF(C10&lt;B2,"已过期",1120100036)</f>
        <v>1120100036</v>
      </c>
      <c r="C10" s="2348">
        <v>45752</v>
      </c>
      <c r="D10" s="2344" t="str">
        <f t="shared" ca="1" si="0"/>
        <v>崔锴（注册号：1120100036）</v>
      </c>
      <c r="E10" s="2345" t="s">
        <v>2149</v>
      </c>
      <c r="F10" s="1302">
        <f ca="1">IF(G10&lt;B2,"已过期",2010110070)</f>
        <v>2010110070</v>
      </c>
      <c r="G10" s="2346">
        <v>47907</v>
      </c>
      <c r="H10" s="2347" t="str">
        <f t="shared" ca="1" si="1"/>
        <v>崔锴（注册号：2010110070）</v>
      </c>
    </row>
    <row r="11" spans="1:8" ht="24" customHeight="1">
      <c r="A11" s="1302" t="s">
        <v>2150</v>
      </c>
      <c r="B11" s="1302">
        <f ca="1">IF(C11&lt;B2,"已过期",1120070131)</f>
        <v>1120070131</v>
      </c>
      <c r="C11" s="2343">
        <v>45937</v>
      </c>
      <c r="D11" s="2344" t="str">
        <f t="shared" ca="1" si="0"/>
        <v>郑燚（注册号：1120070131）</v>
      </c>
      <c r="E11" s="2345" t="s">
        <v>2150</v>
      </c>
      <c r="F11" s="1302">
        <f ca="1">IF(G11&lt;B2,"已过期",2014110011)</f>
        <v>2014110011</v>
      </c>
      <c r="G11" s="2346">
        <v>49302</v>
      </c>
      <c r="H11" s="2347" t="str">
        <f t="shared" ca="1" si="1"/>
        <v>郑燚（注册号：2014110011）</v>
      </c>
    </row>
    <row r="12" spans="1:8" ht="24" customHeight="1">
      <c r="A12" s="1302" t="s">
        <v>2151</v>
      </c>
      <c r="B12" s="1302">
        <f ca="1">IF(C12&lt;B2,"已过期",1120040230)</f>
        <v>1120040230</v>
      </c>
      <c r="C12" s="2348">
        <v>45937</v>
      </c>
      <c r="D12" s="2344" t="str">
        <f t="shared" ca="1" si="0"/>
        <v>苏海（注册号：1120040230）</v>
      </c>
      <c r="E12" s="2345" t="s">
        <v>2151</v>
      </c>
      <c r="F12" s="1302">
        <f ca="1">IF(G12&lt;B2,"已过期",98030020)</f>
        <v>98030020</v>
      </c>
      <c r="G12" s="2346">
        <v>47118</v>
      </c>
      <c r="H12" s="2347" t="str">
        <f t="shared" ca="1" si="1"/>
        <v>苏海（注册号：98030020）</v>
      </c>
    </row>
    <row r="13" spans="1:8" ht="24" customHeight="1">
      <c r="A13" s="1302" t="s">
        <v>2152</v>
      </c>
      <c r="B13" s="1302" t="str">
        <f ca="1">IF(C13&lt;B2,"已过期",1120020033)</f>
        <v>已过期</v>
      </c>
      <c r="C13" s="2343">
        <v>45375</v>
      </c>
      <c r="D13" s="2344" t="str">
        <f t="shared" ca="1" si="0"/>
        <v>刘敬东（注册号：已过期）</v>
      </c>
      <c r="E13" s="2345" t="s">
        <v>2152</v>
      </c>
      <c r="F13" s="1302">
        <f ca="1">IF(G13&lt;B2,"已过期",2000110137)</f>
        <v>2000110137</v>
      </c>
      <c r="G13" s="2346">
        <v>46387</v>
      </c>
      <c r="H13" s="2347" t="str">
        <f t="shared" ca="1" si="1"/>
        <v>刘敬东（注册号：2000110137）</v>
      </c>
    </row>
    <row r="14" spans="1:8" ht="24" customHeight="1">
      <c r="A14" s="1302" t="s">
        <v>2153</v>
      </c>
      <c r="B14" s="1302" t="str">
        <f ca="1">IF(C14&lt;B2,"已过期",1119980106)</f>
        <v>已过期</v>
      </c>
      <c r="C14" s="2348">
        <v>44969</v>
      </c>
      <c r="D14" s="2344" t="str">
        <f t="shared" ca="1" si="0"/>
        <v>刘俊财（注册号：已过期）</v>
      </c>
      <c r="E14" s="2345" t="s">
        <v>2153</v>
      </c>
      <c r="F14" s="1302">
        <f ca="1">IF(G14&lt;B2,"已过期",96010063)</f>
        <v>96010063</v>
      </c>
      <c r="G14" s="2346">
        <v>47483</v>
      </c>
      <c r="H14" s="2347" t="str">
        <f t="shared" ca="1" si="1"/>
        <v>刘俊财（注册号：96010063）</v>
      </c>
    </row>
    <row r="15" spans="1:8" ht="24" customHeight="1">
      <c r="A15" s="1302" t="s">
        <v>2436</v>
      </c>
      <c r="B15" s="1302">
        <v>1120210056</v>
      </c>
      <c r="C15" s="2348">
        <v>45410</v>
      </c>
      <c r="D15" s="2344" t="str">
        <f t="shared" si="0"/>
        <v>宁小鳗（注册号：1120210056）</v>
      </c>
      <c r="E15" s="2345" t="s">
        <v>2154</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2" t="s">
        <v>2155</v>
      </c>
      <c r="B17" s="3552"/>
      <c r="C17" s="3552"/>
      <c r="D17" s="3552"/>
      <c r="E17" s="3552"/>
      <c r="F17" s="3552"/>
      <c r="G17" s="3552"/>
      <c r="H17" s="3552"/>
    </row>
    <row r="18" spans="1:8" ht="24" customHeight="1">
      <c r="A18" s="3553" t="s">
        <v>2156</v>
      </c>
      <c r="B18" s="3553"/>
      <c r="C18" s="3553"/>
      <c r="D18" s="2341"/>
      <c r="E18" s="3554" t="s">
        <v>2157</v>
      </c>
      <c r="F18" s="3553"/>
      <c r="G18" s="3553"/>
    </row>
    <row r="19" spans="1:8" s="2352" customFormat="1" ht="24" customHeight="1">
      <c r="A19" s="2351" t="s">
        <v>2158</v>
      </c>
      <c r="B19" s="2340" t="s">
        <v>2159</v>
      </c>
      <c r="C19" s="2340" t="s">
        <v>2138</v>
      </c>
      <c r="D19" s="2341"/>
      <c r="E19" s="2345" t="s">
        <v>2158</v>
      </c>
      <c r="F19" s="2340" t="s">
        <v>2159</v>
      </c>
      <c r="G19" s="2340" t="s">
        <v>2138</v>
      </c>
    </row>
    <row r="20" spans="1:8" s="2352" customFormat="1" ht="24" customHeight="1">
      <c r="A20" s="2353" t="s">
        <v>2160</v>
      </c>
      <c r="B20" s="2353" t="s">
        <v>2161</v>
      </c>
      <c r="C20" s="2346">
        <v>45898</v>
      </c>
      <c r="D20" s="2354"/>
      <c r="E20" s="2355" t="s">
        <v>2162</v>
      </c>
      <c r="F20" s="2358" t="s">
        <v>2437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66" priority="53">
      <formula>AND($C4-TODAY()&lt;30,TODAY()&lt;$C4)</formula>
    </cfRule>
  </conditionalFormatting>
  <conditionalFormatting sqref="C20:D20">
    <cfRule type="expression" dxfId="265" priority="52">
      <formula>AND($C20-TODAY()&lt;30,TODAY()&lt;$C20)</formula>
    </cfRule>
  </conditionalFormatting>
  <conditionalFormatting sqref="C20:D20 G4 C4:D5 C13:D13">
    <cfRule type="cellIs" dxfId="264" priority="54" stopIfTrue="1" operator="lessThan">
      <formula>$B$2</formula>
    </cfRule>
  </conditionalFormatting>
  <conditionalFormatting sqref="G5 G7 G9">
    <cfRule type="cellIs" dxfId="263" priority="51" stopIfTrue="1" operator="lessThan">
      <formula>$B$2</formula>
    </cfRule>
  </conditionalFormatting>
  <conditionalFormatting sqref="C6:D6 D14 D16">
    <cfRule type="expression" dxfId="262" priority="49">
      <formula>AND($C6-TODAY()&lt;30,TODAY()&lt;$C6)</formula>
    </cfRule>
  </conditionalFormatting>
  <conditionalFormatting sqref="G6 G8 G10 C6:D6 D7:D12 D14 D16">
    <cfRule type="cellIs" dxfId="261" priority="50" stopIfTrue="1" operator="lessThan">
      <formula>$B$2</formula>
    </cfRule>
  </conditionalFormatting>
  <conditionalFormatting sqref="D12">
    <cfRule type="expression" dxfId="260" priority="47">
      <formula>AND($C12-TODAY()&lt;30,TODAY()&lt;$C12)</formula>
    </cfRule>
  </conditionalFormatting>
  <conditionalFormatting sqref="D12">
    <cfRule type="cellIs" dxfId="259" priority="48" stopIfTrue="1" operator="lessThan">
      <formula>$B$2</formula>
    </cfRule>
  </conditionalFormatting>
  <conditionalFormatting sqref="C13:D13">
    <cfRule type="expression" dxfId="258" priority="45">
      <formula>AND($C13-TODAY()&lt;30,TODAY()&lt;$C13)</formula>
    </cfRule>
  </conditionalFormatting>
  <conditionalFormatting sqref="C13:D13">
    <cfRule type="cellIs" dxfId="257" priority="46" stopIfTrue="1" operator="lessThan">
      <formula>$B$2</formula>
    </cfRule>
  </conditionalFormatting>
  <conditionalFormatting sqref="D14">
    <cfRule type="expression" dxfId="256" priority="43">
      <formula>AND($C14-TODAY()&lt;30,TODAY()&lt;$C14)</formula>
    </cfRule>
  </conditionalFormatting>
  <conditionalFormatting sqref="D14">
    <cfRule type="cellIs" dxfId="255" priority="44" stopIfTrue="1" operator="lessThan">
      <formula>$B$2</formula>
    </cfRule>
  </conditionalFormatting>
  <conditionalFormatting sqref="G13">
    <cfRule type="cellIs" dxfId="254" priority="42" stopIfTrue="1" operator="lessThan">
      <formula>$B$2</formula>
    </cfRule>
  </conditionalFormatting>
  <conditionalFormatting sqref="B4:B11 F4:F11 B13 F13:F14">
    <cfRule type="cellIs" dxfId="253" priority="41" stopIfTrue="1" operator="equal">
      <formula>"已过期"</formula>
    </cfRule>
  </conditionalFormatting>
  <conditionalFormatting sqref="C7">
    <cfRule type="cellIs" dxfId="252" priority="38" stopIfTrue="1" operator="lessThan">
      <formula>$B$2</formula>
    </cfRule>
  </conditionalFormatting>
  <conditionalFormatting sqref="C7">
    <cfRule type="expression" dxfId="251" priority="37">
      <formula>AND($C7-TODAY()&lt;30,TODAY()&lt;$C7)</formula>
    </cfRule>
  </conditionalFormatting>
  <conditionalFormatting sqref="C8">
    <cfRule type="expression" dxfId="250" priority="35">
      <formula>AND($C8-TODAY()&lt;30,TODAY()&lt;$C8)</formula>
    </cfRule>
  </conditionalFormatting>
  <conditionalFormatting sqref="C8">
    <cfRule type="cellIs" dxfId="249" priority="36" stopIfTrue="1" operator="lessThan">
      <formula>$B$2</formula>
    </cfRule>
  </conditionalFormatting>
  <conditionalFormatting sqref="C11">
    <cfRule type="expression" dxfId="248" priority="33">
      <formula>AND($C11-TODAY()&lt;30,TODAY()&lt;$C11)</formula>
    </cfRule>
  </conditionalFormatting>
  <conditionalFormatting sqref="C11">
    <cfRule type="cellIs" dxfId="247" priority="34" stopIfTrue="1" operator="lessThan">
      <formula>$B$2</formula>
    </cfRule>
  </conditionalFormatting>
  <conditionalFormatting sqref="A16:C16">
    <cfRule type="cellIs" dxfId="246" priority="32" stopIfTrue="1" operator="equal">
      <formula>"已过期"</formula>
    </cfRule>
  </conditionalFormatting>
  <conditionalFormatting sqref="E16:G16">
    <cfRule type="cellIs" dxfId="245" priority="31" stopIfTrue="1" operator="equal">
      <formula>"已过期"</formula>
    </cfRule>
  </conditionalFormatting>
  <conditionalFormatting sqref="G11">
    <cfRule type="cellIs" dxfId="244" priority="30"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2">
    <cfRule type="cellIs" dxfId="241" priority="27" stopIfTrue="1" operator="lessThan">
      <formula>$B$2</formula>
    </cfRule>
  </conditionalFormatting>
  <conditionalFormatting sqref="C12">
    <cfRule type="expression" dxfId="240" priority="25">
      <formula>AND($C12-TODAY()&lt;30,TODAY()&lt;$C12)</formula>
    </cfRule>
  </conditionalFormatting>
  <conditionalFormatting sqref="C12">
    <cfRule type="cellIs" dxfId="239" priority="26" stopIfTrue="1" operator="lessThan">
      <formula>$B$2</formula>
    </cfRule>
  </conditionalFormatting>
  <conditionalFormatting sqref="B12">
    <cfRule type="cellIs" dxfId="238" priority="24" stopIfTrue="1" operator="equal">
      <formula>"已过期"</formula>
    </cfRule>
  </conditionalFormatting>
  <conditionalFormatting sqref="C9:C10">
    <cfRule type="expression" dxfId="237" priority="22">
      <formula>AND($C9-TODAY()&lt;30,TODAY()&lt;$C9)</formula>
    </cfRule>
  </conditionalFormatting>
  <conditionalFormatting sqref="C9:C10">
    <cfRule type="cellIs" dxfId="236" priority="23" stopIfTrue="1" operator="lessThan">
      <formula>$B$2</formula>
    </cfRule>
  </conditionalFormatting>
  <conditionalFormatting sqref="G21">
    <cfRule type="expression" dxfId="235" priority="20" stopIfTrue="1">
      <formula>AND(#REF!-TODAY()&lt;30,TODAY()&lt;#REF!)</formula>
    </cfRule>
  </conditionalFormatting>
  <conditionalFormatting sqref="G21">
    <cfRule type="cellIs" dxfId="234" priority="21" stopIfTrue="1" operator="lessThan">
      <formula>$B$2</formula>
    </cfRule>
  </conditionalFormatting>
  <conditionalFormatting sqref="C14">
    <cfRule type="expression" dxfId="233" priority="18">
      <formula>AND($C14-TODAY()&lt;30,TODAY()&lt;$C14)</formula>
    </cfRule>
  </conditionalFormatting>
  <conditionalFormatting sqref="C14">
    <cfRule type="cellIs" dxfId="232" priority="19" stopIfTrue="1" operator="lessThan">
      <formula>$B$2</formula>
    </cfRule>
  </conditionalFormatting>
  <conditionalFormatting sqref="C14">
    <cfRule type="expression" dxfId="231" priority="16">
      <formula>AND($C14-TODAY()&lt;30,TODAY()&lt;$C14)</formula>
    </cfRule>
  </conditionalFormatting>
  <conditionalFormatting sqref="C14">
    <cfRule type="cellIs" dxfId="230" priority="17" stopIfTrue="1" operator="lessThan">
      <formula>$B$2</formula>
    </cfRule>
  </conditionalFormatting>
  <conditionalFormatting sqref="B14">
    <cfRule type="cellIs" dxfId="229" priority="15" stopIfTrue="1" operator="equal">
      <formula>"已过期"</formula>
    </cfRule>
  </conditionalFormatting>
  <conditionalFormatting sqref="G14">
    <cfRule type="cellIs" dxfId="228" priority="14" stopIfTrue="1" operator="lessThan">
      <formula>$B$2</formula>
    </cfRule>
  </conditionalFormatting>
  <conditionalFormatting sqref="D15">
    <cfRule type="expression" dxfId="227" priority="12">
      <formula>AND($C15-TODAY()&lt;30,TODAY()&lt;$C15)</formula>
    </cfRule>
  </conditionalFormatting>
  <conditionalFormatting sqref="D15">
    <cfRule type="cellIs" dxfId="226" priority="13" stopIfTrue="1" operator="lessThan">
      <formula>$B$2</formula>
    </cfRule>
  </conditionalFormatting>
  <conditionalFormatting sqref="D15">
    <cfRule type="expression" dxfId="225" priority="10">
      <formula>AND($C15-TODAY()&lt;30,TODAY()&lt;$C15)</formula>
    </cfRule>
  </conditionalFormatting>
  <conditionalFormatting sqref="D15">
    <cfRule type="cellIs" dxfId="224" priority="11" stopIfTrue="1" operator="lessThan">
      <formula>$B$2</formula>
    </cfRule>
  </conditionalFormatting>
  <conditionalFormatting sqref="F15">
    <cfRule type="cellIs" dxfId="223" priority="9" stopIfTrue="1" operator="equal">
      <formula>"已过期"</formula>
    </cfRule>
  </conditionalFormatting>
  <conditionalFormatting sqref="C15">
    <cfRule type="expression" dxfId="222" priority="7">
      <formula>AND($C15-TODAY()&lt;30,TODAY()&lt;$C15)</formula>
    </cfRule>
  </conditionalFormatting>
  <conditionalFormatting sqref="C15">
    <cfRule type="cellIs" dxfId="221" priority="8" stopIfTrue="1" operator="lessThan">
      <formula>$B$2</formula>
    </cfRule>
  </conditionalFormatting>
  <conditionalFormatting sqref="C15">
    <cfRule type="expression" dxfId="220" priority="5">
      <formula>AND($C15-TODAY()&lt;30,TODAY()&lt;$C15)</formula>
    </cfRule>
  </conditionalFormatting>
  <conditionalFormatting sqref="C15">
    <cfRule type="cellIs" dxfId="219" priority="6" stopIfTrue="1" operator="lessThan">
      <formula>$B$2</formula>
    </cfRule>
  </conditionalFormatting>
  <conditionalFormatting sqref="B15">
    <cfRule type="cellIs" dxfId="218" priority="4" stopIfTrue="1" operator="equal">
      <formula>"已过期"</formula>
    </cfRule>
  </conditionalFormatting>
  <conditionalFormatting sqref="G15">
    <cfRule type="cellIs" dxfId="217" priority="3" stopIfTrue="1" operator="lessThan">
      <formula>$B$2</formula>
    </cfRule>
  </conditionalFormatting>
  <conditionalFormatting sqref="G20">
    <cfRule type="expression" dxfId="216" priority="1" stopIfTrue="1">
      <formula>AND(#REF!-TODAY()&lt;30,TODAY()&lt;#REF!)</formula>
    </cfRule>
  </conditionalFormatting>
  <conditionalFormatting sqref="G20">
    <cfRule type="cellIs" dxfId="21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169</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结果表110</vt:lpstr>
      <vt:lpstr>成本法</vt:lpstr>
      <vt:lpstr>成本法 (元)</vt:lpstr>
      <vt:lpstr>假设开发法</vt:lpstr>
      <vt:lpstr>收益法</vt:lpstr>
      <vt:lpstr>中指信息</vt:lpstr>
      <vt:lpstr>信息+案例</vt:lpstr>
      <vt:lpstr>收益法 (元)110</vt:lpstr>
      <vt:lpstr>收益法-酒店模型</vt:lpstr>
      <vt:lpstr>收益法（汇总）</vt:lpstr>
      <vt:lpstr>比较法-住宅</vt:lpstr>
      <vt:lpstr>比较法-商业110</vt:lpstr>
      <vt:lpstr>结果表104</vt:lpstr>
      <vt:lpstr>收益法 (元)104</vt:lpstr>
      <vt:lpstr>比较法-商业104</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'比较法-商业104'!Print_Area</vt:lpstr>
      <vt:lpstr>'比较法-商业110'!Print_Area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结果表104!Print_Area</vt:lpstr>
      <vt:lpstr>结果表110!Print_Area</vt:lpstr>
      <vt:lpstr>收益法!Print_Area</vt:lpstr>
      <vt:lpstr>'收益法 (元)104'!Print_Area</vt:lpstr>
      <vt:lpstr>'收益法 (元)110'!Print_Area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'比较法-商业104'!商业层高</vt:lpstr>
      <vt:lpstr>商业层高</vt:lpstr>
      <vt:lpstr>'比较法-商业104'!商业成新度</vt:lpstr>
      <vt:lpstr>商业成新度</vt:lpstr>
      <vt:lpstr>商业繁华度</vt:lpstr>
      <vt:lpstr>'比较法-商业104'!商业公共部分装修</vt:lpstr>
      <vt:lpstr>商业公共部分装修</vt:lpstr>
      <vt:lpstr>'比较法-商业104'!商业基础设施水平</vt:lpstr>
      <vt:lpstr>商业基础设施水平</vt:lpstr>
      <vt:lpstr>'比较法-商业104'!商业建筑结构</vt:lpstr>
      <vt:lpstr>商业建筑结构</vt:lpstr>
      <vt:lpstr>'比较法-商业104'!商业交易情况</vt:lpstr>
      <vt:lpstr>商业交易情况</vt:lpstr>
      <vt:lpstr>商业街名称</vt:lpstr>
      <vt:lpstr>'比较法-商业104'!商业进深比</vt:lpstr>
      <vt:lpstr>商业进深比</vt:lpstr>
      <vt:lpstr>'比较法-商业104'!商业类型</vt:lpstr>
      <vt:lpstr>商业类型</vt:lpstr>
      <vt:lpstr>'比较法-商业104'!商业临街状况</vt:lpstr>
      <vt:lpstr>商业临街状况</vt:lpstr>
      <vt:lpstr>'比较法-商业104'!商业楼层</vt:lpstr>
      <vt:lpstr>商业楼层</vt:lpstr>
      <vt:lpstr>'比较法-商业104'!商业内部装修</vt:lpstr>
      <vt:lpstr>商业内部装修</vt:lpstr>
      <vt:lpstr>'比较法-商业104'!商业人流量</vt:lpstr>
      <vt:lpstr>商业人流量</vt:lpstr>
      <vt:lpstr>'比较法-商业104'!商业业态</vt:lpstr>
      <vt:lpstr>商业业态</vt:lpstr>
      <vt:lpstr>'比较法-商业104'!商业用途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2024-08-02T09:25:05Z</dcterms:modified>
</cp:coreProperties>
</file>