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J49" i="67" l="1"/>
  <c r="G5" i="34" l="1"/>
  <c r="A4" i="80"/>
  <c r="I5" i="34" s="1"/>
  <c r="I34" i="34" l="1"/>
  <c r="E34" i="34"/>
  <c r="G34" i="34"/>
  <c r="E5" i="34"/>
  <c r="C10" i="34"/>
  <c r="G10" i="34" s="1"/>
  <c r="F123" i="34"/>
  <c r="E123" i="34"/>
  <c r="D123" i="34"/>
  <c r="C123" i="34"/>
  <c r="G117" i="34"/>
  <c r="F117" i="34"/>
  <c r="E117" i="34"/>
  <c r="D117" i="34"/>
  <c r="C117" i="34"/>
  <c r="F105" i="34"/>
  <c r="E105" i="34"/>
  <c r="C105" i="34"/>
  <c r="D94" i="34"/>
  <c r="E94" i="34" s="1"/>
  <c r="F4" i="80"/>
  <c r="I48" i="34" s="1"/>
  <c r="F3" i="80"/>
  <c r="G48" i="34" s="1"/>
  <c r="F2" i="80"/>
  <c r="E48" i="34" s="1"/>
  <c r="J52" i="15"/>
  <c r="J49" i="15"/>
  <c r="B35" i="1"/>
  <c r="N19" i="1"/>
  <c r="N6" i="1" s="1"/>
  <c r="C11" i="4"/>
  <c r="D3" i="4"/>
  <c r="C37" i="34" l="1"/>
  <c r="Y6" i="1"/>
  <c r="E10" i="34"/>
  <c r="I10" i="3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E37" i="34" l="1"/>
  <c r="P28" i="79"/>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C3" i="79" s="1"/>
  <c r="AB5" i="79"/>
  <c r="AA5" i="79"/>
  <c r="AD5" i="79" s="1"/>
  <c r="Z5" i="79"/>
  <c r="Y5" i="79"/>
  <c r="O5" i="79"/>
  <c r="N5" i="79"/>
  <c r="M5" i="79"/>
  <c r="L5" i="79"/>
  <c r="S3" i="79" s="1"/>
  <c r="K5" i="79"/>
  <c r="I5" i="79"/>
  <c r="Y3"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5" i="79" l="1"/>
  <c r="V5" i="79"/>
  <c r="L3" i="79"/>
  <c r="U3" i="79"/>
  <c r="R12" i="79"/>
  <c r="T12" i="79"/>
  <c r="W12" i="79" s="1"/>
  <c r="V12" i="79"/>
  <c r="S13" i="79"/>
  <c r="U13" i="79"/>
  <c r="O3" i="79"/>
  <c r="AA3" i="79"/>
  <c r="AD3" i="79" s="1"/>
  <c r="Z3" i="79"/>
  <c r="AB3" i="79"/>
  <c r="S10" i="79"/>
  <c r="U10" i="79"/>
  <c r="R11" i="79"/>
  <c r="V11" i="79"/>
  <c r="S12" i="79"/>
  <c r="U12" i="79"/>
  <c r="M23" i="79"/>
  <c r="P23" i="79" s="1"/>
  <c r="T5" i="79"/>
  <c r="W5" i="79" s="1"/>
  <c r="R8" i="79"/>
  <c r="R6" i="79"/>
  <c r="R7" i="79"/>
  <c r="P9" i="79"/>
  <c r="T8" i="79"/>
  <c r="W8" i="79" s="1"/>
  <c r="T6" i="79"/>
  <c r="W6" i="79" s="1"/>
  <c r="T7" i="79"/>
  <c r="W7" i="79" s="1"/>
  <c r="V9" i="79"/>
  <c r="V6" i="79"/>
  <c r="V7" i="79"/>
  <c r="V8" i="79"/>
  <c r="T28" i="79"/>
  <c r="W28" i="79" s="1"/>
  <c r="T27" i="79"/>
  <c r="W27" i="79" s="1"/>
  <c r="T26" i="79"/>
  <c r="W26" i="79" s="1"/>
  <c r="K3" i="79"/>
  <c r="M3" i="79"/>
  <c r="P3" i="79" s="1"/>
  <c r="T3" i="79"/>
  <c r="W3" i="79" s="1"/>
  <c r="V3" i="79"/>
  <c r="S5" i="79"/>
  <c r="U5" i="79"/>
  <c r="P5" i="79"/>
  <c r="S9" i="79"/>
  <c r="S6" i="79"/>
  <c r="S7" i="79"/>
  <c r="S8" i="79"/>
  <c r="U9" i="79"/>
  <c r="U8" i="79"/>
  <c r="U6" i="79"/>
  <c r="U7" i="79"/>
  <c r="R10" i="79"/>
  <c r="T10" i="79"/>
  <c r="W10" i="79" s="1"/>
  <c r="V10" i="79"/>
  <c r="S11" i="79"/>
  <c r="U11" i="79"/>
  <c r="R13" i="79"/>
  <c r="V13" i="79"/>
  <c r="T25" i="79"/>
  <c r="W25" i="79" s="1"/>
  <c r="S27" i="79"/>
  <c r="S28"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X39" i="71" s="1"/>
  <c r="Q38" i="71"/>
  <c r="AB38" i="71" s="1"/>
  <c r="P38" i="71"/>
  <c r="AA37" i="71" s="1"/>
  <c r="O38" i="71"/>
  <c r="Y38" i="71"/>
  <c r="Z38" i="71" s="1"/>
  <c r="N38" i="71"/>
  <c r="Q37" i="71"/>
  <c r="F38" i="71" s="1"/>
  <c r="F39" i="71" s="1"/>
  <c r="F40" i="71" s="1"/>
  <c r="V40" i="71" s="1"/>
  <c r="P37" i="71"/>
  <c r="O37" i="71"/>
  <c r="C38" i="71" s="1"/>
  <c r="N37" i="71"/>
  <c r="D37" i="71"/>
  <c r="Q36" i="71"/>
  <c r="P36" i="71"/>
  <c r="O36" i="71"/>
  <c r="Y36" i="71"/>
  <c r="Z36" i="71" s="1"/>
  <c r="N36" i="71"/>
  <c r="Q35" i="71"/>
  <c r="AB35" i="71" s="1"/>
  <c r="P35" i="71"/>
  <c r="O35" i="71"/>
  <c r="N35" i="71"/>
  <c r="Q34" i="71"/>
  <c r="P34" i="71"/>
  <c r="O34" i="71"/>
  <c r="Y34" i="71" s="1"/>
  <c r="Z34" i="71" s="1"/>
  <c r="N34" i="71"/>
  <c r="X34" i="71" s="1"/>
  <c r="Q33" i="71"/>
  <c r="F34" i="71" s="1"/>
  <c r="P33" i="71"/>
  <c r="E34" i="71" s="1"/>
  <c r="O33" i="71"/>
  <c r="C34" i="71" s="1"/>
  <c r="N33" i="71"/>
  <c r="B34" i="71" s="1"/>
  <c r="B35" i="71" s="1"/>
  <c r="D33" i="71"/>
  <c r="Q32" i="71"/>
  <c r="P32" i="71"/>
  <c r="O32" i="71"/>
  <c r="Y32" i="71" s="1"/>
  <c r="Z32" i="71" s="1"/>
  <c r="N32" i="71"/>
  <c r="Q31" i="71"/>
  <c r="P31" i="71"/>
  <c r="AA31" i="71" s="1"/>
  <c r="O31" i="71"/>
  <c r="N31" i="71"/>
  <c r="X31" i="71" s="1"/>
  <c r="Q30" i="71"/>
  <c r="P30" i="71"/>
  <c r="AA3" i="71" s="1"/>
  <c r="O30" i="71"/>
  <c r="Y30" i="71"/>
  <c r="Z30" i="71" s="1"/>
  <c r="N30" i="71"/>
  <c r="Q29" i="71"/>
  <c r="F30" i="71" s="1"/>
  <c r="F31" i="71" s="1"/>
  <c r="F32" i="71" s="1"/>
  <c r="V32" i="71" s="1"/>
  <c r="P29" i="71"/>
  <c r="E30" i="71" s="1"/>
  <c r="O29" i="71"/>
  <c r="C30" i="71" s="1"/>
  <c r="N29" i="71"/>
  <c r="D29" i="71"/>
  <c r="O28" i="71"/>
  <c r="N28" i="71"/>
  <c r="B28" i="71" s="1"/>
  <c r="B27" i="71" s="1"/>
  <c r="B26" i="71" s="1"/>
  <c r="B30" i="71"/>
  <c r="B31" i="71" s="1"/>
  <c r="X29" i="71"/>
  <c r="X33" i="71"/>
  <c r="B38" i="71"/>
  <c r="B39" i="71"/>
  <c r="B40" i="71" s="1"/>
  <c r="S40" i="71" s="1"/>
  <c r="E38" i="71"/>
  <c r="E39" i="71" s="1"/>
  <c r="E40" i="71" s="1"/>
  <c r="U40" i="71" s="1"/>
  <c r="N68" i="71"/>
  <c r="AA33" i="71"/>
  <c r="AA30" i="71"/>
  <c r="X32" i="71"/>
  <c r="AB33" i="71"/>
  <c r="AA34" i="71"/>
  <c r="AA35" i="71"/>
  <c r="AA36" i="71"/>
  <c r="Y37" i="71"/>
  <c r="Z37" i="71" s="1"/>
  <c r="AB37" i="71"/>
  <c r="AA38" i="71"/>
  <c r="F51" i="71"/>
  <c r="F52" i="71" s="1"/>
  <c r="V52" i="71" s="1"/>
  <c r="C28" i="71"/>
  <c r="T28" i="71" s="1"/>
  <c r="Y26" i="71"/>
  <c r="Z26" i="71" s="1"/>
  <c r="Y28" i="71"/>
  <c r="Z28" i="71" s="1"/>
  <c r="X25" i="71"/>
  <c r="X27" i="71"/>
  <c r="C47" i="71"/>
  <c r="D47" i="71" s="1"/>
  <c r="D46" i="71"/>
  <c r="C51" i="71"/>
  <c r="D50" i="71"/>
  <c r="P28" i="71"/>
  <c r="E55" i="71"/>
  <c r="E56" i="71" s="1"/>
  <c r="U56" i="71" s="1"/>
  <c r="E59" i="71"/>
  <c r="E60" i="71"/>
  <c r="U60" i="71" s="1"/>
  <c r="U68" i="71"/>
  <c r="E67" i="71"/>
  <c r="Q28" i="71"/>
  <c r="AB25" i="71" s="1"/>
  <c r="C59" i="71"/>
  <c r="D58" i="71"/>
  <c r="T68" i="71"/>
  <c r="O68" i="71"/>
  <c r="D68" i="71"/>
  <c r="C67" i="71"/>
  <c r="C66" i="71" s="1"/>
  <c r="Q68" i="71"/>
  <c r="C71" i="71"/>
  <c r="D71" i="71" s="1"/>
  <c r="E71" i="71"/>
  <c r="E70" i="71" s="1"/>
  <c r="D72" i="71"/>
  <c r="C75" i="71"/>
  <c r="E75" i="71"/>
  <c r="E74" i="71" s="1"/>
  <c r="D76" i="71"/>
  <c r="C79" i="71"/>
  <c r="D79" i="71" s="1"/>
  <c r="E79" i="71"/>
  <c r="E78" i="71" s="1"/>
  <c r="D80" i="71"/>
  <c r="C83" i="71"/>
  <c r="C87" i="71"/>
  <c r="C86" i="71" s="1"/>
  <c r="D86" i="71" s="1"/>
  <c r="C27" i="71"/>
  <c r="C26" i="71" s="1"/>
  <c r="D26" i="71" s="1"/>
  <c r="E28" i="71"/>
  <c r="E27" i="71" s="1"/>
  <c r="E26" i="71" s="1"/>
  <c r="AA25" i="71"/>
  <c r="AA26" i="71"/>
  <c r="AA27" i="71"/>
  <c r="AA28" i="71"/>
  <c r="D28" i="71"/>
  <c r="U28" i="71" s="1"/>
  <c r="O67" i="71"/>
  <c r="D83" i="71"/>
  <c r="C82" i="71"/>
  <c r="D82" i="71" s="1"/>
  <c r="D75" i="71"/>
  <c r="C74" i="71"/>
  <c r="D74" i="71" s="1"/>
  <c r="D87" i="71"/>
  <c r="C70" i="71"/>
  <c r="D70" i="71" s="1"/>
  <c r="C60" i="71"/>
  <c r="T60" i="71" s="1"/>
  <c r="D59" i="71"/>
  <c r="P67" i="71"/>
  <c r="E66" i="71"/>
  <c r="P65" i="71" s="1"/>
  <c r="C52" i="71"/>
  <c r="T52" i="71" s="1"/>
  <c r="D51" i="71"/>
  <c r="P66"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H25" i="40"/>
  <c r="AB25" i="40" s="1"/>
  <c r="J25" i="40"/>
  <c r="AC25" i="40" s="1"/>
  <c r="H29" i="39"/>
  <c r="AB29" i="39" s="1"/>
  <c r="J29" i="39"/>
  <c r="AC29" i="39" s="1"/>
  <c r="J18" i="36"/>
  <c r="AC18" i="36" s="1"/>
  <c r="H18" i="35"/>
  <c r="AB18" i="35" s="1"/>
  <c r="S18" i="35"/>
  <c r="J18" i="35"/>
  <c r="H21" i="37"/>
  <c r="AB21" i="37" s="1"/>
  <c r="F21" i="37"/>
  <c r="AA21" i="37" s="1"/>
  <c r="H21" i="34"/>
  <c r="AB21" i="34" s="1"/>
  <c r="H21" i="33"/>
  <c r="U21" i="33" s="1"/>
  <c r="F21" i="33"/>
  <c r="AA21" i="33" s="1"/>
  <c r="E83" i="21"/>
  <c r="F83" i="21" s="1"/>
  <c r="H1" i="69"/>
  <c r="W25" i="40"/>
  <c r="U25" i="40"/>
  <c r="U29" i="39"/>
  <c r="W29" i="39"/>
  <c r="U21" i="37"/>
  <c r="S21" i="37"/>
  <c r="AB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D80" i="34"/>
  <c r="E80" i="34" s="1"/>
  <c r="D78" i="34"/>
  <c r="E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AB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S36" i="34" s="1"/>
  <c r="J35" i="34"/>
  <c r="H39" i="33"/>
  <c r="AB39" i="33" s="1"/>
  <c r="F26" i="33"/>
  <c r="AA26" i="33" s="1"/>
  <c r="U33" i="33"/>
  <c r="U35" i="33"/>
  <c r="S40" i="33"/>
  <c r="W33" i="33"/>
  <c r="W39" i="33"/>
  <c r="H39" i="37"/>
  <c r="AB39" i="37" s="1"/>
  <c r="S27" i="35"/>
  <c r="F11" i="40"/>
  <c r="AA11" i="40" s="1"/>
  <c r="H11" i="40"/>
  <c r="AB11" i="40" s="1"/>
  <c r="W8" i="40"/>
  <c r="AB39" i="40"/>
  <c r="AA9" i="40"/>
  <c r="AC9" i="40"/>
  <c r="U9" i="40"/>
  <c r="S34" i="40"/>
  <c r="U38" i="40"/>
  <c r="S40" i="40"/>
  <c r="U34"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E114" i="34"/>
  <c r="H36" i="34"/>
  <c r="U36" i="34" s="1"/>
  <c r="F28" i="34"/>
  <c r="AA28" i="34" s="1"/>
  <c r="F27" i="34"/>
  <c r="AA27" i="34" s="1"/>
  <c r="F25" i="34"/>
  <c r="S2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AB42" i="34"/>
  <c r="J40" i="34"/>
  <c r="W40" i="34" s="1"/>
  <c r="F114" i="34"/>
  <c r="G114" i="34" s="1"/>
  <c r="H114" i="34" s="1"/>
  <c r="I114" i="34" s="1"/>
  <c r="J114" i="34" s="1"/>
  <c r="K114" i="34" s="1"/>
  <c r="L114" i="34" s="1"/>
  <c r="M114" i="34" s="1"/>
  <c r="H38" i="34"/>
  <c r="AB38" i="34" s="1"/>
  <c r="J36" i="34"/>
  <c r="W36" i="34" s="1"/>
  <c r="H25" i="34"/>
  <c r="AB25" i="34" s="1"/>
  <c r="J25" i="34"/>
  <c r="AC25" i="34" s="1"/>
  <c r="S41" i="33"/>
  <c r="F113" i="33"/>
  <c r="G113" i="33" s="1"/>
  <c r="H113" i="33" s="1"/>
  <c r="I113" i="33" s="1"/>
  <c r="J113" i="33" s="1"/>
  <c r="K113" i="33" s="1"/>
  <c r="L113" i="33" s="1"/>
  <c r="M113" i="33" s="1"/>
  <c r="H37" i="33"/>
  <c r="AB37" i="33" s="1"/>
  <c r="H15" i="33"/>
  <c r="AB15" i="33" s="1"/>
  <c r="H11" i="33"/>
  <c r="AB11" i="33" s="1"/>
  <c r="F28" i="40"/>
  <c r="AA28" i="40" s="1"/>
  <c r="AA42" i="34"/>
  <c r="S42" i="34"/>
  <c r="AC38" i="34"/>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J10" i="36"/>
  <c r="AC10" i="36" s="1"/>
  <c r="AB26" i="33"/>
  <c r="AB30" i="21"/>
  <c r="AA14" i="37"/>
  <c r="W31" i="34"/>
  <c r="W13" i="36"/>
  <c r="AB46" i="34"/>
  <c r="AA14" i="34"/>
  <c r="AB45" i="33"/>
  <c r="U31"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AZ544" i="3"/>
  <c r="BA542" i="3"/>
  <c r="AZ542" i="3"/>
  <c r="BA540" i="3"/>
  <c r="BA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AZ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5" i="35"/>
  <c r="AA12" i="35"/>
  <c r="W23" i="35"/>
  <c r="AB28" i="37"/>
  <c r="U33" i="37"/>
  <c r="U39" i="37"/>
  <c r="U26" i="37"/>
  <c r="AB13" i="34"/>
  <c r="AA13" i="33"/>
  <c r="AC31" i="33"/>
  <c r="AC45" i="33"/>
  <c r="W44" i="33"/>
  <c r="U11" i="33"/>
  <c r="U19" i="21"/>
  <c r="W44" i="21"/>
  <c r="U26" i="21"/>
  <c r="AC46" i="21"/>
  <c r="U12" i="21"/>
  <c r="AB38" i="21"/>
  <c r="F43" i="33"/>
  <c r="AA43" i="33"/>
  <c r="W16" i="35"/>
  <c r="W40" i="37"/>
  <c r="H37" i="21"/>
  <c r="U37" i="21" s="1"/>
  <c r="S42" i="2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G71" i="37"/>
  <c r="J15" i="37"/>
  <c r="W15" i="37" s="1"/>
  <c r="AT6" i="3"/>
  <c r="H5" i="3"/>
  <c r="AA25" i="21"/>
  <c r="H19" i="40"/>
  <c r="U19"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4" i="3"/>
  <c r="AZ28" i="3"/>
  <c r="AZ497" i="3"/>
  <c r="BL549" i="3"/>
  <c r="AZ494" i="3"/>
  <c r="AZ502" i="3"/>
  <c r="AZ514" i="3"/>
  <c r="AZ522" i="3"/>
  <c r="AZ530" i="3"/>
  <c r="AZ546" i="3"/>
  <c r="G546" i="3"/>
  <c r="G524" i="3"/>
  <c r="G303" i="3"/>
  <c r="BL304" i="3"/>
  <c r="G305" i="3"/>
  <c r="BL306" i="3"/>
  <c r="BA308" i="3"/>
  <c r="BA309" i="3"/>
  <c r="AZ309" i="3" s="1"/>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AZ119" i="3" s="1"/>
  <c r="BL120" i="3"/>
  <c r="G121" i="3"/>
  <c r="BA123" i="3"/>
  <c r="AZ123" i="3" s="1"/>
  <c r="BL124" i="3"/>
  <c r="G125" i="3"/>
  <c r="BA127" i="3"/>
  <c r="BL128" i="3"/>
  <c r="G129" i="3"/>
  <c r="BA131" i="3"/>
  <c r="BL132" i="3"/>
  <c r="AZ132" i="3" s="1"/>
  <c r="G133" i="3"/>
  <c r="BA135" i="3"/>
  <c r="BL136" i="3"/>
  <c r="G137" i="3"/>
  <c r="BA139" i="3"/>
  <c r="BL140" i="3"/>
  <c r="AZ140" i="3" s="1"/>
  <c r="G141" i="3"/>
  <c r="BA143" i="3"/>
  <c r="BL144" i="3"/>
  <c r="AZ144" i="3" s="1"/>
  <c r="G145" i="3"/>
  <c r="BA147" i="3"/>
  <c r="BL148" i="3"/>
  <c r="AZ148" i="3" s="1"/>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AZ176" i="3" s="1"/>
  <c r="G177" i="3"/>
  <c r="BA179" i="3"/>
  <c r="BL180" i="3"/>
  <c r="AZ180" i="3" s="1"/>
  <c r="G181" i="3"/>
  <c r="BA183" i="3"/>
  <c r="BL184" i="3"/>
  <c r="G185" i="3"/>
  <c r="BA187" i="3"/>
  <c r="AZ187" i="3"/>
  <c r="BL188" i="3"/>
  <c r="G189" i="3"/>
  <c r="BA191" i="3"/>
  <c r="BL192" i="3"/>
  <c r="G193" i="3"/>
  <c r="BA195" i="3"/>
  <c r="BL196" i="3"/>
  <c r="G197" i="3"/>
  <c r="BA199" i="3"/>
  <c r="AZ199" i="3" s="1"/>
  <c r="BL200" i="3"/>
  <c r="G201" i="3"/>
  <c r="BA203" i="3"/>
  <c r="AZ203" i="3" s="1"/>
  <c r="BL204" i="3"/>
  <c r="AZ204" i="3" s="1"/>
  <c r="AZ39" i="3"/>
  <c r="AZ43" i="3"/>
  <c r="AZ47" i="3"/>
  <c r="AZ136" i="3"/>
  <c r="AZ93" i="3"/>
  <c r="AZ101" i="3"/>
  <c r="AZ120" i="3"/>
  <c r="AZ128"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BA346" i="3"/>
  <c r="AZ346" i="3" s="1"/>
  <c r="BA347" i="3"/>
  <c r="BL347" i="3"/>
  <c r="G350" i="3"/>
  <c r="BA351" i="3"/>
  <c r="AZ351" i="3" s="1"/>
  <c r="BL351" i="3"/>
  <c r="G352" i="3"/>
  <c r="G354" i="3"/>
  <c r="BA355" i="3"/>
  <c r="BA356" i="3"/>
  <c r="BL356" i="3"/>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70" i="3"/>
  <c r="AZ202" i="3"/>
  <c r="AZ206" i="3"/>
  <c r="AZ500" i="3"/>
  <c r="BA16" i="3"/>
  <c r="BL303" i="3"/>
  <c r="G304" i="3"/>
  <c r="BA306" i="3"/>
  <c r="BL307" i="3"/>
  <c r="AZ307" i="3" s="1"/>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BL339" i="3"/>
  <c r="AZ339" i="3" s="1"/>
  <c r="G340" i="3"/>
  <c r="BL343" i="3"/>
  <c r="G344" i="3"/>
  <c r="G348" i="3"/>
  <c r="G355" i="3"/>
  <c r="AZ218" i="3"/>
  <c r="AZ319" i="3"/>
  <c r="G342" i="3"/>
  <c r="BL345" i="3"/>
  <c r="AZ345" i="3" s="1"/>
  <c r="G346" i="3"/>
  <c r="BL349" i="3"/>
  <c r="BL352" i="3"/>
  <c r="AZ352" i="3" s="1"/>
  <c r="G353" i="3"/>
  <c r="BA357" i="3"/>
  <c r="BL358" i="3"/>
  <c r="AZ358" i="3" s="1"/>
  <c r="G359" i="3"/>
  <c r="BA361" i="3"/>
  <c r="BL362" i="3"/>
  <c r="AZ362" i="3" s="1"/>
  <c r="G363" i="3"/>
  <c r="BA365" i="3"/>
  <c r="AZ365" i="3" s="1"/>
  <c r="BL366" i="3"/>
  <c r="G367" i="3"/>
  <c r="BA369" i="3"/>
  <c r="AZ369" i="3" s="1"/>
  <c r="BL370" i="3"/>
  <c r="G371" i="3"/>
  <c r="BA373" i="3"/>
  <c r="AZ373" i="3" s="1"/>
  <c r="BL374" i="3"/>
  <c r="G375" i="3"/>
  <c r="BA377" i="3"/>
  <c r="AZ377" i="3" s="1"/>
  <c r="AZ229" i="3"/>
  <c r="AZ233" i="3"/>
  <c r="AZ237" i="3"/>
  <c r="AZ273" i="3"/>
  <c r="BA379" i="3"/>
  <c r="AZ379" i="3" s="1"/>
  <c r="BL380" i="3"/>
  <c r="G381" i="3"/>
  <c r="BA383" i="3"/>
  <c r="AZ383" i="3" s="1"/>
  <c r="BL384" i="3"/>
  <c r="G385" i="3"/>
  <c r="BA387" i="3"/>
  <c r="AZ387" i="3" s="1"/>
  <c r="BL388" i="3"/>
  <c r="G389" i="3"/>
  <c r="BA391" i="3"/>
  <c r="AZ391" i="3" s="1"/>
  <c r="BL392" i="3"/>
  <c r="G393" i="3"/>
  <c r="AZ275" i="3"/>
  <c r="BO5" i="3"/>
  <c r="BM5" i="3"/>
  <c r="BJ5" i="3"/>
  <c r="BH5" i="3"/>
  <c r="BF5" i="3"/>
  <c r="BD5" i="3"/>
  <c r="AZ325" i="3"/>
  <c r="BQ5" i="3"/>
  <c r="AC5" i="3"/>
  <c r="AZ549" i="3"/>
  <c r="AZ506" i="3"/>
  <c r="AZ496" i="3"/>
  <c r="G548" i="3"/>
  <c r="G538" i="3"/>
  <c r="G520" i="3"/>
  <c r="G502" i="3"/>
  <c r="BS5" i="3"/>
  <c r="BP5" i="3"/>
  <c r="BN5" i="3"/>
  <c r="BK5" i="3"/>
  <c r="BI5" i="3"/>
  <c r="BG5" i="3"/>
  <c r="BE5" i="3"/>
  <c r="BC5" i="3"/>
  <c r="G17" i="3"/>
  <c r="BA17" i="3"/>
  <c r="BT5" i="3"/>
  <c r="AZ350" i="3"/>
  <c r="AZ356" i="3"/>
  <c r="AZ364" i="3"/>
  <c r="BA15" i="3"/>
  <c r="BB5" i="3"/>
  <c r="BR5" i="3"/>
  <c r="AZ380" i="3"/>
  <c r="AZ384" i="3"/>
  <c r="AZ388" i="3"/>
  <c r="AZ392" i="3"/>
  <c r="AZ396" i="3"/>
  <c r="AZ394" i="3"/>
  <c r="AZ499" i="3"/>
  <c r="AZ509" i="3"/>
  <c r="G509" i="3"/>
  <c r="BL493" i="3"/>
  <c r="AZ493" i="3" s="1"/>
  <c r="AZ376" i="3"/>
  <c r="AZ390"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s="1"/>
  <c r="J39" i="39"/>
  <c r="AC39" i="39" s="1"/>
  <c r="E96" i="39"/>
  <c r="F96" i="39" s="1"/>
  <c r="G96" i="39" s="1"/>
  <c r="AZ354" i="3"/>
  <c r="C40" i="11"/>
  <c r="AZ215" i="3"/>
  <c r="AZ227" i="3"/>
  <c r="AZ232" i="3"/>
  <c r="AZ235" i="3"/>
  <c r="AZ117" i="3"/>
  <c r="AZ29" i="3"/>
  <c r="AZ31" i="3"/>
  <c r="AZ33" i="3"/>
  <c r="AZ37" i="3"/>
  <c r="AZ45" i="3"/>
  <c r="AZ50" i="3"/>
  <c r="AZ10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7" i="3"/>
  <c r="W12" i="33"/>
  <c r="AC12" i="33"/>
  <c r="AA32" i="36"/>
  <c r="S32" i="36"/>
  <c r="AZ437" i="3"/>
  <c r="AZ441" i="3"/>
  <c r="F28" i="6"/>
  <c r="BL14" i="3"/>
  <c r="U30" i="33"/>
  <c r="AC13" i="34"/>
  <c r="AA47" i="34"/>
  <c r="W28" i="37"/>
  <c r="S19" i="39"/>
  <c r="F12" i="33"/>
  <c r="H12" i="39"/>
  <c r="AB12" i="39" s="1"/>
  <c r="F39" i="40"/>
  <c r="BA14" i="3"/>
  <c r="AZ213" i="3"/>
  <c r="AZ234" i="3"/>
  <c r="AZ165" i="3"/>
  <c r="AZ197" i="3"/>
  <c r="AZ26" i="3"/>
  <c r="AZ35" i="3"/>
  <c r="AZ4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A33" i="34"/>
  <c r="W41" i="34"/>
  <c r="AC42" i="34"/>
  <c r="AB35" i="34"/>
  <c r="U39" i="34"/>
  <c r="AA45" i="34"/>
  <c r="AA25" i="34"/>
  <c r="U28"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C45" i="34"/>
  <c r="AA31" i="34"/>
  <c r="AA30" i="34"/>
  <c r="AB45" i="34"/>
  <c r="AB47" i="34"/>
  <c r="U25" i="34"/>
  <c r="W33" i="34"/>
  <c r="AC14" i="34"/>
  <c r="AC32" i="34"/>
  <c r="W46" i="34"/>
  <c r="AC46" i="34"/>
  <c r="S32" i="34"/>
  <c r="AA32" i="34"/>
  <c r="U30" i="34"/>
  <c r="AB30" i="34"/>
  <c r="AC40" i="34"/>
  <c r="S8"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S23" i="33" s="1"/>
  <c r="G85" i="33"/>
  <c r="AC23" i="33"/>
  <c r="W23" i="33"/>
  <c r="AA19" i="33"/>
  <c r="H19" i="33"/>
  <c r="U19" i="33" s="1"/>
  <c r="G81" i="33"/>
  <c r="G79" i="33"/>
  <c r="H17" i="33"/>
  <c r="AB17" i="33" s="1"/>
  <c r="F17" i="33"/>
  <c r="S17" i="33" s="1"/>
  <c r="W17" i="33"/>
  <c r="AC17" i="33"/>
  <c r="S37" i="21"/>
  <c r="AA23" i="21"/>
  <c r="AB15" i="21"/>
  <c r="J23" i="21"/>
  <c r="W23" i="21" s="1"/>
  <c r="F85" i="21"/>
  <c r="G85" i="21" s="1"/>
  <c r="H23" i="21"/>
  <c r="AB23" i="21" s="1"/>
  <c r="S13" i="21"/>
  <c r="D6" i="52"/>
  <c r="AP7" i="1"/>
  <c r="AB45" i="21"/>
  <c r="AB9" i="21"/>
  <c r="U9" i="21"/>
  <c r="AA32" i="21"/>
  <c r="S32" i="21"/>
  <c r="W9" i="21"/>
  <c r="AC9" i="21"/>
  <c r="AB32" i="21"/>
  <c r="U32" i="21"/>
  <c r="U32" i="39"/>
  <c r="AC32" i="39"/>
  <c r="W32" i="39"/>
  <c r="W19" i="37"/>
  <c r="AC19" i="37"/>
  <c r="W23" i="37"/>
  <c r="H63" i="37"/>
  <c r="I63" i="37" s="1"/>
  <c r="J63" i="37" s="1"/>
  <c r="K63" i="37" s="1"/>
  <c r="L63" i="37" s="1"/>
  <c r="M63" i="37" s="1"/>
  <c r="J11" i="37"/>
  <c r="AC11" i="37" s="1"/>
  <c r="H70" i="34"/>
  <c r="I70" i="34" s="1"/>
  <c r="J70" i="34" s="1"/>
  <c r="K70" i="34" s="1"/>
  <c r="L70" i="34" s="1"/>
  <c r="M70" i="34" s="1"/>
  <c r="J11" i="34"/>
  <c r="W11" i="34" s="1"/>
  <c r="AB36" i="33"/>
  <c r="W27" i="33"/>
  <c r="W25" i="33"/>
  <c r="AA23" i="33"/>
  <c r="AB19" i="33"/>
  <c r="AA17" i="33"/>
  <c r="U17" i="33"/>
  <c r="AC23" i="21"/>
  <c r="H109" i="9"/>
  <c r="D16" i="53" s="1"/>
  <c r="B34" i="72" s="1"/>
  <c r="H112" i="9"/>
  <c r="D21" i="53" s="1"/>
  <c r="B39" i="72" s="1"/>
  <c r="H111" i="9"/>
  <c r="D126" i="9" s="1"/>
  <c r="I14" i="74"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E2" i="68"/>
  <c r="F40" i="15"/>
  <c r="D34" i="9"/>
  <c r="M28" i="15"/>
  <c r="M6" i="15"/>
  <c r="B11" i="76"/>
  <c r="F9" i="67"/>
  <c r="E7" i="76"/>
  <c r="F36" i="15"/>
  <c r="D6" i="73"/>
  <c r="F3" i="73"/>
  <c r="F7" i="15"/>
  <c r="D4" i="73"/>
  <c r="E13" i="76"/>
  <c r="F5" i="73"/>
  <c r="F16" i="15"/>
  <c r="M26" i="15"/>
  <c r="D7" i="73"/>
  <c r="M29" i="15"/>
  <c r="F7" i="67"/>
  <c r="F8" i="67"/>
  <c r="F38" i="15"/>
  <c r="M8" i="15"/>
  <c r="M24" i="15"/>
  <c r="M22" i="67"/>
  <c r="E9" i="76"/>
  <c r="F43" i="67"/>
  <c r="F37" i="15"/>
  <c r="F40" i="67"/>
  <c r="F42" i="15"/>
  <c r="E12" i="76"/>
  <c r="B12" i="76"/>
  <c r="L47" i="15"/>
  <c r="M9" i="15"/>
  <c r="M23" i="15"/>
  <c r="D35" i="9"/>
  <c r="E2" i="69"/>
  <c r="L47" i="67"/>
  <c r="C76" i="67"/>
  <c r="F9" i="15"/>
  <c r="L48" i="67"/>
  <c r="C76" i="15"/>
  <c r="F6" i="67"/>
  <c r="M22" i="15"/>
  <c r="B9" i="76"/>
  <c r="E11" i="76"/>
  <c r="F16" i="67"/>
  <c r="M6" i="67"/>
  <c r="F26" i="15"/>
  <c r="B10" i="76"/>
  <c r="F13" i="67"/>
  <c r="F38" i="67"/>
  <c r="B7" i="76"/>
  <c r="F8" i="15"/>
  <c r="D3" i="73"/>
  <c r="E10" i="76"/>
  <c r="F42" i="67"/>
  <c r="F43" i="15"/>
  <c r="F4" i="73"/>
  <c r="F26" i="67"/>
  <c r="M8" i="67"/>
  <c r="B8" i="76"/>
  <c r="M29" i="67"/>
  <c r="F13" i="15"/>
  <c r="J15" i="67"/>
  <c r="J15" i="15"/>
  <c r="F6" i="15"/>
  <c r="AO13" i="1"/>
  <c r="M24" i="67"/>
  <c r="M26" i="67"/>
  <c r="M9" i="67"/>
  <c r="M28" i="67"/>
  <c r="D5" i="73"/>
  <c r="F20" i="31"/>
  <c r="L48" i="15"/>
  <c r="B13" i="76"/>
  <c r="M23" i="67"/>
  <c r="F7" i="73"/>
  <c r="F36" i="67"/>
  <c r="F6" i="73"/>
  <c r="F37" i="67"/>
  <c r="E8" i="76"/>
  <c r="U23" i="21" l="1"/>
  <c r="AZ357" i="3"/>
  <c r="AZ338" i="3"/>
  <c r="AZ327" i="3"/>
  <c r="AZ355" i="3"/>
  <c r="AZ321" i="3"/>
  <c r="AZ306" i="3"/>
  <c r="AZ303" i="3"/>
  <c r="AZ342" i="3"/>
  <c r="AZ336" i="3"/>
  <c r="AZ329" i="3"/>
  <c r="AZ340" i="3"/>
  <c r="AZ308" i="3"/>
  <c r="AZ505" i="3"/>
  <c r="AZ519" i="3"/>
  <c r="AZ525" i="3"/>
  <c r="AZ529" i="3"/>
  <c r="AZ533" i="3"/>
  <c r="AZ537" i="3"/>
  <c r="AZ541" i="3"/>
  <c r="AZ545" i="3"/>
  <c r="AZ555" i="3"/>
  <c r="AZ565" i="3"/>
  <c r="AZ569" i="3"/>
  <c r="AZ503" i="3"/>
  <c r="AZ507" i="3"/>
  <c r="AZ523" i="3"/>
  <c r="AZ527" i="3"/>
  <c r="AZ531" i="3"/>
  <c r="AZ535" i="3"/>
  <c r="AZ539" i="3"/>
  <c r="AZ543" i="3"/>
  <c r="AZ547" i="3"/>
  <c r="AZ498" i="3"/>
  <c r="AZ526" i="3"/>
  <c r="AZ554" i="3"/>
  <c r="AZ558" i="3"/>
  <c r="AZ566" i="3"/>
  <c r="AZ574" i="3"/>
  <c r="AZ582" i="3"/>
  <c r="AZ540" i="3"/>
  <c r="AZ560" i="3"/>
  <c r="AZ584" i="3"/>
  <c r="AC11" i="35"/>
  <c r="F25" i="37"/>
  <c r="J40" i="40"/>
  <c r="G562" i="3"/>
  <c r="G558" i="3"/>
  <c r="G542" i="3"/>
  <c r="BL16" i="3"/>
  <c r="G398" i="3"/>
  <c r="G401" i="3"/>
  <c r="BL402" i="3"/>
  <c r="G403" i="3"/>
  <c r="BL404" i="3"/>
  <c r="G405" i="3"/>
  <c r="BL406" i="3"/>
  <c r="G407" i="3"/>
  <c r="G409" i="3"/>
  <c r="BA410" i="3"/>
  <c r="BL410" i="3"/>
  <c r="BA411" i="3"/>
  <c r="AZ411" i="3" s="1"/>
  <c r="BA412" i="3"/>
  <c r="AZ412" i="3" s="1"/>
  <c r="BL414" i="3"/>
  <c r="G415" i="3"/>
  <c r="BL419" i="3"/>
  <c r="G420" i="3"/>
  <c r="G425" i="3"/>
  <c r="BA426" i="3"/>
  <c r="BL426" i="3"/>
  <c r="BA427" i="3"/>
  <c r="AZ427" i="3" s="1"/>
  <c r="BA428" i="3"/>
  <c r="AZ428" i="3" s="1"/>
  <c r="BA429" i="3"/>
  <c r="AZ429" i="3" s="1"/>
  <c r="BL429" i="3"/>
  <c r="G430" i="3"/>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BL474" i="3"/>
  <c r="BA475" i="3"/>
  <c r="AZ475" i="3" s="1"/>
  <c r="BA477" i="3"/>
  <c r="AZ477" i="3" s="1"/>
  <c r="BL479" i="3"/>
  <c r="G480" i="3"/>
  <c r="G483" i="3"/>
  <c r="BA484" i="3"/>
  <c r="BL484" i="3"/>
  <c r="BA485" i="3"/>
  <c r="AZ485" i="3" s="1"/>
  <c r="BA487" i="3"/>
  <c r="AZ487" i="3" s="1"/>
  <c r="BL489" i="3"/>
  <c r="G490" i="3"/>
  <c r="BA491" i="3"/>
  <c r="AZ491" i="3" s="1"/>
  <c r="BL491" i="3"/>
  <c r="BA492" i="3"/>
  <c r="AZ492" i="3" s="1"/>
  <c r="BA316" i="3"/>
  <c r="BL316" i="3"/>
  <c r="BL328" i="3"/>
  <c r="AZ328" i="3" s="1"/>
  <c r="G329" i="3"/>
  <c r="BA331" i="3"/>
  <c r="AZ331" i="3" s="1"/>
  <c r="BL333" i="3"/>
  <c r="G334" i="3"/>
  <c r="G347" i="3"/>
  <c r="BA348" i="3"/>
  <c r="AZ348" i="3" s="1"/>
  <c r="BA349" i="3"/>
  <c r="AZ349" i="3" s="1"/>
  <c r="BL363" i="3"/>
  <c r="G364" i="3"/>
  <c r="BA366" i="3"/>
  <c r="AZ366" i="3" s="1"/>
  <c r="BA368" i="3"/>
  <c r="BL368" i="3"/>
  <c r="G374" i="3"/>
  <c r="BL375" i="3"/>
  <c r="AZ375" i="3" s="1"/>
  <c r="D38" i="71"/>
  <c r="C39" i="71"/>
  <c r="C40" i="71" s="1"/>
  <c r="D62" i="71"/>
  <c r="C63" i="71"/>
  <c r="BA385" i="3"/>
  <c r="BL385" i="3"/>
  <c r="G208" i="3"/>
  <c r="BL209" i="3"/>
  <c r="G210" i="3"/>
  <c r="G213" i="3"/>
  <c r="G215" i="3"/>
  <c r="G218" i="3"/>
  <c r="G221" i="3"/>
  <c r="BL222" i="3"/>
  <c r="G223" i="3"/>
  <c r="BL224" i="3"/>
  <c r="G225" i="3"/>
  <c r="G229" i="3"/>
  <c r="G237" i="3"/>
  <c r="G239" i="3"/>
  <c r="BL240" i="3"/>
  <c r="G241" i="3"/>
  <c r="BA242" i="3"/>
  <c r="AZ242" i="3" s="1"/>
  <c r="BL242" i="3"/>
  <c r="BL244" i="3"/>
  <c r="G245" i="3"/>
  <c r="BA246" i="3"/>
  <c r="AZ246" i="3" s="1"/>
  <c r="BL246" i="3"/>
  <c r="BA247" i="3"/>
  <c r="AZ247" i="3" s="1"/>
  <c r="BA248" i="3"/>
  <c r="AZ248" i="3" s="1"/>
  <c r="BA249" i="3"/>
  <c r="AZ249" i="3" s="1"/>
  <c r="BA250" i="3"/>
  <c r="AZ250" i="3" s="1"/>
  <c r="BA251" i="3"/>
  <c r="AZ251" i="3" s="1"/>
  <c r="BA253" i="3"/>
  <c r="BL253" i="3"/>
  <c r="BL255" i="3"/>
  <c r="G256" i="3"/>
  <c r="BL257" i="3"/>
  <c r="G258" i="3"/>
  <c r="G260" i="3"/>
  <c r="BL261" i="3"/>
  <c r="G262" i="3"/>
  <c r="BA263" i="3"/>
  <c r="BL263" i="3"/>
  <c r="BA264" i="3"/>
  <c r="AZ264" i="3" s="1"/>
  <c r="BA265" i="3"/>
  <c r="AZ265" i="3" s="1"/>
  <c r="BL267" i="3"/>
  <c r="G268" i="3"/>
  <c r="BL269" i="3"/>
  <c r="G270" i="3"/>
  <c r="G272" i="3"/>
  <c r="G275" i="3"/>
  <c r="G278" i="3"/>
  <c r="BL279" i="3"/>
  <c r="G280" i="3"/>
  <c r="BL281" i="3"/>
  <c r="G282" i="3"/>
  <c r="G284" i="3"/>
  <c r="BA285" i="3"/>
  <c r="BL285" i="3"/>
  <c r="BA287" i="3"/>
  <c r="AZ287" i="3" s="1"/>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AZ133" i="3" s="1"/>
  <c r="BL133" i="3"/>
  <c r="BA134" i="3"/>
  <c r="AZ134" i="3" s="1"/>
  <c r="G136" i="3"/>
  <c r="G140" i="3"/>
  <c r="BL141" i="3"/>
  <c r="G142" i="3"/>
  <c r="G144" i="3"/>
  <c r="BL145" i="3"/>
  <c r="G146" i="3"/>
  <c r="G148" i="3"/>
  <c r="BA149" i="3"/>
  <c r="BL149" i="3"/>
  <c r="BL151" i="3"/>
  <c r="AZ151" i="3" s="1"/>
  <c r="G152" i="3"/>
  <c r="BA154" i="3"/>
  <c r="BL154" i="3"/>
  <c r="BA156" i="3"/>
  <c r="AZ156" i="3" s="1"/>
  <c r="BL158" i="3"/>
  <c r="G159" i="3"/>
  <c r="BA160" i="3"/>
  <c r="AZ160" i="3" s="1"/>
  <c r="BL162" i="3"/>
  <c r="G163" i="3"/>
  <c r="BA164" i="3"/>
  <c r="AZ164" i="3" s="1"/>
  <c r="G167" i="3"/>
  <c r="G170" i="3"/>
  <c r="BL173" i="3"/>
  <c r="G174" i="3"/>
  <c r="G176" i="3"/>
  <c r="BL177" i="3"/>
  <c r="G178" i="3"/>
  <c r="G180" i="3"/>
  <c r="BA181" i="3"/>
  <c r="AZ181" i="3" s="1"/>
  <c r="BL181" i="3"/>
  <c r="BL183" i="3"/>
  <c r="AZ183" i="3" s="1"/>
  <c r="G184" i="3"/>
  <c r="BA186" i="3"/>
  <c r="AZ186" i="3" s="1"/>
  <c r="BL186" i="3"/>
  <c r="BA188" i="3"/>
  <c r="AZ188" i="3" s="1"/>
  <c r="BL190" i="3"/>
  <c r="G191" i="3"/>
  <c r="BA192" i="3"/>
  <c r="AZ192" i="3" s="1"/>
  <c r="BL194" i="3"/>
  <c r="G195" i="3"/>
  <c r="BA196" i="3"/>
  <c r="AZ196" i="3" s="1"/>
  <c r="G199" i="3"/>
  <c r="G202" i="3"/>
  <c r="G18" i="3"/>
  <c r="BL19" i="3"/>
  <c r="G20" i="3"/>
  <c r="BA106" i="3"/>
  <c r="AZ106" i="3" s="1"/>
  <c r="BA107" i="3"/>
  <c r="AZ107" i="3" s="1"/>
  <c r="BA109" i="3"/>
  <c r="AZ109" i="3" s="1"/>
  <c r="BL109" i="3"/>
  <c r="BA111" i="3"/>
  <c r="AZ111" i="3" s="1"/>
  <c r="BL111" i="3"/>
  <c r="BA112" i="3"/>
  <c r="AZ112" i="3" s="1"/>
  <c r="V28" i="71"/>
  <c r="C78" i="71"/>
  <c r="D78" i="71" s="1"/>
  <c r="AB26" i="71"/>
  <c r="X28" i="71"/>
  <c r="X26" i="71"/>
  <c r="Y27" i="71"/>
  <c r="Z27" i="71" s="1"/>
  <c r="Y25" i="71"/>
  <c r="Z25" i="71" s="1"/>
  <c r="X38" i="71"/>
  <c r="X36" i="71"/>
  <c r="X35" i="71"/>
  <c r="AA32" i="71"/>
  <c r="Y29" i="71"/>
  <c r="Z29" i="71" s="1"/>
  <c r="X37" i="71"/>
  <c r="AB31" i="71"/>
  <c r="F35" i="71"/>
  <c r="F36" i="71" s="1"/>
  <c r="V36" i="71" s="1"/>
  <c r="B67" i="71"/>
  <c r="BL21" i="3"/>
  <c r="G22" i="3"/>
  <c r="G26" i="3"/>
  <c r="G31" i="3"/>
  <c r="G33" i="3"/>
  <c r="G37" i="3"/>
  <c r="G41" i="3"/>
  <c r="G43" i="3"/>
  <c r="G47" i="3"/>
  <c r="G50" i="3"/>
  <c r="G52" i="3"/>
  <c r="BL53" i="3"/>
  <c r="G54" i="3"/>
  <c r="G56" i="3"/>
  <c r="BA57" i="3"/>
  <c r="BL57" i="3"/>
  <c r="BA59" i="3"/>
  <c r="BL59" i="3"/>
  <c r="BA60" i="3"/>
  <c r="AZ60" i="3" s="1"/>
  <c r="BA61" i="3"/>
  <c r="AZ61" i="3" s="1"/>
  <c r="BA63" i="3"/>
  <c r="AZ63" i="3" s="1"/>
  <c r="BL63" i="3"/>
  <c r="BA64" i="3"/>
  <c r="AZ64" i="3" s="1"/>
  <c r="BA66" i="3"/>
  <c r="BL66" i="3"/>
  <c r="BA67" i="3"/>
  <c r="AZ67" i="3" s="1"/>
  <c r="BL67" i="3"/>
  <c r="BA68" i="3"/>
  <c r="AZ68" i="3" s="1"/>
  <c r="BA69" i="3"/>
  <c r="AZ69" i="3" s="1"/>
  <c r="BA71" i="3"/>
  <c r="AZ71" i="3" s="1"/>
  <c r="BL71" i="3"/>
  <c r="BL73" i="3"/>
  <c r="G74" i="3"/>
  <c r="BL75" i="3"/>
  <c r="G76" i="3"/>
  <c r="G78" i="3"/>
  <c r="BL79" i="3"/>
  <c r="G80" i="3"/>
  <c r="BA81" i="3"/>
  <c r="BL81" i="3"/>
  <c r="BA83" i="3"/>
  <c r="BL83" i="3"/>
  <c r="BA85" i="3"/>
  <c r="BL85" i="3"/>
  <c r="BL87" i="3"/>
  <c r="G88" i="3"/>
  <c r="BL89" i="3"/>
  <c r="G90" i="3"/>
  <c r="G93" i="3"/>
  <c r="G95" i="3"/>
  <c r="BA96" i="3"/>
  <c r="BL96" i="3"/>
  <c r="BL98" i="3"/>
  <c r="G99" i="3"/>
  <c r="G104" i="3"/>
  <c r="AC21" i="33"/>
  <c r="C25" i="40"/>
  <c r="C21" i="71"/>
  <c r="AZ14" i="3"/>
  <c r="AZ305" i="3"/>
  <c r="F78" i="34"/>
  <c r="G78" i="34" s="1"/>
  <c r="J15" i="34"/>
  <c r="F82" i="34"/>
  <c r="G82" i="34" s="1"/>
  <c r="H19" i="34"/>
  <c r="AB19" i="34" s="1"/>
  <c r="J19" i="34"/>
  <c r="AC12" i="40"/>
  <c r="W12" i="40"/>
  <c r="AB40" i="40"/>
  <c r="U40" i="40"/>
  <c r="AZ343" i="3"/>
  <c r="F80" i="34"/>
  <c r="G80" i="34" s="1"/>
  <c r="J17" i="34"/>
  <c r="W17" i="34" s="1"/>
  <c r="H17" i="34"/>
  <c r="U17" i="34" s="1"/>
  <c r="F86" i="34"/>
  <c r="G86" i="34" s="1"/>
  <c r="J23" i="34"/>
  <c r="F23" i="34"/>
  <c r="AC26" i="37"/>
  <c r="W26" i="37"/>
  <c r="I7" i="34"/>
  <c r="E7" i="34"/>
  <c r="G7" i="34"/>
  <c r="AZ559" i="3"/>
  <c r="AZ581" i="3"/>
  <c r="AZ518" i="3"/>
  <c r="S11" i="36"/>
  <c r="U31" i="34"/>
  <c r="BL585" i="3"/>
  <c r="AZ585" i="3" s="1"/>
  <c r="H12" i="33"/>
  <c r="J9" i="36"/>
  <c r="F26" i="37"/>
  <c r="F44" i="39"/>
  <c r="G582" i="3"/>
  <c r="G566" i="3"/>
  <c r="G552" i="3"/>
  <c r="BA551" i="3"/>
  <c r="AZ551" i="3" s="1"/>
  <c r="G551" i="3"/>
  <c r="BL550" i="3"/>
  <c r="BA550" i="3"/>
  <c r="BL548" i="3"/>
  <c r="AZ548" i="3" s="1"/>
  <c r="G14" i="3"/>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A430" i="3"/>
  <c r="AZ430" i="3" s="1"/>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F29" i="6"/>
  <c r="AZ361" i="3"/>
  <c r="AZ16" i="3"/>
  <c r="AZ363" i="3"/>
  <c r="AZ347" i="3"/>
  <c r="AZ344" i="3"/>
  <c r="AZ313" i="3"/>
  <c r="AZ378" i="3"/>
  <c r="S11" i="39"/>
  <c r="AZ552" i="3"/>
  <c r="AZ538" i="3"/>
  <c r="BL586" i="3"/>
  <c r="AZ586" i="3" s="1"/>
  <c r="BL15" i="3"/>
  <c r="AZ400" i="3"/>
  <c r="AZ402" i="3"/>
  <c r="AZ406" i="3"/>
  <c r="AZ413" i="3"/>
  <c r="AZ419" i="3"/>
  <c r="AZ424" i="3"/>
  <c r="AZ442" i="3"/>
  <c r="AZ446" i="3"/>
  <c r="AZ478" i="3"/>
  <c r="G482" i="3"/>
  <c r="BL482" i="3"/>
  <c r="AZ482" i="3" s="1"/>
  <c r="BA483" i="3"/>
  <c r="AZ483" i="3" s="1"/>
  <c r="G486" i="3"/>
  <c r="BL486" i="3"/>
  <c r="G488" i="3"/>
  <c r="BL488" i="3"/>
  <c r="AZ488" i="3" s="1"/>
  <c r="BA489" i="3"/>
  <c r="AZ489" i="3" s="1"/>
  <c r="BA490" i="3"/>
  <c r="AZ490" i="3" s="1"/>
  <c r="G311" i="3"/>
  <c r="G315" i="3"/>
  <c r="BA317" i="3"/>
  <c r="AZ317" i="3" s="1"/>
  <c r="G327" i="3"/>
  <c r="G331" i="3"/>
  <c r="BA333" i="3"/>
  <c r="AZ333" i="3" s="1"/>
  <c r="G343" i="3"/>
  <c r="G349" i="3"/>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135" i="3"/>
  <c r="AZ135" i="3" s="1"/>
  <c r="BL212" i="3"/>
  <c r="BL214" i="3"/>
  <c r="AZ214" i="3" s="1"/>
  <c r="G217" i="3"/>
  <c r="BL217" i="3"/>
  <c r="G220" i="3"/>
  <c r="BL220" i="3"/>
  <c r="BA221" i="3"/>
  <c r="AZ221" i="3" s="1"/>
  <c r="BA222" i="3"/>
  <c r="AZ222" i="3" s="1"/>
  <c r="BA223" i="3"/>
  <c r="AZ223" i="3" s="1"/>
  <c r="BA224" i="3"/>
  <c r="AZ224" i="3" s="1"/>
  <c r="G227" i="3"/>
  <c r="G228" i="3"/>
  <c r="BL228" i="3"/>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A262" i="3"/>
  <c r="BL262" i="3"/>
  <c r="G265" i="3"/>
  <c r="G266" i="3"/>
  <c r="BL266" i="3"/>
  <c r="AZ266" i="3" s="1"/>
  <c r="BA267" i="3"/>
  <c r="AZ267" i="3" s="1"/>
  <c r="BA268" i="3"/>
  <c r="AZ268" i="3" s="1"/>
  <c r="BA269" i="3"/>
  <c r="AZ269" i="3" s="1"/>
  <c r="BL271" i="3"/>
  <c r="AZ271"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AZ30" i="3" s="1"/>
  <c r="BL32" i="3"/>
  <c r="AZ32" i="3" s="1"/>
  <c r="G35" i="3"/>
  <c r="G36" i="3"/>
  <c r="BL36" i="3"/>
  <c r="AZ36" i="3" s="1"/>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AZ62" i="3" s="1"/>
  <c r="G65" i="3"/>
  <c r="BL65" i="3"/>
  <c r="AZ65" i="3" s="1"/>
  <c r="AZ153" i="3"/>
  <c r="AZ169" i="3"/>
  <c r="AZ185" i="3"/>
  <c r="AZ201" i="3"/>
  <c r="AZ207" i="3"/>
  <c r="AZ25" i="3"/>
  <c r="AZ40" i="3"/>
  <c r="C35" i="71"/>
  <c r="D34" i="71"/>
  <c r="D54" i="71"/>
  <c r="C55" i="7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5" i="3"/>
  <c r="G107" i="3"/>
  <c r="G108" i="3"/>
  <c r="BL108" i="3"/>
  <c r="BL110" i="3"/>
  <c r="AZ110" i="3" s="1"/>
  <c r="F3" i="35"/>
  <c r="J51" i="15"/>
  <c r="AC21" i="37"/>
  <c r="O66" i="71"/>
  <c r="O65" i="71"/>
  <c r="D66" i="71"/>
  <c r="D30" i="71"/>
  <c r="C31" i="71"/>
  <c r="D42" i="71"/>
  <c r="C43" i="71"/>
  <c r="W18" i="36"/>
  <c r="C29" i="39"/>
  <c r="B68" i="43"/>
  <c r="B77" i="43"/>
  <c r="D39" i="71"/>
  <c r="D67" i="71"/>
  <c r="AB28" i="71"/>
  <c r="F28" i="71"/>
  <c r="F27" i="71" s="1"/>
  <c r="F26" i="71" s="1"/>
  <c r="Y33" i="71"/>
  <c r="Z33" i="71" s="1"/>
  <c r="AB29" i="71"/>
  <c r="E35" i="71"/>
  <c r="E36" i="71" s="1"/>
  <c r="U36" i="71" s="1"/>
  <c r="B36" i="71"/>
  <c r="S36" i="71" s="1"/>
  <c r="B32" i="71"/>
  <c r="S32" i="71" s="1"/>
  <c r="E31" i="71"/>
  <c r="E32" i="71" s="1"/>
  <c r="U32" i="71" s="1"/>
  <c r="X30" i="71"/>
  <c r="AB30" i="71"/>
  <c r="Y31" i="71"/>
  <c r="Z31" i="71" s="1"/>
  <c r="AB32" i="71"/>
  <c r="AB34" i="71"/>
  <c r="Y35" i="71"/>
  <c r="Z35" i="71" s="1"/>
  <c r="AB36" i="71"/>
  <c r="B51" i="71"/>
  <c r="B52" i="71" s="1"/>
  <c r="S52" i="71" s="1"/>
  <c r="V24" i="71"/>
  <c r="C18" i="9"/>
  <c r="D18" i="9" s="1"/>
  <c r="C21" i="68"/>
  <c r="C40" i="69"/>
  <c r="G124" i="34"/>
  <c r="H124" i="34" s="1"/>
  <c r="I124" i="34" s="1"/>
  <c r="J124" i="34" s="1"/>
  <c r="K124" i="34" s="1"/>
  <c r="L124" i="34" s="1"/>
  <c r="M124" i="34" s="1"/>
  <c r="J43" i="34"/>
  <c r="AC43" i="34" s="1"/>
  <c r="H43" i="34"/>
  <c r="AB43" i="34" s="1"/>
  <c r="F43" i="34"/>
  <c r="AA43" i="34" s="1"/>
  <c r="AA39" i="34"/>
  <c r="H112" i="34"/>
  <c r="I112" i="34" s="1"/>
  <c r="J112" i="34" s="1"/>
  <c r="K112" i="34" s="1"/>
  <c r="L112" i="34" s="1"/>
  <c r="M112" i="34" s="1"/>
  <c r="H37" i="34"/>
  <c r="U37" i="34" s="1"/>
  <c r="J37" i="34"/>
  <c r="AC37" i="34" s="1"/>
  <c r="F37" i="34"/>
  <c r="S35" i="34"/>
  <c r="H23" i="34"/>
  <c r="U23" i="34" s="1"/>
  <c r="U19" i="34"/>
  <c r="F19" i="34"/>
  <c r="AB17" i="34"/>
  <c r="F17" i="34"/>
  <c r="H15" i="34"/>
  <c r="F15" i="34"/>
  <c r="AB41" i="34"/>
  <c r="U44" i="34"/>
  <c r="AA36" i="34"/>
  <c r="AB36" i="34"/>
  <c r="U9" i="34"/>
  <c r="AA40" i="34"/>
  <c r="AC39" i="34"/>
  <c r="U38" i="34"/>
  <c r="AA38" i="34"/>
  <c r="AC36" i="34"/>
  <c r="W29" i="34"/>
  <c r="U29" i="34"/>
  <c r="W8" i="34"/>
  <c r="AB8" i="34"/>
  <c r="U21" i="34"/>
  <c r="AB23" i="34"/>
  <c r="S21" i="34"/>
  <c r="AC21" i="34"/>
  <c r="AC17" i="34"/>
  <c r="A15" i="62"/>
  <c r="B61" i="72" s="1"/>
  <c r="D19" i="53"/>
  <c r="B38" i="72" s="1"/>
  <c r="C28" i="67"/>
  <c r="E15" i="71"/>
  <c r="E14" i="71" s="1"/>
  <c r="E13" i="71" s="1"/>
  <c r="E12" i="71" s="1"/>
  <c r="V16" i="71"/>
  <c r="G28" i="6"/>
  <c r="S41" i="34"/>
  <c r="AA41" i="34"/>
  <c r="W12" i="34"/>
  <c r="AC12" i="34"/>
  <c r="U12" i="35"/>
  <c r="AB12" i="35"/>
  <c r="AC31" i="40"/>
  <c r="W31" i="40"/>
  <c r="V20" i="71"/>
  <c r="AB43" i="33"/>
  <c r="U43" i="33"/>
  <c r="AZ557" i="3"/>
  <c r="AZ495" i="3"/>
  <c r="AZ513" i="3"/>
  <c r="AZ517" i="3"/>
  <c r="AZ567" i="3"/>
  <c r="AZ571" i="3"/>
  <c r="AZ575" i="3"/>
  <c r="AZ579" i="3"/>
  <c r="AZ568" i="3"/>
  <c r="AZ576" i="3"/>
  <c r="S12" i="21"/>
  <c r="AA12" i="21"/>
  <c r="AC9" i="34"/>
  <c r="W9" i="34"/>
  <c r="AC34" i="35"/>
  <c r="W34" i="35"/>
  <c r="AB9" i="36"/>
  <c r="U9" i="36"/>
  <c r="AB14" i="37"/>
  <c r="U14" i="37"/>
  <c r="W47" i="34"/>
  <c r="W14" i="37"/>
  <c r="U14" i="40"/>
  <c r="S44" i="34"/>
  <c r="W29" i="33"/>
  <c r="S45" i="33"/>
  <c r="AC30" i="34"/>
  <c r="U46" i="33"/>
  <c r="AA13" i="35"/>
  <c r="AA29" i="35"/>
  <c r="B73" i="43"/>
  <c r="B79" i="43"/>
  <c r="B76" i="43"/>
  <c r="B75" i="43"/>
  <c r="F9" i="34"/>
  <c r="AA9" i="34" s="1"/>
  <c r="F12" i="34"/>
  <c r="F34" i="35"/>
  <c r="H34" i="35"/>
  <c r="J36" i="35"/>
  <c r="F23" i="36"/>
  <c r="H23" i="36"/>
  <c r="AZ398" i="3"/>
  <c r="AZ405" i="3"/>
  <c r="AZ407" i="3"/>
  <c r="AZ410" i="3"/>
  <c r="AZ415" i="3"/>
  <c r="AZ420" i="3"/>
  <c r="AZ426" i="3"/>
  <c r="AZ432" i="3"/>
  <c r="AZ464" i="3"/>
  <c r="AZ467" i="3"/>
  <c r="AZ480" i="3"/>
  <c r="AZ486" i="3"/>
  <c r="AZ440" i="3"/>
  <c r="AZ449" i="3"/>
  <c r="AZ453" i="3"/>
  <c r="AZ455" i="3"/>
  <c r="AZ460" i="3"/>
  <c r="AZ471" i="3"/>
  <c r="AZ476" i="3"/>
  <c r="AZ484" i="3"/>
  <c r="AZ397" i="3"/>
  <c r="AZ212" i="3"/>
  <c r="AZ217" i="3"/>
  <c r="AZ220" i="3"/>
  <c r="AZ228" i="3"/>
  <c r="AZ236" i="3"/>
  <c r="AZ252" i="3"/>
  <c r="AZ22" i="3"/>
  <c r="AZ57" i="3"/>
  <c r="AZ70" i="3"/>
  <c r="AZ92" i="3"/>
  <c r="AZ103" i="3"/>
  <c r="AZ282" i="3"/>
  <c r="AZ285" i="3"/>
  <c r="AZ290" i="3"/>
  <c r="AZ293" i="3"/>
  <c r="AZ46" i="3"/>
  <c r="AZ49" i="3"/>
  <c r="AZ99" i="3"/>
  <c r="AZ108" i="3"/>
  <c r="AB21" i="21"/>
  <c r="T40" i="71"/>
  <c r="D40" i="71"/>
  <c r="S21" i="21"/>
  <c r="U18" i="36"/>
  <c r="D27" i="71"/>
  <c r="AB27" i="71"/>
  <c r="S28" i="71"/>
  <c r="AA29" i="71"/>
  <c r="Y9" i="71"/>
  <c r="Z9" i="71" s="1"/>
  <c r="Y10" i="71"/>
  <c r="Z10" i="71" s="1"/>
  <c r="AA9" i="71"/>
  <c r="AA10" i="71"/>
  <c r="AB24" i="71"/>
  <c r="Y22" i="71"/>
  <c r="Z22" i="71" s="1"/>
  <c r="AB23" i="71"/>
  <c r="Y21" i="71"/>
  <c r="Z21" i="71" s="1"/>
  <c r="AA21" i="71"/>
  <c r="X21" i="71"/>
  <c r="X17" i="71"/>
  <c r="Y17" i="71"/>
  <c r="Z17" i="71" s="1"/>
  <c r="AA17" i="71"/>
  <c r="AB18" i="71"/>
  <c r="Y14" i="71"/>
  <c r="Z14" i="71" s="1"/>
  <c r="X9" i="71"/>
  <c r="X10" i="71"/>
  <c r="AB10" i="71"/>
  <c r="AB9" i="71"/>
  <c r="V68" i="71"/>
  <c r="F67" i="71"/>
  <c r="X22" i="71"/>
  <c r="AA24" i="71"/>
  <c r="AA23" i="71"/>
  <c r="AA22" i="71"/>
  <c r="AB21" i="71"/>
  <c r="Y18" i="71"/>
  <c r="Z18" i="71" s="1"/>
  <c r="X18" i="71"/>
  <c r="AA18" i="71"/>
  <c r="X14" i="71"/>
  <c r="AA12" i="71"/>
  <c r="X24" i="71"/>
  <c r="Y24" i="71"/>
  <c r="Z24" i="71" s="1"/>
  <c r="AB15" i="71"/>
  <c r="AB17" i="71"/>
  <c r="AB12" i="71"/>
  <c r="AB14" i="71"/>
  <c r="X11" i="71"/>
  <c r="Y12" i="71"/>
  <c r="Z12" i="71" s="1"/>
  <c r="Y13" i="71"/>
  <c r="Z13" i="71" s="1"/>
  <c r="Y23" i="71"/>
  <c r="Z23" i="71" s="1"/>
  <c r="X15" i="71"/>
  <c r="AA15" i="71"/>
  <c r="AB11" i="71"/>
  <c r="AB13"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B29" i="1" s="1"/>
  <c r="C8" i="68" s="1"/>
  <c r="C5" i="68"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G5" i="3" l="1"/>
  <c r="B3" i="3" s="1"/>
  <c r="E329" i="3" s="1"/>
  <c r="AZ66" i="3"/>
  <c r="B66" i="71"/>
  <c r="N67" i="71"/>
  <c r="AZ263" i="3"/>
  <c r="AZ385" i="3"/>
  <c r="AZ368" i="3"/>
  <c r="AZ469" i="3"/>
  <c r="W40" i="40"/>
  <c r="AC40" i="40"/>
  <c r="BL5" i="3"/>
  <c r="AZ96" i="3"/>
  <c r="AZ85" i="3"/>
  <c r="AZ83" i="3"/>
  <c r="AZ81" i="3"/>
  <c r="AZ59" i="3"/>
  <c r="AZ154" i="3"/>
  <c r="AZ149" i="3"/>
  <c r="AZ299" i="3"/>
  <c r="AZ253" i="3"/>
  <c r="D63" i="71"/>
  <c r="C64" i="71"/>
  <c r="AZ316" i="3"/>
  <c r="AZ474" i="3"/>
  <c r="AA25" i="37"/>
  <c r="S25" i="37"/>
  <c r="E510" i="3"/>
  <c r="E205" i="3"/>
  <c r="E140" i="3"/>
  <c r="E197" i="3"/>
  <c r="E173" i="3"/>
  <c r="E369" i="3"/>
  <c r="E525" i="3"/>
  <c r="E534" i="3"/>
  <c r="T6" i="3"/>
  <c r="E405" i="3"/>
  <c r="E456" i="3"/>
  <c r="E512" i="3"/>
  <c r="E490" i="3"/>
  <c r="E376" i="3"/>
  <c r="AH6" i="3"/>
  <c r="J6" i="3"/>
  <c r="E498" i="3"/>
  <c r="E419" i="3"/>
  <c r="E483" i="3"/>
  <c r="E401" i="3"/>
  <c r="E463" i="3"/>
  <c r="E104" i="3"/>
  <c r="E115" i="3"/>
  <c r="E198" i="3"/>
  <c r="E202" i="3"/>
  <c r="E242" i="3"/>
  <c r="E226" i="3"/>
  <c r="E276" i="3"/>
  <c r="E332" i="3"/>
  <c r="E346" i="3"/>
  <c r="E391" i="3"/>
  <c r="E333" i="3"/>
  <c r="E356" i="3"/>
  <c r="E372" i="3"/>
  <c r="AL6" i="3"/>
  <c r="L6" i="3"/>
  <c r="E42" i="3"/>
  <c r="E60" i="3"/>
  <c r="E94" i="3"/>
  <c r="E43" i="3"/>
  <c r="E75" i="3"/>
  <c r="E540" i="3"/>
  <c r="E473" i="3"/>
  <c r="E15" i="3"/>
  <c r="E18" i="3"/>
  <c r="E79" i="3"/>
  <c r="E96" i="3"/>
  <c r="E38" i="3"/>
  <c r="E78" i="3"/>
  <c r="E100" i="3"/>
  <c r="E129" i="3"/>
  <c r="E170" i="3"/>
  <c r="E190" i="3"/>
  <c r="E137" i="3"/>
  <c r="E174" i="3"/>
  <c r="E194" i="3"/>
  <c r="E275" i="3"/>
  <c r="E219" i="3"/>
  <c r="E299" i="3"/>
  <c r="E324" i="3"/>
  <c r="E339" i="3"/>
  <c r="E383" i="3"/>
  <c r="E325" i="3"/>
  <c r="E342" i="3"/>
  <c r="E392" i="3"/>
  <c r="E522" i="3"/>
  <c r="AQ6" i="3"/>
  <c r="E52" i="3"/>
  <c r="E86" i="3"/>
  <c r="E34" i="3"/>
  <c r="E112" i="3"/>
  <c r="E123" i="3"/>
  <c r="E147" i="3"/>
  <c r="E289" i="3"/>
  <c r="E340" i="3"/>
  <c r="E370" i="3"/>
  <c r="E364" i="3"/>
  <c r="AF6" i="3"/>
  <c r="E50" i="3"/>
  <c r="E20" i="3"/>
  <c r="E113" i="3"/>
  <c r="E158" i="3"/>
  <c r="E287" i="3"/>
  <c r="E308" i="3"/>
  <c r="E326" i="3"/>
  <c r="E22" i="3"/>
  <c r="E83" i="3"/>
  <c r="E539" i="3"/>
  <c r="E165" i="3"/>
  <c r="E536" i="3"/>
  <c r="E244" i="3"/>
  <c r="E148" i="3"/>
  <c r="E149" i="3"/>
  <c r="E167" i="3"/>
  <c r="E199" i="3"/>
  <c r="E141" i="3"/>
  <c r="E286" i="3"/>
  <c r="E312" i="3"/>
  <c r="E575" i="3"/>
  <c r="AD6" i="3"/>
  <c r="E499" i="3"/>
  <c r="E542" i="3"/>
  <c r="R6" i="3"/>
  <c r="E502" i="3"/>
  <c r="E421" i="3"/>
  <c r="E442" i="3"/>
  <c r="E464" i="3"/>
  <c r="E466" i="3"/>
  <c r="E487" i="3"/>
  <c r="E541" i="3"/>
  <c r="E398" i="3"/>
  <c r="E430" i="3"/>
  <c r="E416" i="3"/>
  <c r="E459" i="3"/>
  <c r="E255" i="3"/>
  <c r="E374" i="3"/>
  <c r="I3" i="6"/>
  <c r="AP6" i="3"/>
  <c r="E500" i="3"/>
  <c r="E554" i="3"/>
  <c r="E517" i="3"/>
  <c r="E491" i="3"/>
  <c r="E520" i="3"/>
  <c r="E436" i="3"/>
  <c r="E479" i="3"/>
  <c r="E56" i="3"/>
  <c r="E90" i="3"/>
  <c r="E37" i="3"/>
  <c r="E57" i="3"/>
  <c r="E95" i="3"/>
  <c r="E131" i="3"/>
  <c r="E152" i="3"/>
  <c r="E187" i="3"/>
  <c r="E132" i="3"/>
  <c r="E155" i="3"/>
  <c r="E192" i="3"/>
  <c r="E240" i="3"/>
  <c r="E258" i="3"/>
  <c r="E241" i="3"/>
  <c r="E259" i="3"/>
  <c r="E292" i="3"/>
  <c r="E348" i="3"/>
  <c r="E363" i="3"/>
  <c r="E378" i="3"/>
  <c r="E375" i="3"/>
  <c r="E389" i="3"/>
  <c r="E504" i="3"/>
  <c r="E544" i="3"/>
  <c r="E58" i="3"/>
  <c r="E76" i="3"/>
  <c r="E110" i="3"/>
  <c r="E59" i="3"/>
  <c r="E409" i="3"/>
  <c r="E462" i="3"/>
  <c r="E484" i="3"/>
  <c r="E521" i="3"/>
  <c r="E425" i="3"/>
  <c r="E446" i="3"/>
  <c r="E467" i="3"/>
  <c r="E47" i="3"/>
  <c r="E64" i="3"/>
  <c r="E98" i="3"/>
  <c r="E160" i="3"/>
  <c r="E195" i="3"/>
  <c r="E142" i="3"/>
  <c r="E163" i="3"/>
  <c r="E200" i="3"/>
  <c r="E267" i="3"/>
  <c r="E209" i="3"/>
  <c r="E300" i="3"/>
  <c r="E307" i="3"/>
  <c r="E371" i="3"/>
  <c r="E386" i="3"/>
  <c r="E310" i="3"/>
  <c r="E354" i="3"/>
  <c r="E492" i="3"/>
  <c r="E584" i="3"/>
  <c r="E23" i="3"/>
  <c r="E66" i="3"/>
  <c r="E84" i="3"/>
  <c r="E67" i="3"/>
  <c r="E48" i="3"/>
  <c r="E33" i="3"/>
  <c r="E87" i="3"/>
  <c r="E144" i="3"/>
  <c r="E127" i="3"/>
  <c r="E184" i="3"/>
  <c r="E284" i="3"/>
  <c r="E355" i="3"/>
  <c r="E341" i="3"/>
  <c r="E381" i="3"/>
  <c r="Y6" i="3"/>
  <c r="E68" i="3"/>
  <c r="E51" i="3"/>
  <c r="E63" i="3"/>
  <c r="E19" i="3"/>
  <c r="E81" i="3"/>
  <c r="E154" i="3"/>
  <c r="E118" i="3"/>
  <c r="E179" i="3"/>
  <c r="E264" i="3"/>
  <c r="E222" i="3"/>
  <c r="E283" i="3"/>
  <c r="E323" i="3"/>
  <c r="E309" i="3"/>
  <c r="E373" i="3"/>
  <c r="E513" i="3"/>
  <c r="E82" i="3"/>
  <c r="E21" i="3"/>
  <c r="E80" i="3"/>
  <c r="E176" i="3"/>
  <c r="E218" i="3"/>
  <c r="E365" i="3"/>
  <c r="E52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J7" i="37"/>
  <c r="H7" i="36"/>
  <c r="E108" i="3"/>
  <c r="E103" i="3"/>
  <c r="E101" i="3"/>
  <c r="C56" i="71"/>
  <c r="D55" i="71"/>
  <c r="E65" i="3"/>
  <c r="E62" i="3"/>
  <c r="E39" i="3"/>
  <c r="E36" i="3"/>
  <c r="E25" i="3"/>
  <c r="E206" i="3"/>
  <c r="E119" i="3"/>
  <c r="E296" i="3"/>
  <c r="E265" i="3"/>
  <c r="AZ262" i="3"/>
  <c r="E251" i="3"/>
  <c r="E249" i="3"/>
  <c r="E234" i="3"/>
  <c r="E232" i="3"/>
  <c r="E349" i="3"/>
  <c r="E482" i="3"/>
  <c r="E469" i="3"/>
  <c r="E460" i="3"/>
  <c r="AZ458" i="3"/>
  <c r="E455" i="3"/>
  <c r="AZ443" i="3"/>
  <c r="E440" i="3"/>
  <c r="E428" i="3"/>
  <c r="E422" i="3"/>
  <c r="E417" i="3"/>
  <c r="E412" i="3"/>
  <c r="AZ550" i="3"/>
  <c r="E552" i="3"/>
  <c r="E582" i="3"/>
  <c r="AA26" i="37"/>
  <c r="S26" i="37"/>
  <c r="U12" i="33"/>
  <c r="AB12" i="33"/>
  <c r="AC23" i="34"/>
  <c r="W23" i="34"/>
  <c r="AC19" i="34"/>
  <c r="W19" i="34"/>
  <c r="BA5" i="3"/>
  <c r="C44" i="71"/>
  <c r="D43" i="71"/>
  <c r="C32" i="71"/>
  <c r="D31" i="71"/>
  <c r="E102" i="3"/>
  <c r="C36" i="71"/>
  <c r="D35" i="71"/>
  <c r="E49" i="3"/>
  <c r="E46" i="3"/>
  <c r="E40" i="3"/>
  <c r="E35" i="3"/>
  <c r="E24" i="3"/>
  <c r="E188" i="3"/>
  <c r="E138" i="3"/>
  <c r="E297" i="3"/>
  <c r="E266" i="3"/>
  <c r="E250" i="3"/>
  <c r="E248" i="3"/>
  <c r="E235" i="3"/>
  <c r="E233" i="3"/>
  <c r="E220" i="3"/>
  <c r="E212" i="3"/>
  <c r="E488" i="3"/>
  <c r="E486" i="3"/>
  <c r="E451" i="3"/>
  <c r="E449" i="3"/>
  <c r="E435" i="3"/>
  <c r="E413" i="3"/>
  <c r="E566" i="3"/>
  <c r="AA44" i="39"/>
  <c r="S44" i="39"/>
  <c r="AC9" i="36"/>
  <c r="W9" i="36"/>
  <c r="AA23" i="34"/>
  <c r="S23" i="34"/>
  <c r="AZ15" i="3"/>
  <c r="AZ5" i="3" s="1"/>
  <c r="AC15" i="34"/>
  <c r="W15" i="34"/>
  <c r="D21" i="71"/>
  <c r="C20" i="71"/>
  <c r="W43" i="34"/>
  <c r="U43" i="34"/>
  <c r="S43" i="34"/>
  <c r="AA37" i="34"/>
  <c r="S37" i="34"/>
  <c r="AA19" i="34"/>
  <c r="S19" i="34"/>
  <c r="AA17" i="34"/>
  <c r="S17" i="34"/>
  <c r="AA15" i="34"/>
  <c r="S15" i="34"/>
  <c r="AB15" i="34"/>
  <c r="U15" i="34"/>
  <c r="S9" i="34"/>
  <c r="AA23" i="36"/>
  <c r="S23" i="36"/>
  <c r="AB34" i="35"/>
  <c r="U34" i="35"/>
  <c r="S12" i="34"/>
  <c r="AA12" i="34"/>
  <c r="B15" i="71"/>
  <c r="B14" i="71" s="1"/>
  <c r="B13" i="71" s="1"/>
  <c r="B12" i="71" s="1"/>
  <c r="S16" i="71"/>
  <c r="F66" i="71"/>
  <c r="Q67" i="71"/>
  <c r="AB23" i="36"/>
  <c r="U23" i="36"/>
  <c r="AC36" i="35"/>
  <c r="W36" i="35"/>
  <c r="AA34" i="35"/>
  <c r="S34" i="35"/>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243" i="3" l="1"/>
  <c r="E281" i="3"/>
  <c r="E225" i="3"/>
  <c r="E139" i="3"/>
  <c r="E178" i="3"/>
  <c r="E41" i="3"/>
  <c r="E26" i="3"/>
  <c r="E420" i="3"/>
  <c r="E470" i="3"/>
  <c r="E452" i="3"/>
  <c r="E494" i="3"/>
  <c r="E13" i="3"/>
  <c r="E497" i="3"/>
  <c r="E556" i="3"/>
  <c r="E360" i="3"/>
  <c r="E408" i="3"/>
  <c r="E507" i="3"/>
  <c r="E427" i="3"/>
  <c r="E543" i="3"/>
  <c r="E564" i="3"/>
  <c r="E493" i="3"/>
  <c r="E393" i="3"/>
  <c r="E105" i="3"/>
  <c r="E116" i="3"/>
  <c r="E223" i="3"/>
  <c r="E16" i="3"/>
  <c r="D64" i="71"/>
  <c r="T64" i="71"/>
  <c r="N66" i="71"/>
  <c r="N65" i="71"/>
  <c r="E3" i="6"/>
  <c r="C34" i="34" s="1"/>
  <c r="AY6" i="3"/>
  <c r="C19" i="71"/>
  <c r="T20" i="71"/>
  <c r="D20" i="71"/>
  <c r="U20" i="71" s="1"/>
  <c r="D36" i="71"/>
  <c r="T36" i="71"/>
  <c r="D32" i="71"/>
  <c r="T32" i="71"/>
  <c r="T44" i="71"/>
  <c r="D44" i="71"/>
  <c r="D56" i="71"/>
  <c r="T56" i="71"/>
  <c r="E65" i="39"/>
  <c r="Q66" i="71"/>
  <c r="Q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F69" i="67" l="1"/>
  <c r="B14" i="74"/>
  <c r="B1" i="74" s="1"/>
  <c r="C18" i="71"/>
  <c r="D19" i="71"/>
  <c r="J34" i="34"/>
  <c r="F34" i="34"/>
  <c r="H34" i="34"/>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7" i="67"/>
  <c r="C14" i="67"/>
  <c r="B2" i="74" l="1"/>
  <c r="C14" i="74"/>
  <c r="AA34" i="34"/>
  <c r="R49" i="34" s="1"/>
  <c r="S34" i="34"/>
  <c r="AB34" i="34"/>
  <c r="T49" i="34" s="1"/>
  <c r="G49" i="34" s="1"/>
  <c r="U34" i="34"/>
  <c r="AC34" i="34"/>
  <c r="V49" i="34" s="1"/>
  <c r="I49" i="34" s="1"/>
  <c r="W34" i="34"/>
  <c r="C17" i="71"/>
  <c r="D18" i="71"/>
  <c r="C8" i="74"/>
  <c r="C7" i="74"/>
  <c r="C25" i="1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7" i="71" l="1"/>
  <c r="C16" i="71"/>
  <c r="I53" i="34"/>
  <c r="J53" i="34" s="1"/>
  <c r="G54" i="34"/>
  <c r="H54" i="34" s="1"/>
  <c r="G53" i="34"/>
  <c r="H53" i="34" s="1"/>
  <c r="E49" i="34"/>
  <c r="I54" i="34" s="1"/>
  <c r="J54" i="34" s="1"/>
  <c r="R50" i="34"/>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49" i="34" l="1"/>
  <c r="C50" i="34"/>
  <c r="D16" i="71"/>
  <c r="U16" i="71" s="1"/>
  <c r="C15" i="71"/>
  <c r="T16" i="71"/>
  <c r="E53" i="34"/>
  <c r="F53" i="34" s="1"/>
  <c r="E54" i="34"/>
  <c r="F54" i="34"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5" i="71" l="1"/>
  <c r="C14"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3" i="71" l="1"/>
  <c r="C12"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D10" i="71" l="1"/>
  <c r="C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11" i="1"/>
  <c r="AO7" i="1"/>
  <c r="AO9" i="1"/>
  <c r="AO10" i="1"/>
  <c r="AO8" i="1"/>
  <c r="C8" i="71" l="1"/>
  <c r="D9"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7" i="71" l="1"/>
  <c r="D8" i="71"/>
  <c r="C103" i="9"/>
  <c r="D22" i="9"/>
  <c r="D10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7" i="71" l="1"/>
  <c r="C6" i="71"/>
  <c r="D103" i="9"/>
  <c r="G20" i="9"/>
  <c r="C42" i="40"/>
  <c r="C43" i="40"/>
  <c r="E47" i="40"/>
  <c r="F47" i="40" s="1"/>
  <c r="E46" i="40"/>
  <c r="F46" i="40" s="1"/>
  <c r="I47" i="40"/>
  <c r="J47" i="40" s="1"/>
  <c r="C32" i="9" l="1"/>
  <c r="I19" i="9"/>
  <c r="D6" i="71"/>
  <c r="C5" i="7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4" i="43"/>
  <c r="I118" i="9"/>
  <c r="G118" i="9"/>
  <c r="F118" i="9" s="1"/>
  <c r="H118" i="9" l="1"/>
  <c r="G14" i="74" s="1"/>
  <c r="B6" i="74" s="1"/>
  <c r="D6" i="74" s="1"/>
  <c r="J118" i="9"/>
  <c r="D14" i="74"/>
  <c r="B5" i="74" s="1"/>
  <c r="D5" i="74" s="1"/>
  <c r="H102" i="9"/>
  <c r="C105" i="9"/>
  <c r="D7" i="53"/>
  <c r="B21" i="72" s="1"/>
  <c r="I4" i="52"/>
  <c r="E118" i="9"/>
  <c r="D118" i="9" s="1"/>
  <c r="D119" i="9" s="1"/>
  <c r="D5" i="52" s="1"/>
  <c r="B49" i="72" s="1"/>
  <c r="H101" i="9"/>
  <c r="F4" i="52"/>
  <c r="B51" i="72" s="1"/>
  <c r="F119" i="9"/>
  <c r="F5" i="52" s="1"/>
  <c r="B53" i="72" s="1"/>
  <c r="G4" i="52"/>
  <c r="B52" i="72" s="1"/>
  <c r="H4" i="52" l="1"/>
  <c r="H119" i="9"/>
  <c r="H5" i="52" s="1"/>
  <c r="C104" i="9"/>
  <c r="E14" i="74"/>
  <c r="F14" i="74"/>
  <c r="C5" i="74"/>
  <c r="D4" i="52"/>
  <c r="B47" i="72" s="1"/>
  <c r="E4" i="52"/>
  <c r="B48" i="72" s="1"/>
  <c r="H107" i="9"/>
  <c r="D45" i="9"/>
  <c r="M48" i="9"/>
  <c r="D5" i="53"/>
  <c r="D6" i="53" l="1"/>
  <c r="B22" i="72" s="1"/>
  <c r="B20" i="72"/>
  <c r="C93" i="9"/>
  <c r="C86" i="9" s="1"/>
  <c r="C64" i="9"/>
  <c r="C63" i="9" s="1"/>
  <c r="C67" i="9" s="1"/>
  <c r="C72" i="9"/>
  <c r="D53" i="9"/>
  <c r="D52" i="9"/>
  <c r="D55" i="9"/>
  <c r="M53" i="9" s="1"/>
  <c r="C85" i="9"/>
  <c r="C95" i="9" s="1"/>
  <c r="C78" i="9"/>
  <c r="C73" i="9" s="1"/>
  <c r="D122" i="9"/>
  <c r="M49" i="9"/>
  <c r="H108" i="9"/>
  <c r="D13" i="53"/>
  <c r="B30" i="72" l="1"/>
  <c r="D14" i="53"/>
  <c r="B32" i="72" s="1"/>
  <c r="L63" i="9"/>
  <c r="M63" i="9" s="1"/>
  <c r="L64" i="9"/>
  <c r="M64" i="9" s="1"/>
  <c r="L65" i="9"/>
  <c r="M65" i="9" s="1"/>
  <c r="L66" i="9"/>
  <c r="M66" i="9" s="1"/>
  <c r="L67" i="9"/>
  <c r="M67" i="9" s="1"/>
  <c r="L68" i="9"/>
  <c r="M68" i="9" s="1"/>
  <c r="C68" i="9"/>
  <c r="D54" i="9" s="1"/>
  <c r="D59" i="9"/>
  <c r="M55" i="9" s="1"/>
  <c r="D15" i="53"/>
  <c r="B31" i="72" s="1"/>
  <c r="C6" i="74"/>
  <c r="D8" i="52"/>
  <c r="D123" i="9"/>
  <c r="D9" i="52" s="1"/>
  <c r="C96" i="9"/>
  <c r="E96" i="9" s="1"/>
  <c r="E97" i="9" s="1"/>
  <c r="C79" i="9"/>
  <c r="M69" i="9" l="1"/>
  <c r="N69" i="9" s="1"/>
  <c r="C80" i="9"/>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<sst xmlns="http://schemas.openxmlformats.org/spreadsheetml/2006/main" count="7906" uniqueCount="3449">
  <si>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</si>
  <si>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</si>
  <si>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</si>
  <si>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</si>
  <si>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</si>
  <si>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</si>
  <si>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</si>
  <si>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</si>
  <si>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</si>
  <si>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</si>
  <si>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</si>
  <si>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</si>
  <si>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</si>
  <si>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</si>
  <si>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</si>
  <si>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</si>
  <si>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</si>
  <si>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</si>
  <si>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</si>
  <si>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</si>
  <si>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</si>
  <si>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</si>
  <si>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</si>
  <si>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</si>
  <si>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</si>
  <si>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</si>
  <si>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</si>
  <si>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</si>
  <si>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</si>
  <si>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</si>
  <si>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</si>
  <si>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</si>
  <si>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</si>
  <si>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</si>
  <si>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</si>
  <si>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</si>
  <si>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</si>
  <si>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</si>
  <si>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</si>
  <si>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</si>
  <si>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</si>
  <si>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</si>
  <si>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</si>
  <si>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</si>
  <si>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</si>
  <si>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</si>
  <si>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</si>
  <si>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</si>
  <si>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</si>
  <si>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</si>
  <si>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</si>
  <si>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</si>
  <si>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</si>
  <si>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</si>
  <si>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</si>
  <si>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</si>
  <si>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</si>
  <si>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</si>
  <si>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</si>
  <si>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</si>
  <si>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</si>
  <si>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</si>
  <si>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</si>
  <si>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</si>
  <si>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</si>
  <si>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</si>
  <si>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</si>
  <si>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</si>
  <si>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</si>
  <si>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</si>
  <si>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</si>
  <si>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</si>
  <si>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</si>
  <si>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</si>
  <si>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</si>
  <si>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</si>
  <si>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</si>
  <si>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</si>
  <si>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</si>
  <si>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</si>
  <si>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</si>
  <si>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</si>
  <si>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</si>
  <si>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</si>
  <si>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</si>
  <si>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</si>
  <si>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</si>
  <si>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</si>
  <si>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</si>
  <si>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</si>
  <si>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</si>
  <si>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</si>
  <si>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</si>
  <si>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</si>
  <si>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</si>
  <si>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</si>
  <si>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</si>
  <si>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</si>
  <si>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</si>
  <si>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</si>
  <si>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</si>
  <si>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</si>
  <si>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</si>
  <si>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</si>
  <si>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</si>
  <si>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</si>
  <si>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</si>
  <si>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</si>
  <si>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</si>
  <si>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</si>
  <si>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</si>
  <si>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</si>
  <si>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</si>
  <si>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</si>
  <si>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</si>
  <si>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</si>
  <si>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</si>
  <si>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</si>
  <si>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</si>
  <si>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</si>
  <si>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</si>
  <si>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</si>
  <si>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</si>
  <si>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</si>
  <si>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</si>
  <si>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</si>
  <si>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</si>
  <si>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</si>
  <si>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</si>
  <si>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</si>
  <si>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</si>
  <si>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</si>
  <si>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</si>
  <si>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</si>
  <si>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</si>
  <si>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</si>
  <si>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</si>
  <si>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</si>
  <si>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</si>
  <si>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</si>
  <si>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</si>
  <si>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</si>
  <si>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</si>
  <si>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</si>
  <si>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</si>
  <si>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</si>
  <si>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</si>
  <si>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</si>
  <si>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</si>
  <si>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</si>
  <si>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</si>
  <si>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</si>
  <si>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</si>
  <si>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</si>
  <si>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</si>
  <si>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</si>
  <si>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</si>
  <si>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</si>
  <si>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</si>
  <si>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</si>
  <si>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</si>
  <si>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</si>
  <si>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</si>
  <si>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</si>
  <si>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</si>
  <si>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</si>
  <si>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</si>
  <si>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</si>
  <si>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</si>
  <si>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</si>
  <si>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</si>
  <si>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</si>
  <si>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</si>
  <si>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</si>
  <si>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</si>
  <si>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</si>
  <si>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</si>
  <si>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</si>
  <si>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</si>
  <si>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</si>
  <si>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</si>
  <si>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</si>
  <si>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</si>
  <si>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</si>
  <si>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</si>
  <si>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</si>
  <si>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</si>
  <si>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</si>
  <si>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</si>
  <si>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</si>
  <si>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</si>
  <si>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</si>
  <si>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</si>
  <si>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</si>
  <si>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</si>
  <si>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</si>
  <si>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</si>
  <si>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</si>
  <si>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</si>
  <si>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</si>
  <si>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</si>
  <si>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</si>
  <si>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</si>
  <si>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</si>
  <si>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</si>
  <si>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</si>
  <si>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</si>
  <si>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</si>
  <si>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</si>
  <si>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</si>
  <si>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</si>
  <si>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</si>
  <si>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</si>
  <si>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</si>
  <si>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</si>
  <si>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</si>
  <si>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</si>
  <si>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</si>
  <si>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</si>
  <si>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</si>
  <si>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</si>
  <si>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</si>
  <si>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</si>
  <si>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</si>
  <si>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</si>
  <si>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</si>
  <si>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</si>
  <si>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</si>
  <si>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</si>
  <si>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</si>
  <si>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</si>
  <si>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</si>
  <si>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</si>
  <si>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</si>
  <si>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</si>
  <si>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</si>
  <si>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</si>
  <si>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</si>
  <si>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</si>
  <si>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</si>
  <si>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</si>
  <si>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</si>
  <si>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</si>
  <si>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</si>
  <si>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</si>
  <si>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</si>
  <si>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</si>
  <si>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</si>
  <si>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</si>
  <si>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</si>
  <si>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</si>
  <si>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</si>
  <si>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</si>
  <si>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</si>
  <si>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</si>
  <si>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</si>
  <si>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</si>
  <si>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</si>
  <si>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</si>
  <si>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</si>
  <si>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</si>
  <si>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</si>
  <si>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</si>
  <si>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</si>
  <si>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</si>
  <si>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</si>
  <si>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</si>
  <si>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</si>
  <si>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</si>
  <si>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</si>
  <si>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</si>
  <si>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</si>
  <si>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</si>
  <si>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</si>
  <si>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</si>
  <si>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</si>
  <si>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</si>
  <si>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</si>
  <si>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</si>
  <si>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</si>
  <si>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</si>
  <si>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</si>
  <si>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</si>
  <si>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</si>
  <si>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</si>
  <si>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</si>
  <si>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</si>
  <si>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</si>
  <si>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</si>
  <si>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</si>
  <si>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</si>
  <si>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</si>
  <si>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</si>
  <si>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</si>
  <si>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</si>
  <si>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</si>
  <si>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</si>
  <si>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</si>
  <si>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</si>
  <si>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</si>
  <si>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</si>
  <si>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</si>
  <si>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</si>
  <si>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</si>
  <si>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</si>
  <si>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</si>
  <si>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</si>
  <si>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</si>
  <si>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</si>
  <si>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</si>
  <si>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</si>
  <si>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</si>
  <si>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</si>
  <si>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</si>
  <si>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</si>
  <si>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</si>
  <si>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</si>
  <si>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</si>
  <si>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</si>
  <si>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</si>
  <si>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</si>
  <si>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</si>
  <si>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</si>
  <si>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</si>
  <si>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</si>
  <si>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</si>
  <si>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</si>
  <si>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</si>
  <si>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</si>
  <si>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</si>
  <si>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</si>
  <si>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</si>
  <si>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</si>
  <si>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</si>
  <si>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</si>
  <si>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</si>
  <si>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</si>
  <si>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</si>
  <si>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</si>
  <si>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</si>
  <si>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</si>
  <si>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</si>
  <si>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</si>
  <si>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</si>
  <si>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</si>
  <si>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</si>
  <si>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</si>
  <si>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</si>
  <si>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</si>
  <si>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</si>
  <si>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</si>
  <si>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</si>
  <si>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</si>
  <si>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</si>
  <si>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</si>
  <si>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</si>
  <si>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</si>
  <si>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</si>
  <si>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</si>
  <si>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</si>
  <si>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</si>
  <si>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</si>
  <si>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</si>
  <si>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</si>
  <si>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</si>
  <si>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</si>
  <si>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</si>
  <si>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</si>
  <si>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</si>
  <si>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</si>
  <si>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</si>
  <si>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</si>
  <si>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</si>
  <si>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</si>
  <si>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</si>
  <si>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</si>
  <si>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</si>
  <si>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</si>
  <si>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</si>
  <si>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</si>
  <si>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</si>
  <si>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</si>
  <si>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</si>
  <si>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</si>
  <si>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</si>
  <si>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</si>
  <si>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</si>
  <si>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</si>
  <si>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</si>
  <si>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</si>
  <si>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</si>
  <si>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</si>
  <si>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</si>
  <si>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</si>
  <si>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</si>
  <si>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</si>
  <si>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</si>
  <si>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</si>
  <si>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</si>
  <si>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</si>
  <si>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</si>
  <si>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</si>
  <si>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</si>
  <si>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</si>
  <si>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</si>
  <si>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</si>
  <si>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</si>
  <si>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</si>
  <si>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</si>
  <si>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</si>
  <si>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</si>
  <si>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</si>
  <si>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</si>
  <si>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</si>
  <si>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</si>
  <si>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</si>
  <si>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</si>
  <si>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</si>
  <si>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</si>
  <si>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</si>
  <si>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</si>
  <si>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</si>
  <si>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</si>
  <si>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</si>
  <si>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</si>
  <si>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</si>
  <si>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</si>
  <si>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</si>
  <si>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</si>
  <si>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</si>
  <si>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</si>
  <si>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</si>
  <si>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</si>
  <si>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</si>
  <si>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</si>
  <si>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</si>
  <si>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</si>
  <si>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</si>
  <si>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</si>
  <si>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</si>
  <si>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</si>
  <si>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</si>
  <si>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</si>
  <si>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</si>
  <si>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</si>
  <si>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</si>
  <si>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</si>
  <si>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</si>
  <si>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</si>
  <si>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</si>
  <si>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</si>
  <si>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</si>
  <si>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</si>
  <si>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</si>
  <si>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</si>
  <si>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</si>
  <si>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</si>
  <si>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</si>
  <si>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</si>
  <si>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</si>
  <si>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</si>
  <si>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</si>
  <si>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</si>
  <si>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</si>
  <si>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</si>
  <si>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</si>
  <si>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</si>
  <si>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</si>
  <si>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</si>
  <si>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</si>
  <si>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</si>
  <si>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</si>
  <si>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</si>
  <si>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</si>
  <si>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</si>
  <si>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</si>
  <si>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</si>
  <si>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</si>
  <si>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</si>
  <si>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</si>
  <si>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</si>
  <si>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</si>
  <si>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</si>
  <si>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</si>
  <si>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</si>
  <si>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</si>
  <si>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</si>
  <si>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</si>
  <si>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</si>
  <si>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</si>
  <si>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</si>
  <si>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</si>
  <si>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</si>
  <si>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</si>
  <si>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</si>
  <si>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</si>
  <si>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</si>
  <si>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</si>
  <si>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</si>
  <si>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</si>
  <si>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</si>
  <si>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</si>
  <si>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</si>
  <si>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</si>
  <si>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</si>
  <si>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</si>
  <si>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</si>
  <si>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</si>
  <si>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</si>
  <si>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</si>
  <si>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</si>
  <si>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</si>
  <si>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</si>
  <si>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</si>
  <si>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</si>
  <si>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</si>
  <si>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</si>
  <si>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</si>
  <si>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</si>
  <si>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</si>
  <si>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</si>
  <si>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</si>
  <si>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</si>
  <si>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</si>
  <si>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</si>
  <si>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</si>
  <si>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</si>
  <si>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</si>
  <si>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</si>
  <si>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</si>
  <si>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</si>
  <si>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</si>
  <si>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</si>
  <si>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</si>
  <si>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</si>
  <si>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</si>
  <si>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</si>
  <si>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</si>
  <si>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</si>
  <si>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</si>
  <si>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</si>
  <si>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</si>
  <si>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</si>
  <si>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</si>
  <si>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</si>
  <si>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</si>
  <si>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</si>
  <si>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</si>
  <si>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</si>
  <si>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</si>
  <si>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</si>
  <si>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</si>
  <si>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</si>
  <si>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</si>
  <si>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</si>
  <si>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</si>
  <si>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</si>
  <si>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</si>
  <si>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</si>
  <si>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</si>
  <si>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</si>
  <si>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</si>
  <si>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</si>
  <si>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</si>
  <si>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</si>
  <si>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</si>
  <si>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</si>
  <si>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</si>
  <si>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</si>
  <si>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</si>
  <si>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</si>
  <si>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</si>
  <si>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</si>
  <si>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</si>
  <si>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</si>
  <si>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</si>
  <si>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</si>
  <si>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</si>
  <si>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</si>
  <si>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</si>
  <si>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</si>
  <si>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</si>
  <si>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</si>
  <si>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</si>
  <si>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</si>
  <si>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</si>
  <si>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</si>
  <si>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</si>
  <si>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</si>
  <si>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</si>
  <si>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</si>
  <si>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</si>
  <si>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</si>
  <si>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</si>
  <si>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</si>
  <si>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</si>
  <si>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</si>
  <si>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</si>
  <si>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</si>
  <si>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</si>
  <si>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</si>
  <si>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</si>
  <si>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</si>
  <si>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</si>
  <si>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</si>
  <si>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</si>
  <si>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</si>
  <si>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</si>
  <si>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</si>
  <si>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</si>
  <si>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</si>
  <si>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</si>
  <si>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</si>
  <si>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</si>
  <si>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</si>
  <si>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</si>
  <si>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</si>
  <si>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</si>
  <si>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</si>
  <si>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</si>
  <si>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</si>
  <si>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</si>
  <si>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</si>
  <si>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</si>
  <si>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</si>
  <si>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</si>
  <si>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</si>
  <si>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</si>
  <si>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</si>
  <si>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</si>
  <si>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</si>
  <si>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</si>
  <si>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</si>
  <si>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</si>
  <si>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</si>
  <si>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</si>
  <si>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</si>
  <si>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</si>
  <si>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</si>
  <si>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</si>
  <si>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</si>
  <si>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</si>
  <si>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</si>
  <si>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</si>
  <si>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</si>
  <si>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</si>
  <si>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</si>
  <si>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</si>
  <si>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</si>
  <si>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</si>
  <si>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</si>
  <si>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</si>
  <si>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</si>
  <si>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</si>
  <si>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</si>
  <si>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</si>
  <si>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</si>
  <si>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</si>
  <si>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</si>
  <si>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</si>
  <si>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</si>
  <si>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</si>
  <si>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</si>
  <si>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</si>
  <si>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</si>
  <si>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</si>
  <si>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</si>
  <si>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</si>
  <si>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</si>
  <si>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</si>
  <si>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</si>
  <si>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</si>
  <si>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</si>
  <si>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</si>
  <si>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</si>
  <si>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</si>
  <si>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</si>
  <si>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</si>
  <si>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</si>
  <si>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</si>
  <si>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</si>
  <si>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</si>
  <si>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</si>
  <si>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</si>
  <si>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</si>
  <si>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</si>
  <si>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</si>
  <si>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</si>
  <si>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</si>
  <si>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</si>
  <si>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</si>
  <si>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</si>
  <si>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</si>
  <si>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</si>
  <si>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</si>
  <si>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</si>
  <si>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</si>
  <si>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</si>
  <si>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</si>
  <si>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</si>
  <si>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</si>
  <si>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</si>
  <si>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</si>
  <si>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</si>
  <si>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</si>
  <si>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</si>
  <si>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</si>
  <si>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</si>
  <si>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</si>
  <si>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</si>
  <si>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</si>
  <si>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</si>
  <si>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</si>
  <si>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</si>
  <si>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</si>
  <si>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</si>
  <si>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</si>
  <si>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</si>
  <si>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</si>
  <si>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</si>
  <si>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</si>
  <si>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</si>
  <si>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</si>
  <si>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</si>
  <si>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</si>
  <si>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</si>
  <si>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</si>
  <si>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</si>
  <si>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</si>
  <si>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</si>
  <si>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</si>
  <si>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</si>
  <si>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</si>
  <si>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</si>
  <si>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</si>
  <si>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</si>
  <si>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</si>
  <si>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</si>
  <si>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</si>
  <si>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</si>
  <si>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</si>
  <si>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</si>
  <si>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</si>
  <si>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</si>
  <si>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</si>
  <si>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</si>
  <si>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</si>
  <si>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</si>
  <si>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</si>
  <si>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</si>
  <si>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</si>
  <si>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</si>
  <si>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</si>
  <si>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</si>
  <si>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</si>
  <si>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</si>
  <si>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</si>
  <si>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</si>
  <si>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</si>
  <si>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</si>
  <si>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</si>
  <si>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</si>
  <si>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</si>
  <si>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</si>
  <si>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</si>
  <si>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</si>
  <si>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</si>
  <si>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</si>
  <si>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</si>
  <si>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</si>
  <si>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</si>
  <si>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</si>
  <si>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</si>
  <si>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</si>
  <si>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</si>
  <si>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</si>
  <si>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</si>
  <si>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</si>
  <si>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</si>
  <si>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</si>
  <si>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</si>
  <si>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</si>
  <si>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</si>
  <si>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</si>
  <si>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</si>
  <si>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</si>
  <si>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</si>
  <si>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</si>
  <si>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</si>
  <si>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</si>
  <si>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</si>
  <si>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</si>
  <si>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</si>
  <si>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</si>
  <si>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</si>
  <si>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</si>
  <si>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</si>
  <si>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</si>
  <si>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</si>
  <si>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</si>
  <si>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</si>
  <si>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</si>
  <si>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</si>
  <si>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</si>
  <si>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</si>
  <si>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</si>
  <si>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</si>
  <si>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</si>
  <si>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</si>
  <si>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</si>
  <si>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</si>
  <si>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</si>
  <si>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</si>
  <si>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</si>
  <si>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</si>
  <si>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</si>
  <si>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</si>
  <si>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</si>
  <si>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</si>
  <si>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</si>
  <si>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</si>
  <si>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</si>
  <si>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</si>
  <si>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</si>
  <si>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</si>
  <si>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</si>
  <si>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</si>
  <si>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</si>
  <si>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</si>
  <si>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</si>
  <si>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</si>
  <si>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</si>
  <si>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</si>
  <si>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</si>
  <si>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</si>
  <si>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</si>
  <si>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</si>
  <si>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</si>
  <si>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</si>
  <si>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</si>
  <si>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</si>
  <si>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</si>
  <si>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</si>
  <si>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</si>
  <si>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</si>
  <si>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</si>
  <si>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</si>
  <si>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</si>
  <si>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</si>
  <si>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</si>
  <si>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</si>
  <si>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</si>
  <si>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</si>
  <si>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</si>
  <si>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</si>
  <si>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</si>
  <si>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</si>
  <si>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</si>
  <si>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</si>
  <si>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</si>
  <si>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</si>
  <si>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</si>
  <si>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</si>
  <si>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</si>
  <si>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</si>
  <si>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</si>
  <si>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</si>
  <si>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</si>
  <si>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</si>
  <si>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</si>
  <si>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</si>
  <si>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</si>
  <si>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</si>
  <si>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</si>
  <si>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</si>
  <si>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</si>
  <si>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</si>
  <si>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</si>
  <si>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</si>
  <si>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</si>
  <si>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</si>
  <si>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</si>
  <si>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</si>
  <si>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</si>
  <si>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</si>
  <si>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</si>
  <si>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</si>
  <si>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</si>
  <si>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</si>
  <si>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</si>
  <si>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</si>
  <si>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</si>
  <si>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</si>
  <si>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</si>
  <si>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</si>
  <si>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</si>
  <si>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</si>
  <si>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</si>
  <si>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</si>
  <si>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</si>
  <si>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</si>
  <si>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</si>
  <si>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</si>
  <si>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</si>
  <si>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</si>
  <si>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</si>
  <si>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</si>
  <si>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</si>
  <si>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</si>
  <si>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</si>
  <si>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</si>
  <si>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</si>
  <si>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</si>
  <si>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</si>
  <si>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</si>
  <si>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</si>
  <si>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</si>
  <si>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</si>
  <si>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</si>
  <si>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</si>
  <si>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</si>
  <si>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</si>
  <si>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</si>
  <si>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</si>
  <si>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</si>
  <si>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</si>
  <si>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</si>
  <si>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</si>
  <si>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</si>
  <si>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</si>
  <si>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</si>
  <si>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</si>
  <si>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</si>
  <si>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</si>
  <si>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</si>
  <si>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</si>
  <si>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</si>
  <si>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</si>
  <si>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</si>
  <si>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</si>
  <si>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</si>
  <si>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</si>
  <si>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</si>
  <si>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</si>
  <si>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</si>
  <si>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</si>
  <si>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</si>
  <si>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</si>
  <si>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</si>
  <si>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</si>
  <si>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</si>
  <si>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</si>
  <si>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</si>
  <si>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</si>
  <si>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</si>
  <si>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</si>
  <si>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</si>
  <si>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</si>
  <si>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</si>
  <si>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</si>
  <si>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</si>
  <si>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</si>
  <si>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</si>
  <si>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</si>
  <si>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</si>
  <si>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</si>
  <si>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</si>
  <si>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</si>
  <si>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</si>
  <si>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</si>
  <si>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</si>
  <si>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</si>
  <si>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</si>
  <si>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</si>
  <si>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</si>
  <si>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</si>
  <si>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</si>
  <si>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</si>
  <si>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</si>
  <si>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</si>
  <si>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</si>
  <si>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</si>
  <si>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</si>
  <si>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</si>
  <si>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</si>
  <si>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</si>
  <si>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</si>
  <si>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</si>
  <si>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</si>
  <si>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</si>
  <si>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</si>
  <si>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</si>
  <si>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</si>
  <si>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</si>
  <si>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</si>
  <si>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</si>
  <si>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</si>
  <si>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</si>
  <si>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</si>
  <si>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</si>
  <si>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</si>
  <si>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</si>
  <si>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</si>
  <si>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</si>
  <si>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</si>
  <si>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</si>
  <si>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</si>
  <si>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</si>
  <si>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</si>
  <si>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</si>
  <si>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</si>
  <si>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</si>
  <si>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</si>
  <si>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</si>
  <si>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</si>
  <si>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</si>
  <si>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</si>
  <si>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</si>
  <si>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</si>
  <si>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</si>
  <si>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</si>
  <si>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</si>
  <si>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</si>
  <si>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</si>
  <si>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</si>
  <si>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</si>
  <si>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</si>
  <si>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</si>
  <si>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</si>
  <si>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</si>
  <si>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</si>
  <si>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</si>
  <si>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</si>
  <si>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</si>
  <si>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</si>
  <si>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</si>
  <si>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</si>
  <si>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</si>
  <si>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</si>
  <si>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</si>
  <si>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</si>
  <si>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</si>
  <si>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</si>
  <si>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</si>
  <si>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</si>
  <si>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</si>
  <si>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</si>
  <si>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</si>
  <si>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</si>
  <si>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</si>
  <si>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</si>
  <si>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</si>
  <si>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</si>
  <si>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</si>
  <si>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</si>
  <si>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</si>
  <si>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</si>
  <si>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</si>
  <si>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</si>
  <si>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</si>
  <si>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</si>
  <si>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</si>
  <si>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</si>
  <si>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</si>
  <si>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</si>
  <si>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</si>
  <si>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</si>
  <si>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</si>
  <si>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</si>
  <si>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</si>
  <si>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</si>
  <si>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</si>
  <si>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</si>
  <si>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</si>
  <si>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</si>
  <si>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</si>
  <si>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</si>
  <si>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</si>
  <si>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</si>
  <si>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</si>
  <si>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</si>
  <si>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</si>
  <si>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</si>
  <si>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</si>
  <si>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</si>
  <si>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</si>
  <si>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</si>
  <si>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</si>
  <si>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</si>
  <si>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</si>
  <si>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</si>
  <si>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</si>
  <si>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</si>
  <si>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</si>
  <si>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</si>
  <si>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</si>
  <si>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</si>
  <si>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</si>
  <si>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</si>
  <si>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</si>
  <si>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</si>
  <si>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</si>
  <si>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</si>
  <si>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</si>
  <si>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</si>
  <si>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</si>
  <si>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</si>
  <si>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</si>
  <si>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</si>
  <si>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</si>
  <si>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</si>
  <si>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</si>
  <si>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</si>
  <si>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</si>
  <si>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</si>
  <si>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</si>
  <si>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</si>
  <si>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</si>
  <si>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</si>
  <si>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</si>
  <si>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</si>
  <si>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</si>
  <si>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</si>
  <si>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</si>
  <si>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</si>
  <si>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</si>
  <si>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</si>
  <si>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</si>
  <si>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</si>
  <si>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</si>
  <si>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</si>
  <si>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</si>
  <si>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</si>
  <si>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</si>
  <si>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</si>
  <si>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</si>
  <si>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</si>
  <si>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</si>
  <si>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</si>
  <si>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</si>
  <si>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</si>
  <si>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</si>
  <si>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</si>
  <si>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</si>
  <si>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</si>
  <si>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</si>
  <si>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</si>
  <si>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</si>
  <si>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</si>
  <si>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</si>
  <si>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</si>
  <si>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</si>
  <si>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</si>
  <si>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</si>
  <si>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</si>
  <si>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</si>
  <si>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</si>
  <si>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</si>
  <si>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</si>
  <si>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</si>
  <si>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</si>
  <si>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</si>
  <si>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</si>
  <si>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</si>
  <si>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</si>
  <si>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</si>
  <si>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</si>
  <si>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</si>
  <si>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</si>
  <si>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</si>
  <si>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</si>
  <si>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</si>
  <si>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</si>
  <si>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</si>
  <si>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</si>
  <si>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</si>
  <si>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</si>
  <si>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</si>
  <si>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</si>
  <si>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</si>
  <si>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</si>
  <si>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</si>
  <si>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</si>
  <si>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</si>
  <si>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</si>
  <si>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</si>
  <si>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</si>
  <si>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</si>
  <si>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</si>
  <si>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</si>
  <si>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</si>
  <si>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</si>
  <si>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</si>
  <si>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</si>
  <si>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</si>
  <si>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</si>
  <si>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</si>
  <si>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</si>
  <si>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</si>
  <si>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</si>
  <si>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</si>
  <si>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</si>
  <si>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</si>
  <si>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</si>
  <si>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</si>
  <si>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</si>
  <si>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</si>
  <si>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</si>
  <si>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</si>
  <si>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</si>
  <si>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</si>
  <si>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</si>
  <si>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</si>
  <si>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</si>
  <si>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</si>
  <si>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</si>
  <si>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</si>
  <si>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</si>
  <si>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</si>
  <si>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</si>
  <si>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</si>
  <si>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</si>
  <si>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</si>
  <si>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</si>
  <si>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</si>
  <si>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</si>
  <si>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</si>
  <si>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</si>
  <si>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</si>
  <si>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</si>
  <si>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</si>
  <si>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</si>
  <si>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</si>
  <si>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</si>
  <si>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</si>
  <si>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</si>
  <si>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</si>
  <si>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</si>
  <si>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</si>
  <si>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</si>
  <si>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</si>
  <si>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</si>
  <si>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</si>
  <si>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</si>
  <si>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</si>
  <si>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</si>
  <si>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</si>
  <si>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</si>
  <si>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</si>
  <si>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</si>
  <si>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</si>
  <si>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</si>
  <si>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</si>
  <si>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</si>
  <si>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</si>
  <si>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</si>
  <si>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</si>
  <si>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</si>
  <si>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</si>
  <si>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</si>
  <si>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</si>
  <si>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</si>
  <si>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</si>
  <si>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</si>
  <si>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</si>
  <si>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</si>
  <si>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</si>
  <si>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</si>
  <si>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</si>
  <si>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</si>
  <si>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</si>
  <si>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</si>
  <si>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</si>
  <si>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</si>
  <si>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</si>
  <si>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</si>
  <si>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</si>
  <si>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</si>
  <si>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</si>
  <si>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</si>
  <si>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</si>
  <si>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</si>
  <si>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</si>
  <si>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</si>
  <si>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</si>
  <si>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</si>
  <si>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</si>
  <si>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</si>
  <si>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</si>
  <si>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</si>
  <si>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</si>
  <si>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</si>
  <si>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</si>
  <si>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</si>
  <si>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</si>
  <si>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</si>
  <si>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</si>
  <si>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</si>
  <si>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</si>
  <si>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</si>
  <si>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</si>
  <si>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</si>
  <si>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</si>
  <si>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</si>
  <si>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</si>
  <si>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</si>
  <si>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</si>
  <si>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</si>
  <si>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</si>
  <si>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</si>
  <si>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</si>
  <si>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</si>
  <si>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</si>
  <si>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</si>
  <si>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</si>
  <si>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</si>
  <si>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</si>
  <si>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</si>
  <si>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</si>
  <si>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</si>
  <si>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</si>
  <si>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</si>
  <si>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</si>
  <si>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</si>
  <si>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</si>
  <si>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</si>
  <si>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</si>
  <si>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</si>
  <si>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</si>
  <si>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</si>
  <si>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</si>
  <si>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</si>
  <si>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</si>
  <si>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</si>
  <si>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</si>
  <si>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</si>
  <si>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</si>
  <si>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</si>
  <si>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</si>
  <si>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</si>
  <si>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</si>
  <si>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</si>
  <si>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</si>
  <si>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</si>
  <si>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</si>
  <si>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</si>
  <si>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</si>
  <si>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</si>
  <si>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</si>
  <si>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</si>
  <si>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</si>
  <si>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</si>
  <si>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</si>
  <si>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</si>
  <si>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</si>
  <si>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</si>
  <si>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</si>
  <si>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</si>
  <si>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</si>
  <si>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</si>
  <si>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</si>
  <si>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</si>
  <si>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</si>
  <si>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</si>
  <si>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</si>
  <si>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</si>
  <si>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</si>
  <si>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</si>
  <si>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</si>
  <si>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</si>
  <si>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</si>
  <si>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</si>
  <si>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</si>
  <si>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</si>
  <si>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</si>
  <si>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</si>
  <si>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</si>
  <si>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</si>
  <si>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</si>
  <si>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</si>
  <si>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</si>
  <si>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</si>
  <si>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</si>
  <si>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</si>
  <si>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</si>
  <si>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</si>
  <si>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</si>
  <si>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</si>
  <si>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</si>
  <si>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</si>
  <si>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</si>
  <si>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</si>
  <si>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</si>
  <si>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</si>
  <si>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</si>
  <si>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</si>
  <si>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</si>
  <si>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</si>
  <si>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</si>
  <si>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</si>
  <si>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</si>
  <si>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</si>
  <si>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</si>
  <si>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</si>
  <si>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</si>
  <si>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</si>
  <si>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</si>
  <si>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</si>
  <si>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</si>
  <si>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</si>
  <si>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</si>
  <si>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</si>
  <si>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</si>
  <si>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</si>
  <si>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</si>
  <si>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</si>
  <si>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</si>
  <si>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</si>
  <si>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</si>
  <si>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</si>
  <si>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</si>
  <si>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</si>
  <si>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</si>
  <si>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</si>
  <si>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</si>
  <si>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</si>
  <si>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</si>
  <si>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</si>
  <si>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</si>
  <si>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</si>
  <si>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</si>
  <si>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</si>
  <si>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</si>
  <si>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</si>
  <si>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</si>
  <si>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</si>
  <si>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</si>
  <si>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</si>
  <si>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</si>
  <si>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</si>
  <si>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</si>
  <si>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</si>
  <si>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</si>
  <si>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</si>
  <si>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</si>
  <si>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</si>
  <si>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</si>
  <si>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</si>
  <si>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</si>
  <si>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</si>
  <si>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</si>
  <si>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</si>
  <si>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</si>
  <si>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</si>
  <si>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</si>
  <si>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</si>
  <si>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</si>
  <si>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</si>
  <si>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</si>
  <si>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</si>
  <si>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</si>
  <si>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</si>
  <si>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</si>
  <si>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</si>
  <si>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</si>
  <si>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</si>
  <si>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</si>
  <si>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</si>
  <si>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</si>
  <si>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</si>
  <si>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</si>
  <si>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</si>
  <si>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</si>
  <si>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</si>
  <si>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</si>
  <si>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</si>
  <si>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</si>
  <si>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</si>
  <si>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</si>
  <si>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</si>
  <si>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</si>
  <si>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</si>
  <si>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</si>
  <si>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</si>
  <si>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</si>
  <si>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</si>
  <si>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</si>
  <si>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</si>
  <si>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</si>
  <si>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</si>
  <si>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</si>
  <si>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</si>
  <si>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</si>
  <si>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</si>
  <si>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</si>
  <si>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</si>
  <si>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</si>
  <si>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</si>
  <si>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</si>
  <si>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</si>
  <si>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</si>
  <si>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</si>
  <si>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</si>
  <si>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</si>
  <si>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</si>
  <si>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</si>
  <si>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</si>
  <si>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</si>
  <si>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</si>
  <si>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</si>
  <si>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</si>
  <si>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</si>
  <si>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</si>
  <si>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</si>
  <si>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</si>
  <si>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</si>
  <si>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</si>
  <si>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</si>
  <si>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</si>
  <si>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</si>
  <si>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</si>
  <si>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</si>
  <si>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</si>
  <si>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</si>
  <si>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</si>
  <si>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</si>
  <si>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</si>
  <si>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</si>
  <si>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</si>
  <si>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</si>
  <si>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</si>
  <si>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</si>
  <si>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</si>
  <si>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</si>
  <si>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</si>
  <si>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</si>
  <si>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</si>
  <si>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</si>
  <si>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</si>
  <si>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</si>
  <si>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</si>
  <si>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</si>
  <si>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</si>
  <si>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</si>
  <si>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</si>
  <si>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</si>
  <si>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</si>
  <si>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</si>
  <si>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</si>
  <si>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</si>
  <si>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</si>
  <si>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</si>
  <si>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</si>
  <si>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</si>
  <si>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</si>
  <si>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</si>
  <si>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</si>
  <si>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</si>
  <si>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</si>
  <si>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</si>
  <si>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</si>
  <si>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</si>
  <si>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</si>
  <si>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</si>
  <si>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</si>
  <si>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</si>
  <si>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</si>
  <si>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</si>
  <si>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</si>
  <si>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</si>
  <si>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</si>
  <si>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</si>
  <si>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</si>
  <si>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</si>
  <si>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</si>
  <si>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</si>
  <si>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</si>
  <si>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</si>
  <si>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</si>
  <si>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</si>
  <si>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</si>
  <si>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</si>
  <si>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</si>
  <si>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</si>
  <si>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</si>
  <si>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</si>
  <si>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</si>
  <si>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</si>
  <si>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</si>
  <si>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</si>
  <si>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</si>
  <si>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</si>
  <si>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</si>
  <si>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</si>
  <si>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</si>
  <si>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</si>
  <si>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</si>
  <si>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</si>
  <si>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</si>
  <si>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</si>
  <si>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</si>
  <si>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</si>
  <si>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</si>
  <si>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</si>
  <si>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</si>
  <si>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</si>
  <si>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</si>
  <si>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</si>
  <si>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</si>
  <si>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</si>
  <si>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</si>
  <si>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</si>
  <si>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</si>
  <si>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</si>
  <si>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</si>
  <si>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</si>
  <si>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</si>
  <si>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</si>
  <si>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</si>
  <si>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</si>
  <si>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</si>
  <si>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</si>
  <si>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</si>
  <si>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</si>
  <si>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</si>
  <si>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</si>
  <si>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</si>
  <si>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</si>
  <si>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</si>
  <si>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</si>
  <si>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</si>
  <si>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</si>
  <si>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</si>
  <si>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</si>
  <si>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</si>
  <si>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</si>
  <si>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</si>
  <si>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</si>
  <si>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</si>
  <si>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</si>
  <si>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</si>
  <si>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</si>
  <si>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</si>
  <si>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</si>
  <si>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</si>
  <si>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</si>
  <si>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</si>
  <si>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</si>
  <si>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</si>
  <si>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</si>
  <si>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</si>
  <si>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</si>
  <si>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</si>
  <si>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</si>
  <si>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</si>
  <si>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</si>
  <si>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</si>
  <si>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</si>
  <si>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</si>
  <si>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</si>
  <si>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</si>
  <si>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</si>
  <si>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</si>
  <si>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</si>
  <si>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</si>
  <si>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</si>
  <si>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</si>
  <si>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</si>
  <si>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</si>
  <si>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</si>
  <si>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</si>
  <si>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</si>
  <si>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</si>
  <si>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</si>
  <si>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</si>
  <si>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</si>
  <si>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</si>
  <si>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</si>
  <si>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</si>
  <si>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</si>
  <si>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</si>
  <si>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</si>
  <si>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</si>
  <si>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</si>
  <si>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</si>
  <si>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</si>
  <si>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</si>
  <si>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</si>
  <si>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</si>
  <si>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</si>
  <si>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</si>
  <si>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</si>
  <si>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</si>
  <si>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</si>
  <si>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</si>
  <si>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</si>
  <si>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</si>
  <si>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</si>
  <si>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</si>
  <si>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</si>
  <si>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</si>
  <si>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</si>
  <si>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</si>
  <si>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</si>
  <si>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</si>
  <si>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</si>
  <si>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</si>
  <si>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</si>
  <si>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</si>
  <si>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</si>
  <si>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</si>
  <si>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</si>
  <si>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</si>
  <si>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</si>
  <si>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</si>
  <si>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</si>
  <si>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</si>
  <si>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</si>
  <si>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</si>
  <si>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</si>
  <si>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</si>
  <si>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</si>
  <si>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</si>
  <si>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</si>
  <si>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</si>
  <si>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</si>
  <si>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</si>
  <si>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</si>
  <si>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</si>
  <si>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</si>
  <si>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</si>
  <si>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</si>
  <si>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</si>
  <si>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</si>
  <si>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</si>
  <si>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</si>
  <si>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</si>
  <si>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</si>
  <si>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</si>
  <si>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</si>
  <si>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</si>
  <si>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</si>
  <si>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</si>
  <si>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</si>
  <si>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</si>
  <si>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</si>
  <si>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</si>
  <si>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</si>
  <si>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</si>
  <si>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</si>
  <si>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</si>
  <si>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</si>
  <si>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</si>
  <si>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</si>
  <si>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</si>
  <si>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</si>
  <si>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</si>
  <si>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</si>
  <si>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</si>
  <si>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</si>
  <si>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</si>
  <si>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</si>
  <si>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</si>
  <si>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</si>
  <si>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</si>
  <si>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</si>
  <si>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</si>
  <si>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</si>
  <si>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</si>
  <si>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</si>
  <si>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</si>
  <si>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</si>
  <si>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</si>
  <si>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</si>
  <si>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</si>
  <si>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</si>
  <si>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</si>
  <si>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</si>
  <si>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</si>
  <si>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</si>
  <si>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</si>
  <si>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</si>
  <si>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</si>
  <si>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</si>
  <si>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</si>
  <si>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</si>
  <si>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</si>
  <si>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</si>
  <si>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</si>
  <si>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</si>
  <si>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</si>
  <si>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</si>
  <si>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</si>
  <si>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</si>
  <si>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</si>
  <si>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</si>
  <si>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</si>
  <si>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</si>
  <si>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</si>
  <si>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</si>
  <si>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</si>
  <si>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</si>
  <si>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</si>
  <si>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</si>
  <si>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</si>
  <si>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</si>
  <si>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</si>
  <si>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</si>
  <si>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</si>
  <si>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</si>
  <si>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</si>
  <si>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</si>
  <si>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</si>
  <si>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</si>
  <si>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</si>
  <si>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</si>
  <si>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</si>
  <si>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</si>
  <si>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</si>
  <si>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</si>
  <si>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</si>
  <si>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</si>
  <si>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</si>
  <si>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</si>
  <si>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</si>
  <si>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</si>
  <si>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</si>
  <si>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</si>
  <si>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</si>
  <si>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</si>
  <si>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</si>
  <si>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</si>
  <si>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</si>
  <si>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</si>
  <si>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</si>
  <si>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</si>
  <si>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</si>
  <si>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</si>
  <si>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</si>
  <si>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</si>
  <si>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</si>
  <si>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</si>
  <si>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</si>
  <si>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</si>
  <si>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</si>
  <si>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</si>
  <si>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</si>
  <si>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</si>
  <si>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</si>
  <si>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</si>
  <si>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</si>
  <si>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</si>
  <si>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</si>
  <si>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</si>
  <si>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</si>
  <si>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</si>
  <si>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</si>
  <si>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</si>
  <si>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</si>
  <si>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</si>
  <si>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</si>
  <si>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</si>
  <si>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</si>
  <si>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</si>
  <si>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</si>
  <si>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</si>
  <si>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</si>
  <si>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</si>
  <si>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</si>
  <si>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</si>
  <si>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</si>
  <si>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</si>
  <si>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</si>
  <si>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</si>
  <si>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</si>
  <si>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</si>
  <si>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</si>
  <si>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</si>
  <si>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</si>
  <si>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</si>
  <si>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</si>
  <si>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</si>
  <si>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</si>
  <si>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</si>
  <si>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</si>
  <si>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</si>
  <si>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</si>
  <si>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</si>
  <si>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</si>
  <si>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</si>
  <si>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</si>
  <si>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</si>
  <si>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</si>
  <si>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</si>
  <si>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</si>
  <si>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</si>
  <si>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</si>
  <si>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</si>
  <si>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</si>
  <si>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</si>
  <si>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</si>
  <si>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</si>
  <si>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</si>
  <si>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</si>
  <si>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</si>
  <si>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</si>
  <si>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</si>
  <si>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</si>
  <si>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</si>
  <si>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</si>
  <si>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</si>
  <si>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</si>
  <si>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</si>
  <si>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</si>
  <si>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</si>
  <si>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</si>
  <si>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</si>
  <si>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</si>
  <si>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</si>
  <si>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</si>
  <si>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</si>
  <si>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</si>
  <si>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</si>
  <si>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</si>
  <si>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</si>
  <si>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</si>
  <si>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</si>
  <si>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</si>
  <si>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</si>
  <si>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</si>
  <si>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</si>
  <si>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</si>
  <si>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</si>
  <si>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</si>
  <si>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</si>
  <si>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</si>
  <si>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</si>
  <si>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</si>
  <si>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</si>
  <si>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</si>
  <si>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</si>
  <si>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</si>
  <si>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</si>
  <si>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</si>
  <si>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</si>
  <si>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</si>
  <si>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</si>
  <si>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</si>
  <si>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</si>
  <si>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</si>
  <si>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</si>
  <si>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</si>
  <si>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</si>
  <si>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</si>
  <si>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</si>
  <si>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</si>
  <si>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</si>
  <si>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</si>
  <si>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</si>
  <si>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</si>
  <si>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</si>
  <si>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</si>
  <si>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</si>
  <si>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</si>
  <si>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</si>
  <si>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</si>
  <si>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</si>
  <si>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</si>
  <si>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</si>
  <si>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</si>
  <si>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</si>
  <si>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</si>
  <si>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</si>
  <si>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</si>
  <si>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</si>
  <si>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</si>
  <si>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</si>
  <si>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</si>
  <si>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</si>
  <si>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</si>
  <si>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</si>
  <si>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</si>
  <si>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</si>
  <si>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</si>
  <si>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</si>
  <si>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</si>
  <si>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</si>
  <si>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</si>
  <si>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</si>
  <si>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</si>
  <si>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</si>
  <si>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</si>
  <si>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</si>
  <si>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</si>
  <si>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</si>
  <si>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</si>
  <si>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</si>
  <si>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</si>
  <si>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</si>
  <si>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</si>
  <si>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</si>
  <si>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</si>
  <si>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</si>
  <si>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</si>
  <si>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</si>
  <si>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</si>
  <si>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</si>
  <si>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</si>
  <si>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</si>
  <si>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</si>
  <si>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</si>
  <si>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</si>
  <si>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</si>
  <si>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</si>
  <si>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</si>
  <si>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</si>
  <si>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</si>
  <si>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</si>
  <si>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</si>
  <si>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</si>
  <si>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</si>
  <si>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</si>
  <si>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</si>
  <si>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</si>
  <si>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</si>
  <si>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</si>
  <si>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</si>
  <si>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</si>
  <si>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</si>
  <si>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</si>
  <si>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</si>
  <si>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</si>
  <si>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</si>
  <si>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</si>
  <si>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</si>
  <si>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</si>
  <si>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</si>
  <si>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</si>
  <si>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</si>
  <si>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</si>
  <si>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</si>
  <si>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</si>
  <si>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</si>
  <si>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</si>
  <si>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</si>
  <si>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</si>
  <si>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</si>
  <si>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</si>
  <si>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</si>
  <si>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</si>
  <si>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</si>
  <si>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</si>
  <si>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</si>
  <si>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</si>
  <si>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</si>
  <si>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</si>
  <si>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</si>
  <si>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</si>
  <si>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</si>
  <si>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</si>
  <si>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</si>
  <si>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</si>
  <si>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</si>
  <si>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</si>
  <si>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</si>
  <si>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</si>
  <si>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</si>
  <si>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</si>
  <si>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</si>
  <si>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</si>
  <si>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</si>
  <si>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</si>
  <si>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</si>
  <si>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</si>
  <si>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</si>
  <si>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</si>
  <si>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</si>
  <si>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</si>
  <si>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</si>
  <si>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</si>
  <si>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</si>
  <si>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</si>
  <si>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</si>
  <si>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</si>
  <si>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</si>
  <si>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</si>
  <si>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</si>
  <si>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</si>
  <si>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</si>
  <si>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</si>
  <si>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</si>
  <si>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</si>
  <si>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</si>
  <si>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</si>
  <si>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</si>
  <si>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</si>
  <si>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</si>
  <si>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</si>
  <si>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</si>
  <si>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</si>
  <si>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</si>
  <si>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</si>
  <si>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</si>
  <si>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</si>
  <si>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</si>
  <si>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</si>
  <si>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</si>
  <si>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</si>
  <si>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</si>
  <si>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</si>
  <si>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</si>
  <si>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</si>
  <si>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</si>
  <si>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</si>
  <si>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</si>
  <si>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</si>
  <si>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</si>
  <si>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</si>
  <si>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</si>
  <si>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</si>
  <si>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</si>
  <si>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</si>
  <si>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</si>
  <si>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</si>
  <si>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</si>
  <si>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</si>
  <si>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</si>
  <si>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</si>
  <si>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</si>
  <si>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</si>
  <si>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</si>
  <si>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</si>
  <si>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</si>
  <si>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</si>
  <si>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</si>
  <si>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</si>
  <si>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</si>
  <si>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</si>
  <si>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</si>
  <si>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</si>
  <si>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</si>
  <si>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</si>
  <si>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</si>
  <si>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</si>
  <si>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</si>
  <si>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</si>
  <si>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</si>
  <si>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</si>
  <si>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</si>
  <si>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</si>
  <si>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</si>
  <si>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</si>
  <si>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</si>
  <si>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</si>
  <si>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</si>
  <si>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</si>
  <si>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</si>
  <si>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</si>
  <si>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</si>
  <si>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</si>
  <si>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</si>
  <si>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</si>
  <si>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</si>
  <si>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</si>
  <si>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</si>
  <si>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</si>
  <si>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</si>
  <si>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</si>
  <si>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</si>
  <si>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</si>
  <si>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</si>
  <si>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</si>
  <si>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</si>
  <si>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</si>
  <si>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</si>
  <si>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</si>
  <si>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</si>
  <si>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</si>
  <si>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</si>
  <si>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</si>
  <si>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</si>
  <si>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</si>
  <si>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</si>
  <si>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</si>
  <si>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</si>
  <si>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</si>
  <si>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</si>
  <si>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</si>
  <si>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</si>
  <si>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</si>
  <si>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</si>
  <si>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</si>
  <si>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</si>
  <si>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</si>
  <si>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</si>
  <si>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</si>
  <si>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</si>
  <si>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</si>
  <si>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</si>
  <si>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</si>
  <si>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</si>
  <si>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</si>
  <si>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</si>
  <si>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</si>
  <si>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</si>
  <si>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</si>
  <si>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</si>
  <si>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</si>
  <si>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</si>
  <si>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</si>
  <si>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</si>
  <si>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</si>
  <si>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</si>
  <si>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</si>
  <si>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</si>
  <si>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</si>
  <si>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</si>
  <si>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</si>
  <si>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</si>
  <si>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</si>
  <si>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</si>
  <si>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</si>
  <si>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</si>
  <si>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</si>
  <si>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</si>
  <si>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</si>
  <si>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</si>
  <si>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</si>
  <si>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</si>
  <si>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</si>
  <si>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</si>
  <si>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</si>
  <si>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</si>
  <si>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</si>
  <si>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</si>
  <si>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</si>
  <si>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</si>
  <si>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</si>
  <si>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</si>
  <si>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</si>
  <si>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</si>
  <si>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</si>
  <si>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</si>
  <si>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</si>
  <si>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</si>
  <si>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</si>
  <si>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</si>
  <si>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</si>
  <si>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</si>
  <si>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</si>
  <si>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</si>
  <si>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</si>
  <si>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</si>
  <si>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</si>
  <si>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</si>
  <si>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</si>
  <si>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</si>
  <si>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</si>
  <si>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</si>
  <si>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</si>
  <si>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</si>
  <si>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</si>
  <si>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</si>
  <si>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</si>
  <si>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</si>
  <si>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</si>
  <si>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</si>
  <si>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</si>
  <si>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</si>
  <si>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</si>
  <si>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</si>
  <si>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</si>
  <si>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</si>
  <si>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</si>
  <si>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</si>
  <si>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</si>
  <si>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</si>
  <si>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</si>
  <si>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</si>
  <si>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</si>
  <si>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</si>
  <si>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</si>
  <si>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</si>
  <si>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</si>
  <si>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</si>
  <si>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</si>
  <si>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</si>
  <si>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</si>
  <si>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</si>
  <si>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</si>
  <si>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</si>
  <si>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</si>
  <si>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</si>
  <si>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</si>
  <si>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</si>
  <si>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</si>
  <si>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</si>
  <si>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</si>
  <si>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</si>
  <si>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</si>
  <si>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</si>
  <si>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</si>
  <si>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</si>
  <si>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</si>
  <si>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</si>
  <si>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</si>
  <si>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</si>
  <si>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</si>
  <si>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</si>
  <si>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</si>
  <si>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</si>
  <si>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</si>
  <si>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</si>
  <si>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</si>
  <si>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</si>
  <si>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</si>
  <si>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</si>
  <si>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</si>
  <si>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</si>
  <si>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</si>
  <si>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</si>
  <si>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</si>
  <si>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</si>
  <si>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</si>
  <si>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</si>
  <si>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</si>
  <si>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</si>
  <si>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</si>
  <si>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</si>
  <si>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</si>
  <si>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</si>
  <si>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</si>
  <si>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</si>
  <si>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</si>
  <si>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</si>
  <si>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</si>
  <si>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</si>
  <si>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</si>
  <si>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</si>
  <si>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</si>
  <si>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</si>
  <si>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</si>
  <si>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</si>
  <si>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</si>
  <si>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</si>
  <si>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</si>
  <si>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</si>
  <si>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</si>
  <si>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</si>
  <si>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</si>
  <si>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</si>
  <si>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</si>
  <si>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</si>
  <si>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</si>
  <si>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</si>
  <si>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</si>
  <si>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</si>
  <si>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</si>
  <si>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</si>
  <si>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</si>
  <si>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</si>
  <si>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</si>
  <si>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</si>
  <si>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</si>
  <si>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</si>
  <si>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</si>
  <si>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</si>
  <si>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</si>
  <si>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</si>
  <si>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</si>
  <si>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</si>
  <si>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</si>
  <si>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</si>
  <si>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</si>
  <si>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</si>
  <si>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</si>
  <si>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</si>
  <si>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</si>
  <si>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</si>
  <si>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</si>
  <si>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</si>
  <si>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</si>
  <si>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</si>
  <si>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</si>
  <si>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</si>
  <si>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</si>
  <si>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</si>
  <si>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</si>
  <si>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</si>
  <si>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</si>
  <si>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</si>
  <si>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</si>
  <si>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</si>
  <si>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</si>
  <si>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</si>
  <si>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</si>
  <si>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</si>
  <si>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</si>
  <si>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</si>
  <si>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</si>
  <si>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</si>
  <si>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</si>
  <si>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</si>
  <si>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</si>
  <si>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</si>
  <si>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</si>
  <si>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</si>
  <si>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</si>
  <si>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</si>
  <si>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</si>
  <si>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</si>
  <si>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</si>
  <si>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</si>
  <si>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</si>
  <si>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</si>
  <si>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</si>
  <si>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</si>
  <si>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</si>
  <si>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</si>
  <si>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</si>
  <si>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</si>
  <si>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</si>
  <si>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</si>
  <si>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</si>
  <si>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</si>
  <si>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</si>
  <si>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</si>
  <si>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</si>
  <si>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</si>
  <si>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</si>
  <si>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</si>
  <si>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</si>
  <si>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</si>
  <si>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</si>
  <si>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</si>
  <si>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</si>
  <si>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</si>
  <si>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</si>
  <si>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</si>
  <si>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</si>
  <si>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</si>
  <si>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</si>
  <si>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</si>
  <si>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</si>
  <si>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</si>
  <si>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</si>
  <si>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</si>
  <si>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</si>
  <si>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</si>
  <si>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</si>
  <si>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</si>
  <si>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</si>
  <si>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</si>
  <si>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</si>
  <si>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</si>
  <si>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</si>
  <si>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</si>
  <si>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</si>
  <si>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</si>
  <si>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</si>
  <si>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</si>
  <si>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</si>
  <si>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</si>
  <si>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</si>
  <si>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</si>
  <si>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</si>
  <si>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</si>
  <si>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</si>
  <si>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</si>
  <si>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</si>
  <si>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</si>
  <si>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</si>
  <si>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</si>
  <si>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</si>
  <si>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</si>
  <si>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</si>
  <si>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</si>
  <si>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</si>
  <si>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</si>
  <si>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</si>
  <si>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</si>
  <si>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</si>
  <si>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</si>
  <si>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</si>
  <si>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</si>
  <si>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</si>
  <si>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</si>
  <si>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</si>
  <si>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</si>
  <si>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</si>
  <si>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</si>
  <si>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</si>
  <si>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</si>
  <si>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</si>
  <si>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</si>
  <si>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</si>
  <si>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</si>
  <si>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</si>
  <si>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</si>
  <si>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</si>
  <si>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</si>
  <si>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</si>
  <si>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</si>
  <si>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</si>
  <si>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</si>
  <si>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</si>
  <si>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</si>
  <si>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</si>
  <si>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</si>
  <si>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</si>
  <si>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</si>
  <si>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</si>
  <si>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</si>
  <si>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</si>
  <si>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</si>
  <si>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</si>
  <si>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</si>
  <si>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</si>
  <si>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</si>
  <si>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</si>
  <si>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</si>
  <si>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</si>
  <si>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</si>
  <si>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</si>
  <si>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</si>
  <si>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</si>
  <si>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</si>
  <si>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</si>
  <si>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</si>
  <si>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</si>
  <si>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</si>
  <si>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</si>
  <si>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</si>
  <si>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</si>
  <si>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</si>
  <si>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</si>
  <si>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</si>
  <si>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</si>
  <si>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</si>
  <si>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</si>
  <si>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</si>
  <si>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</si>
  <si>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</si>
  <si>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</si>
  <si>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</si>
  <si>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</si>
  <si>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</si>
  <si>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</si>
  <si>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</si>
  <si>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</si>
  <si>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</si>
  <si>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</si>
  <si>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</si>
  <si>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</si>
  <si>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</si>
  <si>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</si>
  <si>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</si>
  <si>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</si>
  <si>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</si>
  <si>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</si>
  <si>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</si>
  <si>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</si>
  <si>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</si>
  <si>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</si>
  <si>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</si>
  <si>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</si>
  <si>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</si>
  <si>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</si>
  <si>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</si>
  <si>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</si>
  <si>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</si>
  <si>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</si>
  <si>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</si>
  <si>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</si>
  <si>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</si>
  <si>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</si>
  <si>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</si>
  <si>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</si>
  <si>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</si>
  <si>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</si>
  <si>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</si>
  <si>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</si>
  <si>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</si>
  <si>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</si>
  <si>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</si>
  <si>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</si>
  <si>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</si>
  <si>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</si>
  <si>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</si>
  <si>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</si>
  <si>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</si>
  <si>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</si>
  <si>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</si>
  <si>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</si>
  <si>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</si>
  <si>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</si>
  <si>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</si>
  <si>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</si>
  <si>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</si>
  <si>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</si>
  <si>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</si>
  <si>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</si>
  <si>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</si>
  <si>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</si>
  <si>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</si>
  <si>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</si>
  <si>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</si>
  <si>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</si>
  <si>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</si>
  <si>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</si>
  <si>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</si>
  <si>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</si>
  <si>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</si>
  <si>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</si>
  <si>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</si>
  <si>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</si>
  <si>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</si>
  <si>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</si>
  <si>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</si>
  <si>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</si>
  <si>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</si>
  <si>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</si>
  <si>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</si>
  <si>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</si>
  <si>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</si>
  <si>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</si>
  <si>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</si>
  <si>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</si>
  <si>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</si>
  <si>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</si>
  <si>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</si>
  <si>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</si>
  <si>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</si>
  <si>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</si>
  <si>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</si>
  <si>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</si>
  <si>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</si>
  <si>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</si>
  <si>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</si>
  <si>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</si>
  <si>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</si>
  <si>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</si>
  <si>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</si>
  <si>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</si>
  <si>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</si>
  <si>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</si>
  <si>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</si>
  <si>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</si>
  <si>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</si>
  <si>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</si>
  <si>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</si>
  <si>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</si>
  <si>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</si>
  <si>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</si>
  <si>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</si>
  <si>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</si>
  <si>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</si>
  <si>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</si>
  <si>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</si>
  <si>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</si>
  <si>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</si>
  <si>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</si>
  <si>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</si>
  <si>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</si>
  <si>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</si>
  <si>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</si>
  <si>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</si>
  <si>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</si>
  <si>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</si>
  <si>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</si>
  <si>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</si>
  <si>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</si>
  <si>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</si>
  <si>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</si>
  <si>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</si>
  <si>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</si>
  <si>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</si>
  <si>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</si>
  <si>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</si>
  <si>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</si>
  <si>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</si>
  <si>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</si>
  <si>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</si>
  <si>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</si>
  <si>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</si>
  <si>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</si>
  <si>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</si>
  <si>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</si>
  <si>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</si>
  <si>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</si>
  <si>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</si>
  <si>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</si>
  <si>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</si>
  <si>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</si>
  <si>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</si>
  <si>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</si>
  <si>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</si>
  <si>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</si>
  <si>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</si>
  <si>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</si>
  <si>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</si>
  <si>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</si>
  <si>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</si>
  <si>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</si>
  <si>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</si>
  <si>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</si>
  <si>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</si>
  <si>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</si>
  <si>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</si>
  <si>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</si>
  <si>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</si>
  <si>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</si>
  <si>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</si>
  <si>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</si>
  <si>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</si>
  <si>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</si>
  <si>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</si>
  <si>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</si>
  <si>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</si>
  <si>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</si>
  <si>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</si>
  <si>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</si>
  <si>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</si>
  <si>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</si>
  <si>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</si>
  <si>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</si>
  <si>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</si>
  <si>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</si>
  <si>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</si>
  <si>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</si>
  <si>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</si>
  <si>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</si>
  <si>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</si>
  <si>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</si>
  <si>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</si>
  <si>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</si>
  <si>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</si>
  <si>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</si>
  <si>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</si>
  <si>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</si>
  <si>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</si>
  <si>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</si>
  <si>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</si>
  <si>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</si>
  <si>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</si>
  <si>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</si>
  <si>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</si>
  <si>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</si>
  <si>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</si>
  <si>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</si>
  <si>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</si>
  <si>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</si>
  <si>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</si>
  <si>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</si>
  <si>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</si>
  <si>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</si>
  <si>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</si>
  <si>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</si>
  <si>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</si>
  <si>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</si>
  <si>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</si>
  <si>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</si>
  <si>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</si>
  <si>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</si>
  <si>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</si>
  <si>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</si>
  <si>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</si>
  <si>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</si>
  <si>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</si>
  <si>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</si>
  <si>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</si>
  <si>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</si>
  <si>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</si>
  <si>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</si>
  <si>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</si>
  <si>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</si>
  <si>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</si>
  <si>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</si>
  <si>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</si>
  <si>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</si>
  <si>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</si>
  <si>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</si>
  <si>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</si>
  <si>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</si>
  <si>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</si>
  <si>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</si>
  <si>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</si>
  <si>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</si>
  <si>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</si>
  <si>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</si>
  <si>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</si>
  <si>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</si>
  <si>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</si>
  <si>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</si>
  <si>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</si>
  <si>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</si>
  <si>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</si>
  <si>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</si>
  <si>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</si>
  <si>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</si>
  <si>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</si>
  <si>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</si>
  <si>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</si>
  <si>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</si>
  <si>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</si>
  <si>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</si>
  <si>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</si>
  <si>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</si>
  <si>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</si>
  <si>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</si>
  <si>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</si>
  <si>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</si>
  <si>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</si>
  <si>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</si>
  <si>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</si>
  <si>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</si>
  <si>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</si>
  <si>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</si>
  <si>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</si>
  <si>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</si>
  <si>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</si>
  <si>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</si>
  <si>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</si>
  <si>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</si>
  <si>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</si>
  <si>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</si>
  <si>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</si>
  <si>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</si>
  <si>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</si>
  <si>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</si>
  <si>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</si>
  <si>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</si>
  <si>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</si>
  <si>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</si>
  <si>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</si>
  <si>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</si>
  <si>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</si>
  <si>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</si>
  <si>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</si>
  <si>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</si>
  <si>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</si>
  <si>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</si>
  <si>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</si>
  <si>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</si>
  <si>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</si>
  <si>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</si>
  <si>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</si>
  <si>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</si>
  <si>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</si>
  <si>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</si>
  <si>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</si>
  <si>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</si>
  <si>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</si>
  <si>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</si>
  <si>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</si>
  <si>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</si>
  <si>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</si>
  <si>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</si>
  <si>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</si>
  <si>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</si>
  <si>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</si>
  <si>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</si>
  <si>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</si>
  <si>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</si>
  <si>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</si>
  <si>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</si>
  <si>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</si>
  <si>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</si>
  <si>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</si>
  <si>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</si>
  <si>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</si>
  <si>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</si>
  <si>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</si>
  <si>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</si>
  <si>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</si>
  <si>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</si>
  <si>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</si>
  <si>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</si>
  <si>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</si>
  <si>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</si>
  <si>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</si>
  <si>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</si>
  <si>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</si>
  <si>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</si>
  <si>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</si>
  <si>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</si>
  <si>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</si>
  <si>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</si>
  <si>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</si>
  <si>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</si>
  <si>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</si>
  <si>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</si>
  <si>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</si>
  <si>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</si>
  <si>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</si>
  <si>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</si>
  <si>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</si>
  <si>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</si>
  <si>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</si>
  <si>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</si>
  <si>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</si>
  <si>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</si>
  <si>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</si>
  <si>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</si>
  <si>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</si>
  <si>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</si>
  <si>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</si>
  <si>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</si>
  <si>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</si>
  <si>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</si>
  <si>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</si>
  <si>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</si>
  <si>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</si>
  <si>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</si>
  <si>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</si>
  <si>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</si>
  <si>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</si>
  <si>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</si>
  <si>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</si>
  <si>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</si>
  <si>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</si>
  <si>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</si>
  <si>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</si>
  <si>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</si>
  <si>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</si>
  <si>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</si>
  <si>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</si>
  <si>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</si>
  <si>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</si>
  <si>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</si>
  <si>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</si>
  <si>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</si>
  <si>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</si>
  <si>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</si>
  <si>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</si>
  <si>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</si>
  <si>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</si>
  <si>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</si>
  <si>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</si>
  <si>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</si>
  <si>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</si>
  <si>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</si>
  <si>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</si>
  <si>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</si>
  <si>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</si>
  <si>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</si>
  <si>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</si>
  <si>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</si>
  <si>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</si>
  <si>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</si>
  <si>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</si>
  <si>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</si>
  <si>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</si>
  <si>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</si>
  <si>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</si>
  <si>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</si>
  <si>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</si>
  <si>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</si>
  <si>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</si>
  <si>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</si>
  <si>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</si>
  <si>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</si>
  <si>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</si>
  <si>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</si>
  <si>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</si>
  <si>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</si>
  <si>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</si>
  <si>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</si>
  <si>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</si>
  <si>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</si>
  <si>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</si>
  <si>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</si>
  <si>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</si>
  <si>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</si>
  <si>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</si>
  <si>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</si>
  <si>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</si>
  <si>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</si>
  <si>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</si>
  <si>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</si>
  <si>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</si>
  <si>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</si>
  <si>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</si>
  <si>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</si>
  <si>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</si>
  <si>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</si>
  <si>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</si>
  <si>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</si>
  <si>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</si>
  <si>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</si>
  <si>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</si>
  <si>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</si>
  <si>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</si>
  <si>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</si>
  <si>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</si>
  <si>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</si>
  <si>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</si>
  <si>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</si>
  <si>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</si>
  <si>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</si>
  <si>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</si>
  <si>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</si>
  <si>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</si>
  <si>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</si>
  <si>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</si>
  <si>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</si>
  <si>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</si>
  <si>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</si>
  <si>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</si>
  <si>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</si>
  <si>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</si>
  <si>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</si>
  <si>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</si>
  <si>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</si>
  <si>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</si>
  <si>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</si>
  <si>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</si>
  <si>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</si>
  <si>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</si>
  <si>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</si>
  <si>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</si>
  <si>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</si>
  <si>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</si>
  <si>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</si>
  <si>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</si>
  <si>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</si>
  <si>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</si>
  <si>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</si>
  <si>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</si>
  <si>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</si>
  <si>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</si>
  <si>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</si>
  <si>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</si>
  <si>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</si>
  <si>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</si>
  <si>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</si>
  <si>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</si>
  <si>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</si>
  <si>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</si>
  <si>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</si>
  <si>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</si>
  <si>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</si>
  <si>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</si>
  <si>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</si>
  <si>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</si>
  <si>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</si>
  <si>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</si>
  <si>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</si>
  <si>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</si>
  <si>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</si>
  <si>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</si>
  <si>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</si>
  <si>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</si>
  <si>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</si>
  <si>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</si>
  <si>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</si>
  <si>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</si>
  <si>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</si>
  <si>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</si>
  <si>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</si>
  <si>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</si>
  <si>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</si>
  <si>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</si>
  <si>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</si>
  <si>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</si>
  <si>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</si>
  <si>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</si>
  <si>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</si>
  <si>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</si>
  <si>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</si>
  <si>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</si>
  <si>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</si>
  <si>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</si>
  <si>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</si>
  <si>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</si>
  <si>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</si>
  <si>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</si>
  <si>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</si>
  <si>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</si>
  <si>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</si>
  <si>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</si>
  <si>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</si>
  <si>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</si>
  <si>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</si>
  <si>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</si>
  <si>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</si>
  <si>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</si>
  <si>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</si>
  <si>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</si>
  <si>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</si>
  <si>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</si>
  <si>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</si>
  <si>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</si>
  <si>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</si>
  <si>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</si>
  <si>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</si>
  <si>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</si>
  <si>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</si>
  <si>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</si>
  <si>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</si>
  <si>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</si>
  <si>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</si>
  <si>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</si>
  <si>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</si>
  <si>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</si>
  <si>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</si>
  <si>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</si>
  <si>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</si>
  <si>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</si>
  <si>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</si>
  <si>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</si>
  <si>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</si>
  <si>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</si>
  <si>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</si>
  <si>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</si>
  <si>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</si>
  <si>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</si>
  <si>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</si>
  <si>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</si>
  <si>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</si>
  <si>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</si>
  <si>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</si>
  <si>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</si>
  <si>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</si>
  <si>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</si>
  <si>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</si>
  <si>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</si>
  <si>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</si>
  <si>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</si>
  <si>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</si>
  <si>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</si>
  <si>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</si>
  <si>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</si>
  <si>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</si>
  <si>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</si>
  <si>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</si>
  <si>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</si>
  <si>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</si>
  <si>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</si>
  <si>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</si>
  <si>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</si>
  <si>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</si>
  <si>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</si>
  <si>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</si>
  <si>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</si>
  <si>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</si>
  <si>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</si>
  <si>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</si>
  <si>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</si>
  <si>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</si>
  <si>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</si>
  <si>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</si>
  <si>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</si>
  <si>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</si>
  <si>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</si>
  <si>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</si>
  <si>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</si>
  <si>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</si>
  <si>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</si>
  <si>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</si>
  <si>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</si>
  <si>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</si>
  <si>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</si>
  <si>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</si>
  <si>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</si>
  <si>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</si>
  <si>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</si>
  <si>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</si>
  <si>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</si>
  <si>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</si>
  <si>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</si>
  <si>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</si>
  <si>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</si>
  <si>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</si>
  <si>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</si>
  <si>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</si>
  <si>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</si>
  <si>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</si>
  <si>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</si>
  <si>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</si>
  <si>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</si>
  <si>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</si>
  <si>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</si>
  <si>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</si>
  <si>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</si>
  <si>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</si>
  <si>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</si>
  <si>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</si>
  <si>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</si>
  <si>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</si>
  <si>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</si>
  <si>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</si>
  <si>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</si>
  <si>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</si>
  <si>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</si>
  <si>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</si>
  <si>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</si>
  <si>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</si>
  <si>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</si>
  <si>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</si>
  <si>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</si>
  <si>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</si>
  <si>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</si>
  <si>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</si>
  <si>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</si>
  <si>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</si>
  <si>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</si>
  <si>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</si>
  <si>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</si>
  <si>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</si>
  <si>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</si>
  <si>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</si>
  <si>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</si>
  <si>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</si>
  <si>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</si>
  <si>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</si>
  <si>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</si>
  <si>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</si>
  <si>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</si>
  <si>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</si>
  <si>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</si>
  <si>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</si>
  <si>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</si>
  <si>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</si>
  <si>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</si>
  <si>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</si>
  <si>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</si>
  <si>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</si>
  <si>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</si>
  <si>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</si>
  <si>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</si>
  <si>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</si>
  <si>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</si>
  <si>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</si>
  <si>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</si>
  <si>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</si>
  <si>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</si>
  <si>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</si>
  <si>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</si>
  <si>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</si>
  <si>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</si>
  <si>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</si>
  <si>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</si>
  <si>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</si>
  <si>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</si>
  <si>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</si>
  <si>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</si>
  <si>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</si>
  <si>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</si>
  <si>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</si>
  <si>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</si>
  <si>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</si>
  <si>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</si>
  <si>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</si>
  <si>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</si>
  <si>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</si>
  <si>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</si>
  <si>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</si>
  <si>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</si>
  <si>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</si>
  <si>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</si>
  <si>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</si>
  <si>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</si>
  <si>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</si>
  <si>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</si>
  <si>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</si>
  <si>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</si>
  <si>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</si>
  <si>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</si>
  <si>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</si>
  <si>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</si>
  <si>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</si>
  <si>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</si>
  <si>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</si>
  <si>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</si>
  <si>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</si>
  <si>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</si>
  <si>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</si>
  <si>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</si>
  <si>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</si>
  <si>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</si>
  <si>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</si>
  <si>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</si>
  <si>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</si>
  <si>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</si>
  <si>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</si>
  <si>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</si>
  <si>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</si>
  <si>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</si>
  <si>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</si>
  <si>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</si>
  <si>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</si>
  <si>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</si>
  <si>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</si>
  <si>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</si>
  <si>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</si>
  <si>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</si>
  <si>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</si>
  <si>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</si>
  <si>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</si>
  <si>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</si>
  <si>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</si>
  <si>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</si>
  <si>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</si>
  <si>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</si>
  <si>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</si>
  <si>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</si>
  <si>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</si>
  <si>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</si>
  <si>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</si>
  <si>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</si>
  <si>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</si>
  <si>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</si>
  <si>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</si>
  <si>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</si>
  <si>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</si>
  <si>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</si>
  <si>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</si>
  <si>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</si>
  <si>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</si>
  <si>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</si>
  <si>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</si>
  <si>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</si>
  <si>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</si>
  <si>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</si>
  <si>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</si>
  <si>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</si>
  <si>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</si>
  <si>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</si>
  <si>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</si>
  <si>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</si>
  <si>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</si>
  <si>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</si>
  <si>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</si>
  <si>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</si>
  <si>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</si>
  <si>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</si>
  <si>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</si>
  <si>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</si>
  <si>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</si>
  <si>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</si>
  <si>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</si>
  <si>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</si>
  <si>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</si>
  <si>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</si>
  <si>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</si>
  <si>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</si>
  <si>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</si>
  <si>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</si>
  <si>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</si>
  <si>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</si>
  <si>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</si>
  <si>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</si>
  <si>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</si>
  <si>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</si>
  <si>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</si>
  <si>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</si>
  <si>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</si>
  <si>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</si>
  <si>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</si>
  <si>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</si>
  <si>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</si>
  <si>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</si>
  <si>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</si>
  <si>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</si>
  <si>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</si>
  <si>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</si>
  <si>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</si>
  <si>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</si>
  <si>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</si>
  <si>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</si>
  <si>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</si>
  <si>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</si>
  <si>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光大</t>
    <phoneticPr fontId="6" type="noConversion"/>
  </si>
  <si>
    <t>抵押</t>
  </si>
  <si>
    <t>房地产抵押价值</t>
  </si>
  <si>
    <t>北京市</t>
  </si>
  <si>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701</t>
    </r>
    <phoneticPr fontId="6" type="noConversion"/>
  </si>
  <si>
    <t>企业</t>
  </si>
  <si>
    <t>否</t>
  </si>
  <si>
    <t>办公项目</t>
  </si>
  <si>
    <t>无</t>
  </si>
  <si>
    <t>现房</t>
  </si>
  <si>
    <t>通路</t>
  </si>
  <si>
    <t>通电</t>
  </si>
  <si>
    <t>通讯</t>
  </si>
  <si>
    <t>通上水</t>
  </si>
  <si>
    <t>通下水</t>
  </si>
  <si>
    <t>通热</t>
  </si>
  <si>
    <t>平整</t>
  </si>
  <si>
    <t>是</t>
  </si>
  <si>
    <t>地上</t>
  </si>
  <si>
    <t>办公楼</t>
  </si>
  <si>
    <t>办公</t>
    <phoneticPr fontId="7" type="noConversion"/>
  </si>
  <si>
    <t>成新度</t>
  </si>
  <si>
    <t>建成</t>
    <phoneticPr fontId="3" type="noConversion"/>
  </si>
  <si>
    <t>直线</t>
    <phoneticPr fontId="3" type="noConversion"/>
  </si>
  <si>
    <t>收益法</t>
  </si>
  <si>
    <t>利息：取LPR加浮动点数</t>
  </si>
  <si>
    <t>较好</t>
  </si>
  <si>
    <t>较好</t>
    <phoneticPr fontId="40" type="noConversion"/>
  </si>
  <si>
    <t>较好</t>
    <phoneticPr fontId="24" type="noConversion"/>
  </si>
  <si>
    <t>一般</t>
  </si>
  <si>
    <t>一般</t>
    <phoneticPr fontId="24" type="noConversion"/>
  </si>
  <si>
    <t>一般</t>
    <phoneticPr fontId="40" type="noConversion"/>
  </si>
  <si>
    <t>七通</t>
  </si>
  <si>
    <t>七通</t>
    <phoneticPr fontId="24" type="noConversion"/>
  </si>
  <si>
    <t>押一</t>
  </si>
  <si>
    <t>钢混</t>
  </si>
  <si>
    <t>非生产用房</t>
  </si>
  <si>
    <t>单套模式</t>
  </si>
  <si>
    <t>售价</t>
  </si>
  <si>
    <t>比较法-办公</t>
  </si>
  <si>
    <t>远洋长安国际中心</t>
    <phoneticPr fontId="134" type="noConversion"/>
  </si>
  <si>
    <t>面积</t>
    <phoneticPr fontId="134" type="noConversion"/>
  </si>
  <si>
    <t>单价</t>
    <phoneticPr fontId="134" type="noConversion"/>
  </si>
  <si>
    <t>楼层</t>
    <phoneticPr fontId="134" type="noConversion"/>
  </si>
  <si>
    <t>中区</t>
    <phoneticPr fontId="134" type="noConversion"/>
  </si>
  <si>
    <t>装修</t>
    <phoneticPr fontId="134" type="noConversion"/>
  </si>
  <si>
    <t>毛坯</t>
  </si>
  <si>
    <t>毛坯</t>
    <phoneticPr fontId="134" type="noConversion"/>
  </si>
  <si>
    <t>修正</t>
    <phoneticPr fontId="134" type="noConversion"/>
  </si>
  <si>
    <t>正常</t>
  </si>
  <si>
    <r>
      <t>40-50(</t>
    </r>
    <r>
      <rPr>
        <sz val="11"/>
        <rFont val="宋体"/>
        <family val="3"/>
        <charset val="134"/>
      </rPr>
      <t>含）</t>
    </r>
    <phoneticPr fontId="31" type="noConversion"/>
  </si>
  <si>
    <t>高区</t>
    <phoneticPr fontId="31" type="noConversion"/>
  </si>
  <si>
    <t>中区</t>
    <phoneticPr fontId="31" type="noConversion"/>
  </si>
  <si>
    <t>低区</t>
    <phoneticPr fontId="31" type="noConversion"/>
  </si>
  <si>
    <t>钢混</t>
    <phoneticPr fontId="31" type="noConversion"/>
  </si>
  <si>
    <t>精装修</t>
  </si>
  <si>
    <t>精装修</t>
    <phoneticPr fontId="31" type="noConversion"/>
  </si>
  <si>
    <t>普通装修</t>
    <phoneticPr fontId="31" type="noConversion"/>
  </si>
  <si>
    <t>简单装修</t>
  </si>
  <si>
    <t>简单装修</t>
    <phoneticPr fontId="31" type="noConversion"/>
  </si>
  <si>
    <t>毛坯</t>
    <phoneticPr fontId="31" type="noConversion"/>
  </si>
  <si>
    <t>甲级</t>
    <phoneticPr fontId="31" type="noConversion"/>
  </si>
  <si>
    <t>专业物业</t>
  </si>
  <si>
    <t>专业物业</t>
    <phoneticPr fontId="31" type="noConversion"/>
  </si>
  <si>
    <t>办公</t>
    <phoneticPr fontId="31" type="noConversion"/>
  </si>
  <si>
    <t>楼层</t>
    <phoneticPr fontId="31" type="noConversion"/>
  </si>
  <si>
    <t>六通</t>
  </si>
  <si>
    <t>项目局部</t>
  </si>
  <si>
    <t>楼面单价</t>
  </si>
  <si>
    <t>收益法 (元)</t>
  </si>
  <si>
    <t>高区</t>
    <phoneticPr fontId="134" type="noConversion"/>
  </si>
  <si>
    <t>长安天街</t>
    <phoneticPr fontId="134" type="noConversion"/>
  </si>
  <si>
    <t>北京盛懋生态园林工程有限公司</t>
    <phoneticPr fontId="6" type="noConversion"/>
  </si>
  <si>
    <t>《不动产权证书》</t>
    <phoneticPr fontId="6" type="noConversion"/>
  </si>
  <si>
    <t>远洋长安国际中心</t>
    <phoneticPr fontId="3" type="noConversion"/>
  </si>
  <si>
    <t>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</si>
</sst>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77" fillId="5" borderId="23"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66675</xdr:rowOff>
    </xdr:from>
    <xdr:to>
      <xdr:col>9</xdr:col>
      <xdr:colOff>148982</xdr:colOff>
      <xdr:row>39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52625"/>
          <a:ext cx="6321182" cy="4733925"/>
        </a:xfrm>
        <a:prstGeom prst="rect">
          <a:avLst/>
        </a:prstGeom>
      </xdr:spPr>
    </xdr:pic>
    <xdr:clientData/>
  </xdr:twoCellAnchor>
  <xdr:twoCellAnchor editAs="oneCell">
    <xdr:from>
      <xdr:col>11</xdr:col>
      <xdr:colOff>0</xdr:colOff>
      <xdr:row>11</xdr:row>
      <xdr:rowOff>0</xdr:rowOff>
    </xdr:from>
    <xdr:to>
      <xdr:col>21</xdr:col>
      <xdr:colOff>475334</xdr:colOff>
      <xdr:row>32</xdr:row>
      <xdr:rowOff>75741</xdr:rowOff>
    </xdr:to>
    <xdr:pic>
      <xdr:nvPicPr>
        <xdr:cNvPr id="5" name="图片 4"/>
        <xdr:cNvPicPr>
          <a:picLocks noChangeAspect="1"/>
        </xdr:cNvPicPr>
      </xdr:nvPicPr>
      <xdr:blipFill>
        <a:blip xmlns:r="http://schemas.openxmlformats.org/officeDocument/2006/relationships" r:embed="rId2"/>
        <a:stretch>
          <a:fillRect/>
        </a:stretch>
      </xdr:blipFill>
      <xdr:spPr>
        <a:xfrm>
          <a:off x="7543800" y="1885950"/>
          <a:ext cx="7333334" cy="3676191"/>
        </a:xfrm>
        <a:prstGeom prst="rect">
          <a:avLst/>
        </a:prstGeom>
      </xdr:spPr>
    </xdr:pic>
    <xdr:clientData/>
  </xdr:twoCellAnchor>
  <xdr:twoCellAnchor editAs="oneCell">
    <xdr:from>
      <xdr:col>0</xdr:col>
      <xdr:colOff>0</xdr:colOff>
      <xdr:row>98</xdr:row>
      <xdr:rowOff>0</xdr:rowOff>
    </xdr:from>
    <xdr:to>
      <xdr:col>3</xdr:col>
      <xdr:colOff>542600</xdr:colOff>
      <xdr:row>100</xdr:row>
      <xdr:rowOff>114243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6802100"/>
          <a:ext cx="2600000" cy="457143"/>
        </a:xfrm>
        <a:prstGeom prst="rect">
          <a:avLst/>
        </a:prstGeom>
      </xdr:spPr>
    </xdr:pic>
    <xdr:clientData/>
  </xdr:twoCellAnchor>
  <xdr:twoCellAnchor editAs="oneCell">
    <xdr:from>
      <xdr:col>0</xdr:col>
      <xdr:colOff>0</xdr:colOff>
      <xdr:row>101</xdr:row>
      <xdr:rowOff>0</xdr:rowOff>
    </xdr:from>
    <xdr:to>
      <xdr:col>23</xdr:col>
      <xdr:colOff>493268</xdr:colOff>
      <xdr:row>119</xdr:row>
      <xdr:rowOff>132948</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7316450"/>
          <a:ext cx="16266668" cy="3219048"/>
        </a:xfrm>
        <a:prstGeom prst="rect">
          <a:avLst/>
        </a:prstGeom>
      </xdr:spPr>
    </xdr:pic>
    <xdr:clientData/>
  </xdr:twoCellAnchor>
  <xdr:twoCellAnchor editAs="oneCell">
    <xdr:from>
      <xdr:col>0</xdr:col>
      <xdr:colOff>0</xdr:colOff>
      <xdr:row>120</xdr:row>
      <xdr:rowOff>0</xdr:rowOff>
    </xdr:from>
    <xdr:to>
      <xdr:col>16</xdr:col>
      <xdr:colOff>646248</xdr:colOff>
      <xdr:row>135</xdr:row>
      <xdr:rowOff>37774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20574000"/>
          <a:ext cx="11619048" cy="2609524"/>
        </a:xfrm>
        <a:prstGeom prst="rect">
          <a:avLst/>
        </a:prstGeom>
      </xdr:spPr>
    </xdr:pic>
    <xdr:clientData/>
  </xdr:twoCellAnchor>
  <xdr:twoCellAnchor editAs="oneCell">
    <xdr:from>
      <xdr:col>0</xdr:col>
      <xdr:colOff>28575</xdr:colOff>
      <xdr:row>39</xdr:row>
      <xdr:rowOff>9525</xdr:rowOff>
    </xdr:from>
    <xdr:to>
      <xdr:col>9</xdr:col>
      <xdr:colOff>16394</xdr:colOff>
      <xdr:row>66</xdr:row>
      <xdr:rowOff>122985</xdr:rowOff>
    </xdr:to>
    <xdr:pic>
      <xdr:nvPicPr>
        <xdr:cNvPr id="9" name="图片 8"/>
        <xdr:cNvPicPr>
          <a:picLocks noChangeAspect="1"/>
        </xdr:cNvPicPr>
      </xdr:nvPicPr>
      <xdr:blipFill>
        <a:blip xmlns:r="http://schemas.openxmlformats.org/officeDocument/2006/relationships" r:embed="rId6"/>
        <a:stretch>
          <a:fillRect/>
        </a:stretch>
      </xdr:blipFill>
      <xdr:spPr>
        <a:xfrm>
          <a:off x="28575" y="6696075"/>
          <a:ext cx="6160019" cy="4742610"/>
        </a:xfrm>
        <a:prstGeom prst="rect">
          <a:avLst/>
        </a:prstGeom>
      </xdr:spPr>
    </xdr:pic>
    <xdr:clientData/>
  </xdr:twoCellAnchor>
  <xdr:twoCellAnchor editAs="oneCell">
    <xdr:from>
      <xdr:col>0</xdr:col>
      <xdr:colOff>0</xdr:colOff>
      <xdr:row>67</xdr:row>
      <xdr:rowOff>38099</xdr:rowOff>
    </xdr:from>
    <xdr:to>
      <xdr:col>10</xdr:col>
      <xdr:colOff>101154</xdr:colOff>
      <xdr:row>98</xdr:row>
      <xdr:rowOff>65836</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1525249"/>
          <a:ext cx="6959154" cy="5342687"/>
        </a:xfrm>
        <a:prstGeom prst="rect">
          <a:avLst/>
        </a:prstGeom>
      </xdr:spPr>
    </xdr:pic>
    <xdr:clientData/>
  </xdr:twoCellAnchor>
  <xdr:twoCellAnchor editAs="oneCell">
    <xdr:from>
      <xdr:col>11</xdr:col>
      <xdr:colOff>0</xdr:colOff>
      <xdr:row>33</xdr:row>
      <xdr:rowOff>0</xdr:rowOff>
    </xdr:from>
    <xdr:to>
      <xdr:col>22</xdr:col>
      <xdr:colOff>208581</xdr:colOff>
      <xdr:row>56</xdr:row>
      <xdr:rowOff>104269</xdr:rowOff>
    </xdr:to>
    <xdr:pic>
      <xdr:nvPicPr>
        <xdr:cNvPr id="3" name="图片 2"/>
        <xdr:cNvPicPr>
          <a:picLocks noChangeAspect="1"/>
        </xdr:cNvPicPr>
      </xdr:nvPicPr>
      <xdr:blipFill>
        <a:blip xmlns:r="http://schemas.openxmlformats.org/officeDocument/2006/relationships" r:embed="rId8"/>
        <a:stretch>
          <a:fillRect/>
        </a:stretch>
      </xdr:blipFill>
      <xdr:spPr>
        <a:xfrm>
          <a:off x="7543800" y="5657850"/>
          <a:ext cx="7752381" cy="4047619"/>
        </a:xfrm>
        <a:prstGeom prst="rect">
          <a:avLst/>
        </a:prstGeom>
      </xdr:spPr>
    </xdr:pic>
    <xdr:clientData/>
  </xdr:twoCellAnchor>
  <xdr:twoCellAnchor editAs="oneCell">
    <xdr:from>
      <xdr:col>11</xdr:col>
      <xdr:colOff>0</xdr:colOff>
      <xdr:row>58</xdr:row>
      <xdr:rowOff>0</xdr:rowOff>
    </xdr:from>
    <xdr:to>
      <xdr:col>22</xdr:col>
      <xdr:colOff>256201</xdr:colOff>
      <xdr:row>87</xdr:row>
      <xdr:rowOff>132712</xdr:rowOff>
    </xdr:to>
    <xdr:pic>
      <xdr:nvPicPr>
        <xdr:cNvPr id="4" name="图片 3"/>
        <xdr:cNvPicPr>
          <a:picLocks noChangeAspect="1"/>
        </xdr:cNvPicPr>
      </xdr:nvPicPr>
      <xdr:blipFill>
        <a:blip xmlns:r="http://schemas.openxmlformats.org/officeDocument/2006/relationships" r:embed="rId9"/>
        <a:stretch>
          <a:fillRect/>
        </a:stretch>
      </xdr:blipFill>
      <xdr:spPr>
        <a:xfrm>
          <a:off x="7543800" y="9944100"/>
          <a:ext cx="7800001" cy="5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北京市门头沟区金沙西街17号院1号楼7层701房地产抵押价值预评估</v>
      </c>
    </row>
    <row r="3" spans="1:2" s="1203" customFormat="1">
      <c r="A3" s="1201" t="s">
        <v>523</v>
      </c>
      <c r="B3" s="1202" t="str">
        <f>'预评函-封皮'!B40</f>
        <v>光大</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受贵公司委托，我公司对北京市门头沟区金沙西街17号院1号楼7层701房地产抵押价值进行了预评估。</v>
      </c>
    </row>
    <row r="7" spans="1:2" s="1203" customFormat="1">
      <c r="A7" s="1201" t="s">
        <v>566</v>
      </c>
      <c r="B7" s="1202" t="str">
        <f>'预评函-1'!A7</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盛懋生态园林工程有限公司拟使用北京市门头沟区金沙西街17号院1号楼7层701房地产作为抵押担保物，向光大办理贷款手续。光大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2023年2月21日（评估专业人员实地查勘之日）</v>
      </c>
    </row>
    <row r="13" spans="1:2" s="1203" customFormat="1">
      <c r="A13" s="1201" t="s">
        <v>529</v>
      </c>
      <c r="B13" s="1202"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2004</v>
      </c>
    </row>
    <row r="21" spans="1:2" s="1203" customFormat="1">
      <c r="A21" s="1201" t="s">
        <v>537</v>
      </c>
      <c r="B21" s="1202">
        <f ca="1">'预评函-2'!D7</f>
        <v>18132</v>
      </c>
    </row>
    <row r="22" spans="1:2" s="1203" customFormat="1">
      <c r="A22" s="1201" t="s">
        <v>538</v>
      </c>
      <c r="B22" s="1202" t="str">
        <f ca="1">'预评函-2'!D6</f>
        <v>贰仟零肆万元整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2004</v>
      </c>
    </row>
    <row r="31" spans="1:2" s="1203" customFormat="1">
      <c r="A31" s="1201" t="s">
        <v>576</v>
      </c>
      <c r="B31" s="1202">
        <f ca="1">'预评函-2'!D15</f>
        <v>18132</v>
      </c>
    </row>
    <row r="32" spans="1:2" s="1203" customFormat="1">
      <c r="A32" s="1201" t="s">
        <v>543</v>
      </c>
      <c r="B32" s="1202" t="str">
        <f ca="1">'预评函-2'!D14</f>
        <v>贰仟零肆万元整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北京市门头沟区金沙西街17号院1号楼7层701房地产</v>
      </c>
    </row>
    <row r="42" spans="1:2" s="1203" customFormat="1">
      <c r="A42" s="1201" t="s">
        <v>590</v>
      </c>
      <c r="B42" s="1202" t="str">
        <f>'预评函-3'!B2</f>
        <v>建筑面积</v>
      </c>
    </row>
    <row r="43" spans="1:2" s="1203" customFormat="1">
      <c r="A43" s="1201" t="s">
        <v>591</v>
      </c>
      <c r="B43" s="1202">
        <f>'预评函-3'!B4</f>
        <v>1105.3800000000001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2572</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2573</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2285</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为估价委托人在向光大办理贷款手续过程中，确定房地产抵押贷款额度提供参考依据而评估房地产抵押价值。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盛懋生态园林工程有限公司拟使用北京市门头沟区金沙西街17号院1号楼7层701房地产作为抵押担保物，向光大办理贷款手续。光大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2495</v>
      </c>
      <c r="B1" s="3008"/>
      <c r="C1" s="3008"/>
      <c r="D1" s="3008"/>
      <c r="E1" s="3008"/>
      <c r="F1" s="3009"/>
      <c r="I1" s="3431" t="s">
        <v>2588</v>
      </c>
      <c r="J1" s="3220"/>
      <c r="K1" s="3220"/>
      <c r="L1" s="3220"/>
      <c r="M1" s="3220"/>
      <c r="N1" s="3432"/>
      <c r="O1" s="3432"/>
      <c r="P1" s="3432"/>
      <c r="Q1" s="3432"/>
      <c r="R1" s="3432"/>
    </row>
    <row r="2" spans="1:18">
      <c r="A2" s="3011"/>
      <c r="B2" s="3012"/>
      <c r="C2" s="3012"/>
      <c r="D2" s="3012"/>
      <c r="E2" s="3012"/>
      <c r="F2" s="3013"/>
      <c r="I2" s="3499" t="s">
        <v>2575</v>
      </c>
      <c r="J2" s="3499"/>
      <c r="K2" s="3499"/>
      <c r="L2" s="3499"/>
      <c r="M2" s="3499"/>
      <c r="N2" s="3499"/>
      <c r="O2" s="3499"/>
      <c r="P2" s="3499"/>
      <c r="Q2" s="3499"/>
      <c r="R2" s="3499"/>
    </row>
    <row r="3" spans="1:18">
      <c r="A3" s="3014" t="s">
        <v>2496</v>
      </c>
      <c r="B3" s="3015">
        <f>项目基本情况!D3</f>
        <v>44978</v>
      </c>
      <c r="C3" s="3017"/>
      <c r="D3" s="3017"/>
      <c r="E3" s="3017"/>
      <c r="F3" s="3013"/>
      <c r="I3" s="3433"/>
      <c r="J3" s="3433" t="s">
        <v>2579</v>
      </c>
      <c r="K3" s="3433" t="s">
        <v>2580</v>
      </c>
      <c r="L3" s="3433" t="s">
        <v>2581</v>
      </c>
      <c r="M3" s="3433" t="s">
        <v>2582</v>
      </c>
      <c r="N3" s="3434" t="s">
        <v>2583</v>
      </c>
      <c r="O3" s="3434" t="s">
        <v>2584</v>
      </c>
      <c r="P3" s="3434" t="s">
        <v>2585</v>
      </c>
      <c r="Q3" s="3434" t="s">
        <v>2586</v>
      </c>
      <c r="R3" s="3434" t="s">
        <v>2587</v>
      </c>
    </row>
    <row r="4" spans="1:18">
      <c r="A4" s="3014" t="s">
        <v>2497</v>
      </c>
      <c r="B4" s="3017" t="s">
        <v>2498</v>
      </c>
      <c r="C4" s="3017" t="s">
        <v>2499</v>
      </c>
      <c r="D4" s="3017" t="s">
        <v>2500</v>
      </c>
      <c r="E4" s="3017" t="s">
        <v>2501</v>
      </c>
      <c r="F4" s="3013"/>
      <c r="I4" s="3433" t="s">
        <v>2576</v>
      </c>
      <c r="J4" s="3433">
        <v>80</v>
      </c>
      <c r="K4" s="3433">
        <v>70</v>
      </c>
      <c r="L4" s="3433">
        <v>20</v>
      </c>
      <c r="M4" s="3433">
        <v>30</v>
      </c>
      <c r="N4" s="3017">
        <v>45</v>
      </c>
      <c r="O4" s="3017">
        <v>60</v>
      </c>
      <c r="P4" s="3017">
        <v>50</v>
      </c>
      <c r="Q4" s="3017">
        <v>20</v>
      </c>
      <c r="R4" s="3017">
        <v>375</v>
      </c>
    </row>
    <row r="5" spans="1:18">
      <c r="A5" s="3018">
        <v>40</v>
      </c>
      <c r="B5" s="3015">
        <v>46375</v>
      </c>
      <c r="C5" s="3017">
        <f>ROUNDDOWN(MIN((B5-B3)/365,A5),2)</f>
        <v>3.82</v>
      </c>
      <c r="D5" s="3019">
        <f>IF(ISERROR(ROUND(POWER(1+E5,A5-C5)*(POWER(1+E5,C5)-1)/(POWER(1+E5,A5)-1),3)),0,ROUND(POWER(1+E5,A5-C5)*(POWER(1+E5,C5)-1)/(POWER(1+E5,A5)-1),4))</f>
        <v>0.1757</v>
      </c>
      <c r="E5" s="3020">
        <v>0.04</v>
      </c>
      <c r="F5" s="3013"/>
      <c r="I5" s="3433" t="s">
        <v>2577</v>
      </c>
      <c r="J5" s="3433">
        <v>70</v>
      </c>
      <c r="K5" s="3433">
        <v>60</v>
      </c>
      <c r="L5" s="3433">
        <v>15</v>
      </c>
      <c r="M5" s="3433">
        <v>25</v>
      </c>
      <c r="N5" s="3017">
        <v>40</v>
      </c>
      <c r="O5" s="3017">
        <v>50</v>
      </c>
      <c r="P5" s="3017">
        <v>40</v>
      </c>
      <c r="Q5" s="3017">
        <v>15</v>
      </c>
      <c r="R5" s="3017">
        <v>315</v>
      </c>
    </row>
    <row r="6" spans="1:18">
      <c r="A6" s="3018">
        <v>50</v>
      </c>
      <c r="B6" s="3015">
        <v>50028</v>
      </c>
      <c r="C6" s="3017">
        <f>ROUNDDOWN(MIN((B6-B3)/365,A6),2)</f>
        <v>13.83</v>
      </c>
      <c r="D6" s="3019">
        <f>IF(ISERROR(ROUND(POWER(1+E6,A6-C6)*(POWER(1+E6,C6)-1)/(POWER(1+E6,A6)-1),3)),0,ROUND(POWER(1+E6,A6-C6)*(POWER(1+E6,C6)-1)/(POWER(1+E6,A6)-1),4))</f>
        <v>0.48720000000000002</v>
      </c>
      <c r="E6" s="3020">
        <v>0.04</v>
      </c>
      <c r="F6" s="3013"/>
      <c r="I6" s="3433" t="s">
        <v>2578</v>
      </c>
      <c r="J6" s="3433">
        <v>60</v>
      </c>
      <c r="K6" s="3433">
        <v>50</v>
      </c>
      <c r="L6" s="3433">
        <v>10</v>
      </c>
      <c r="M6" s="3433">
        <v>20</v>
      </c>
      <c r="N6" s="3017">
        <v>35</v>
      </c>
      <c r="O6" s="3017">
        <v>40</v>
      </c>
      <c r="P6" s="3017">
        <v>30</v>
      </c>
      <c r="Q6" s="3017">
        <v>10</v>
      </c>
      <c r="R6" s="3017">
        <v>255</v>
      </c>
    </row>
    <row r="7" spans="1:18">
      <c r="A7" s="3018">
        <v>70</v>
      </c>
      <c r="B7" s="3015">
        <v>57333</v>
      </c>
      <c r="C7" s="3017">
        <f>ROUNDDOWN(MIN((B7-B3)/365,A7),2)</f>
        <v>33.840000000000003</v>
      </c>
      <c r="D7" s="3019">
        <f>IF(ISERROR(ROUND(POWER(1+E7,A7-C7)*(POWER(1+E7,C7)-1)/(POWER(1+E7,A7)-1),3)),0,ROUND(POWER(1+E7,A7-C7)*(POWER(1+E7,C7)-1)/(POWER(1+E7,A7)-1),4))</f>
        <v>0.78520000000000001</v>
      </c>
      <c r="E7" s="3020">
        <v>0.04</v>
      </c>
      <c r="F7" s="3013"/>
    </row>
    <row r="8" spans="1:18">
      <c r="A8" s="3011"/>
      <c r="B8" s="3012"/>
      <c r="C8" s="3012"/>
      <c r="D8" s="3012"/>
      <c r="E8" s="3012"/>
      <c r="F8" s="3013"/>
    </row>
    <row r="9" spans="1:18">
      <c r="A9" s="3014" t="s">
        <v>2502</v>
      </c>
      <c r="B9" s="3017"/>
      <c r="C9" s="3017"/>
      <c r="D9" s="3017"/>
      <c r="E9" s="3017"/>
      <c r="F9" s="3021"/>
    </row>
    <row r="10" spans="1:18">
      <c r="A10" s="3014" t="s">
        <v>2503</v>
      </c>
      <c r="B10" s="3017"/>
      <c r="C10" s="3017"/>
      <c r="D10" s="3017" t="s">
        <v>2501</v>
      </c>
      <c r="E10" s="3017"/>
      <c r="F10" s="3021" t="s">
        <v>2500</v>
      </c>
    </row>
    <row r="11" spans="1:18">
      <c r="A11" s="3014" t="s">
        <v>2504</v>
      </c>
      <c r="B11" s="3022">
        <v>70</v>
      </c>
      <c r="C11" s="3017" t="s">
        <v>2505</v>
      </c>
      <c r="D11" s="3023">
        <v>4.4999999999999998E-2</v>
      </c>
      <c r="E11" s="3017" t="s">
        <v>2506</v>
      </c>
      <c r="F11" s="3024">
        <f>ROUND(1-(1/(POWER(1+D11,B11))),4)</f>
        <v>0.95409999999999995</v>
      </c>
    </row>
    <row r="12" spans="1:18">
      <c r="A12" s="3014" t="s">
        <v>2507</v>
      </c>
      <c r="B12" s="3022">
        <v>40</v>
      </c>
      <c r="C12" s="3017" t="s">
        <v>2508</v>
      </c>
      <c r="D12" s="3023">
        <v>4.4999999999999998E-2</v>
      </c>
      <c r="E12" s="3017" t="s">
        <v>2509</v>
      </c>
      <c r="F12" s="3024">
        <f>ROUND(1-(1/(POWER(1+D12,B12))),4)</f>
        <v>0.82809999999999995</v>
      </c>
    </row>
    <row r="13" spans="1:18">
      <c r="A13" s="3014" t="s">
        <v>2510</v>
      </c>
      <c r="B13" s="3017"/>
      <c r="C13" s="3017"/>
      <c r="D13" s="3012"/>
      <c r="E13" s="3012"/>
      <c r="F13" s="3013"/>
    </row>
    <row r="14" spans="1:18">
      <c r="A14" s="3014" t="s">
        <v>2511</v>
      </c>
      <c r="B14" s="3022">
        <v>5000</v>
      </c>
      <c r="C14" s="3016"/>
      <c r="D14" s="3012"/>
      <c r="E14" s="3012"/>
      <c r="F14" s="3013"/>
    </row>
    <row r="15" spans="1:18">
      <c r="A15" s="3014" t="s">
        <v>2512</v>
      </c>
      <c r="B15" s="3017">
        <f>ROUND(B14*F12/F11,2)</f>
        <v>4339.6899999999996</v>
      </c>
      <c r="C15" s="3017">
        <f>ROUND(F12/F11,4)</f>
        <v>0.8679</v>
      </c>
      <c r="D15" s="3012"/>
      <c r="E15" s="3012"/>
      <c r="F15" s="3013"/>
    </row>
    <row r="16" spans="1:18">
      <c r="A16" s="3014" t="s">
        <v>2513</v>
      </c>
      <c r="B16" s="3017"/>
      <c r="C16" s="3017"/>
      <c r="D16" s="3012"/>
      <c r="E16" s="3012"/>
      <c r="F16" s="3013"/>
    </row>
    <row r="17" spans="1:13">
      <c r="A17" s="3014" t="s">
        <v>2512</v>
      </c>
      <c r="B17" s="3023">
        <v>4810</v>
      </c>
      <c r="C17" s="3016"/>
      <c r="D17" s="3012"/>
      <c r="E17" s="3012"/>
      <c r="F17" s="3013"/>
    </row>
    <row r="18" spans="1:13" ht="14.25" thickBot="1">
      <c r="A18" s="3025" t="s">
        <v>2511</v>
      </c>
      <c r="B18" s="3026">
        <f>ROUND(B17*F11/F12,2)</f>
        <v>5541.87</v>
      </c>
      <c r="C18" s="3026">
        <f>ROUND(F11/F12,4)</f>
        <v>1.1521999999999999</v>
      </c>
      <c r="D18" s="3027"/>
      <c r="E18" s="3027"/>
      <c r="F18" s="3028"/>
    </row>
    <row r="19" spans="1:13" ht="14.25" thickBot="1"/>
    <row r="20" spans="1:13" s="3063" customFormat="1" ht="14.25" thickTop="1">
      <c r="A20" s="3060" t="s">
        <v>2514</v>
      </c>
      <c r="B20" s="3061"/>
      <c r="C20" s="3061"/>
      <c r="D20" s="3061"/>
      <c r="E20" s="3061"/>
      <c r="F20" s="3061"/>
      <c r="G20" s="3062"/>
      <c r="I20" s="3064" t="s">
        <v>2559</v>
      </c>
      <c r="J20" s="3064" t="s">
        <v>2564</v>
      </c>
      <c r="K20" s="3064"/>
      <c r="L20" s="3064"/>
      <c r="M20" s="3064"/>
    </row>
    <row r="21" spans="1:13">
      <c r="A21" s="3029"/>
      <c r="B21" s="3030" t="s">
        <v>2515</v>
      </c>
      <c r="C21" s="3030" t="s">
        <v>2516</v>
      </c>
      <c r="D21" s="3030" t="s">
        <v>2517</v>
      </c>
      <c r="E21" s="3030" t="s">
        <v>2518</v>
      </c>
      <c r="F21" s="3030" t="s">
        <v>2519</v>
      </c>
      <c r="G21" s="3031" t="s">
        <v>2520</v>
      </c>
      <c r="I21" s="3052">
        <v>5</v>
      </c>
      <c r="J21" s="3052">
        <v>54.2</v>
      </c>
    </row>
    <row r="22" spans="1:13">
      <c r="A22" s="3029" t="s">
        <v>2521</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2522</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2562</v>
      </c>
      <c r="M23" s="3052" t="s">
        <v>2563</v>
      </c>
    </row>
    <row r="24" spans="1:13">
      <c r="A24" s="3029" t="s">
        <v>2523</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2561</v>
      </c>
      <c r="M24" s="3052">
        <v>10</v>
      </c>
    </row>
    <row r="25" spans="1:13">
      <c r="A25" s="3029" t="s">
        <v>2524</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2565</v>
      </c>
      <c r="M25" s="3052">
        <v>8</v>
      </c>
    </row>
    <row r="26" spans="1:13">
      <c r="A26" s="3034"/>
      <c r="B26" s="3035"/>
      <c r="C26" s="3035"/>
      <c r="D26" s="3035"/>
      <c r="E26" s="3035"/>
      <c r="F26" s="3035"/>
      <c r="G26" s="3036"/>
      <c r="I26" s="3052">
        <v>30</v>
      </c>
      <c r="J26" s="3052">
        <v>90.5</v>
      </c>
      <c r="K26" s="3052">
        <f t="shared" si="2"/>
        <v>4.2000000000000028</v>
      </c>
      <c r="L26" s="3052" t="s">
        <v>2566</v>
      </c>
      <c r="M26" s="3052">
        <v>5</v>
      </c>
    </row>
    <row r="27" spans="1:13">
      <c r="A27" s="3034" t="s">
        <v>2525</v>
      </c>
      <c r="B27" s="3035"/>
      <c r="C27" s="3035"/>
      <c r="D27" s="3035"/>
      <c r="E27" s="3035"/>
      <c r="F27" s="3035"/>
      <c r="G27" s="3036"/>
      <c r="I27" s="3052">
        <v>35</v>
      </c>
      <c r="J27" s="3052">
        <v>93.8</v>
      </c>
      <c r="K27" s="3052">
        <f t="shared" si="2"/>
        <v>3.2999999999999972</v>
      </c>
      <c r="L27" s="3052" t="s">
        <v>2567</v>
      </c>
      <c r="M27" s="3052">
        <v>3</v>
      </c>
    </row>
    <row r="28" spans="1:13">
      <c r="A28" s="3034" t="s">
        <v>2526</v>
      </c>
      <c r="B28" s="3035"/>
      <c r="C28" s="3035"/>
      <c r="D28" s="3035"/>
      <c r="E28" s="3035"/>
      <c r="F28" s="3035"/>
      <c r="G28" s="3036"/>
      <c r="I28" s="3052">
        <v>40</v>
      </c>
      <c r="J28" s="3052">
        <v>96.4</v>
      </c>
      <c r="K28" s="3052">
        <f t="shared" si="2"/>
        <v>2.6000000000000085</v>
      </c>
      <c r="L28" s="3052" t="s">
        <v>2568</v>
      </c>
      <c r="M28" s="3052">
        <v>2</v>
      </c>
    </row>
    <row r="29" spans="1:13">
      <c r="A29" s="3034" t="s">
        <v>2527</v>
      </c>
      <c r="B29" s="3035"/>
      <c r="C29" s="3035"/>
      <c r="D29" s="3035"/>
      <c r="E29" s="3035"/>
      <c r="F29" s="3035"/>
      <c r="G29" s="3036"/>
      <c r="I29" s="3052">
        <v>45</v>
      </c>
      <c r="J29" s="3052">
        <v>98.4</v>
      </c>
      <c r="K29" s="3052">
        <f t="shared" si="2"/>
        <v>2</v>
      </c>
    </row>
    <row r="30" spans="1:13">
      <c r="A30" s="3034" t="s">
        <v>2528</v>
      </c>
      <c r="B30" s="3035"/>
      <c r="C30" s="3035"/>
      <c r="D30" s="3035"/>
      <c r="E30" s="3035"/>
      <c r="F30" s="3035"/>
      <c r="G30" s="3036"/>
      <c r="I30" s="3052">
        <v>50</v>
      </c>
      <c r="J30" s="3052">
        <v>100</v>
      </c>
      <c r="K30" s="3052">
        <f t="shared" si="2"/>
        <v>1.5999999999999943</v>
      </c>
    </row>
    <row r="31" spans="1:13">
      <c r="A31" s="3034" t="s">
        <v>2529</v>
      </c>
      <c r="B31" s="3035"/>
      <c r="C31" s="3035"/>
      <c r="D31" s="3035"/>
      <c r="E31" s="3035"/>
      <c r="F31" s="3035"/>
      <c r="G31" s="3036"/>
      <c r="I31" s="3052" t="s">
        <v>2560</v>
      </c>
    </row>
    <row r="32" spans="1:13">
      <c r="A32" s="3034" t="s">
        <v>2530</v>
      </c>
      <c r="B32" s="3035"/>
      <c r="C32" s="3035"/>
      <c r="D32" s="3035"/>
      <c r="E32" s="3035"/>
      <c r="F32" s="3035"/>
      <c r="G32" s="3036"/>
    </row>
    <row r="33" spans="1:13">
      <c r="A33" s="3034" t="s">
        <v>2531</v>
      </c>
      <c r="B33" s="3035"/>
      <c r="C33" s="3035"/>
      <c r="D33" s="3035"/>
      <c r="E33" s="3035"/>
      <c r="F33" s="3035"/>
      <c r="G33" s="3036"/>
      <c r="I33" s="3052" t="s">
        <v>2559</v>
      </c>
      <c r="J33" s="3052" t="s">
        <v>2569</v>
      </c>
    </row>
    <row r="34" spans="1:13">
      <c r="A34" s="3034" t="s">
        <v>2532</v>
      </c>
      <c r="B34" s="3035"/>
      <c r="C34" s="3035"/>
      <c r="D34" s="3035"/>
      <c r="E34" s="3035"/>
      <c r="F34" s="3035"/>
      <c r="G34" s="3036"/>
      <c r="I34" s="3052">
        <v>5</v>
      </c>
      <c r="J34" s="3052">
        <v>55.1</v>
      </c>
    </row>
    <row r="35" spans="1:13">
      <c r="A35" s="3034" t="s">
        <v>2533</v>
      </c>
      <c r="B35" s="3035"/>
      <c r="C35" s="3035"/>
      <c r="D35" s="3035"/>
      <c r="E35" s="3035"/>
      <c r="F35" s="3035"/>
      <c r="G35" s="3036"/>
      <c r="I35" s="3052">
        <v>10</v>
      </c>
      <c r="J35" s="3052">
        <v>67</v>
      </c>
      <c r="K35" s="3052">
        <f>J35-J34</f>
        <v>11.899999999999999</v>
      </c>
    </row>
    <row r="36" spans="1:13">
      <c r="A36" s="3034" t="s">
        <v>2534</v>
      </c>
      <c r="B36" s="3035"/>
      <c r="C36" s="3035"/>
      <c r="D36" s="3035"/>
      <c r="E36" s="3035"/>
      <c r="F36" s="3035"/>
      <c r="G36" s="3036"/>
      <c r="I36" s="3052">
        <v>15</v>
      </c>
      <c r="J36" s="3052">
        <v>76.3</v>
      </c>
      <c r="K36" s="3052">
        <f t="shared" ref="K36:K41" si="3">J36-J35</f>
        <v>9.2999999999999972</v>
      </c>
      <c r="L36" s="3052" t="s">
        <v>2562</v>
      </c>
      <c r="M36" s="3052" t="s">
        <v>2563</v>
      </c>
    </row>
    <row r="37" spans="1:13">
      <c r="A37" s="3034" t="s">
        <v>2535</v>
      </c>
      <c r="B37" s="3035"/>
      <c r="C37" s="3035"/>
      <c r="D37" s="3035"/>
      <c r="E37" s="3035"/>
      <c r="F37" s="3035"/>
      <c r="G37" s="3036"/>
      <c r="I37" s="3052">
        <v>20</v>
      </c>
      <c r="J37" s="3052">
        <v>83.6</v>
      </c>
      <c r="K37" s="3052">
        <f t="shared" si="3"/>
        <v>7.2999999999999972</v>
      </c>
      <c r="L37" s="3052" t="s">
        <v>2561</v>
      </c>
      <c r="M37" s="3052">
        <v>10</v>
      </c>
    </row>
    <row r="38" spans="1:13">
      <c r="A38" s="3034" t="s">
        <v>2536</v>
      </c>
      <c r="B38" s="3035"/>
      <c r="C38" s="3035"/>
      <c r="D38" s="3035"/>
      <c r="E38" s="3035"/>
      <c r="F38" s="3035"/>
      <c r="G38" s="3036"/>
      <c r="I38" s="3052">
        <v>25</v>
      </c>
      <c r="J38" s="3052">
        <v>89.3</v>
      </c>
      <c r="K38" s="3052">
        <f t="shared" si="3"/>
        <v>5.7000000000000028</v>
      </c>
      <c r="L38" s="3052" t="s">
        <v>2565</v>
      </c>
      <c r="M38" s="3052">
        <v>8</v>
      </c>
    </row>
    <row r="39" spans="1:13">
      <c r="A39" s="3034"/>
      <c r="B39" s="3035"/>
      <c r="C39" s="3035"/>
      <c r="D39" s="3035"/>
      <c r="E39" s="3035"/>
      <c r="F39" s="3035"/>
      <c r="G39" s="3036"/>
      <c r="I39" s="3052">
        <v>30</v>
      </c>
      <c r="J39" s="3052">
        <v>93.8</v>
      </c>
      <c r="K39" s="3052">
        <f t="shared" si="3"/>
        <v>4.5</v>
      </c>
      <c r="L39" s="3052" t="s">
        <v>2566</v>
      </c>
      <c r="M39" s="3052">
        <v>6</v>
      </c>
    </row>
    <row r="40" spans="1:13">
      <c r="A40" s="3037" t="s">
        <v>2537</v>
      </c>
      <c r="B40" s="3038"/>
      <c r="C40" s="3038"/>
      <c r="D40" s="3038"/>
      <c r="E40" s="3038"/>
      <c r="F40" s="3038"/>
      <c r="G40" s="3039"/>
      <c r="I40" s="3052">
        <v>35</v>
      </c>
      <c r="J40" s="3052">
        <v>97.2</v>
      </c>
      <c r="K40" s="3052">
        <f t="shared" si="3"/>
        <v>3.4000000000000057</v>
      </c>
      <c r="L40" s="3052" t="s">
        <v>2567</v>
      </c>
      <c r="M40" s="3052">
        <v>3</v>
      </c>
    </row>
    <row r="41" spans="1:13">
      <c r="A41" s="3040" t="s">
        <v>2538</v>
      </c>
      <c r="B41" s="3041" t="s">
        <v>2539</v>
      </c>
      <c r="C41" s="3042" t="s">
        <v>2540</v>
      </c>
      <c r="D41" s="3042" t="s">
        <v>2541</v>
      </c>
      <c r="E41" s="3043"/>
      <c r="F41" s="3044"/>
      <c r="G41" s="3045"/>
      <c r="I41" s="3052">
        <v>40</v>
      </c>
      <c r="J41" s="3052">
        <v>100</v>
      </c>
      <c r="K41" s="3052">
        <f t="shared" si="3"/>
        <v>2.7999999999999972</v>
      </c>
    </row>
    <row r="42" spans="1:13">
      <c r="A42" s="3040" t="s">
        <v>2542</v>
      </c>
      <c r="B42" s="3041" t="s">
        <v>2543</v>
      </c>
      <c r="C42" s="3042" t="s">
        <v>2544</v>
      </c>
      <c r="D42" s="3046" t="s">
        <v>2545</v>
      </c>
      <c r="E42" s="3038" t="s">
        <v>2546</v>
      </c>
      <c r="F42" s="3038"/>
      <c r="G42" s="3039"/>
    </row>
    <row r="43" spans="1:13">
      <c r="A43" s="3040" t="s">
        <v>2547</v>
      </c>
      <c r="B43" s="3041" t="s">
        <v>2548</v>
      </c>
      <c r="C43" s="3042" t="s">
        <v>2549</v>
      </c>
      <c r="D43" s="3042" t="s">
        <v>2550</v>
      </c>
      <c r="E43" s="3043" t="s">
        <v>2551</v>
      </c>
      <c r="F43" s="3044"/>
      <c r="G43" s="3045"/>
      <c r="I43" s="3052" t="s">
        <v>2559</v>
      </c>
      <c r="J43" s="3052" t="s">
        <v>2570</v>
      </c>
    </row>
    <row r="44" spans="1:13">
      <c r="A44" s="3040" t="s">
        <v>2552</v>
      </c>
      <c r="B44" s="3041" t="s">
        <v>2553</v>
      </c>
      <c r="C44" s="3042" t="s">
        <v>2554</v>
      </c>
      <c r="D44" s="3046">
        <v>0.5</v>
      </c>
      <c r="E44" s="3043" t="s">
        <v>2555</v>
      </c>
      <c r="F44" s="3044"/>
      <c r="G44" s="3045"/>
      <c r="I44" s="3052">
        <v>30</v>
      </c>
      <c r="J44" s="3052">
        <v>81.7</v>
      </c>
    </row>
    <row r="45" spans="1:13" ht="14.25" thickBot="1">
      <c r="A45" s="3047" t="s">
        <v>2556</v>
      </c>
      <c r="B45" s="3048" t="s">
        <v>2543</v>
      </c>
      <c r="C45" s="3049" t="s">
        <v>2543</v>
      </c>
      <c r="D45" s="3049" t="s">
        <v>2557</v>
      </c>
      <c r="E45" s="3050" t="s">
        <v>2558</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37" sqref="J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0" t="str">
        <f>IF(B10="北京市","北京市",C10)&amp;F10&amp;IF(结果表!G1="在建","出让国有建设用地使用权及在建建筑物",IF(结果表!G1="土地","出让国有建设用地使用权",))&amp;B9&amp;"预评估"</f>
        <v>北京市门头沟区金沙西街17号院1号楼7层701房地产抵押价值预评估</v>
      </c>
      <c r="C1" s="3501"/>
      <c r="D1" s="3501"/>
      <c r="E1" s="3501"/>
      <c r="F1" s="3501"/>
      <c r="G1" s="3501"/>
      <c r="H1" s="3501"/>
      <c r="I1" s="3502"/>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北京市门头沟区金沙西街17号院1号楼7层701房地产抵押价值</v>
      </c>
      <c r="T1" s="1745"/>
      <c r="U1" s="1745"/>
      <c r="V1" s="1745"/>
      <c r="W1" s="1745"/>
      <c r="X1" s="1745"/>
      <c r="Y1" s="1745"/>
      <c r="Z1" s="1745"/>
      <c r="AA1" s="1745"/>
      <c r="AB1" s="1745"/>
    </row>
    <row r="2" spans="1:30">
      <c r="A2" s="2367" t="s">
        <v>2168</v>
      </c>
      <c r="B2" s="2371"/>
      <c r="C2" s="2372"/>
      <c r="D2" s="2664"/>
      <c r="E2" s="2656"/>
      <c r="F2" s="2656"/>
      <c r="G2" s="2657"/>
      <c r="H2" s="2657"/>
      <c r="I2" s="2657"/>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北京市门头沟区金沙西街17号院1号楼7层701房地产</v>
      </c>
      <c r="T2" s="1745"/>
      <c r="U2" s="1745"/>
      <c r="V2" s="1745"/>
      <c r="W2" s="1745"/>
      <c r="X2" s="1745"/>
      <c r="Y2" s="1745"/>
      <c r="Z2" s="1745"/>
      <c r="AA2" s="1745"/>
      <c r="AB2" s="1745"/>
    </row>
    <row r="3" spans="1:30">
      <c r="A3" s="302" t="s">
        <v>2169</v>
      </c>
      <c r="B3" s="2373">
        <v>44978</v>
      </c>
      <c r="C3" s="2374" t="s">
        <v>2170</v>
      </c>
      <c r="D3" s="2373">
        <f>B3</f>
        <v>44978</v>
      </c>
      <c r="E3" s="2657"/>
      <c r="F3" s="2657"/>
      <c r="G3" s="2657"/>
      <c r="H3" s="2657"/>
      <c r="I3" s="2657"/>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1120100036</v>
      </c>
      <c r="D4" s="2375" t="s">
        <v>3372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3444" t="s">
        <v>3373</v>
      </c>
      <c r="C5" s="2380"/>
      <c r="D5" s="2381"/>
      <c r="E5" s="2658"/>
      <c r="F5" s="2658"/>
      <c r="G5" s="2658"/>
      <c r="H5" s="2658"/>
      <c r="I5" s="2658"/>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445" t="s">
        <v>3373</v>
      </c>
      <c r="C6" s="2383"/>
      <c r="D6" s="2384"/>
      <c r="E6" s="2656"/>
      <c r="F6" s="2658"/>
      <c r="G6" s="2658"/>
      <c r="H6" s="2658"/>
      <c r="I6" s="2658"/>
      <c r="J6" s="2436"/>
      <c r="K6" s="2610" t="str">
        <f>IF(COUNTIF(B6,"*上海银行*"),"上海银行","")</f>
        <v/>
      </c>
      <c r="L6" s="2608"/>
      <c r="M6" s="2608"/>
      <c r="N6" s="2436"/>
      <c r="O6" s="2447"/>
      <c r="P6" s="2436"/>
      <c r="Q6" s="2436"/>
      <c r="R6" s="2436"/>
    </row>
    <row r="7" spans="1:30" ht="36">
      <c r="A7" s="2382" t="s">
        <v>2174</v>
      </c>
      <c r="B7" s="3446" t="s">
        <v>3445</v>
      </c>
      <c r="C7" s="2383"/>
      <c r="D7" s="2384"/>
      <c r="E7" s="2656"/>
      <c r="F7" s="2658"/>
      <c r="G7" s="2658"/>
      <c r="H7" s="2658"/>
      <c r="I7" s="2658"/>
      <c r="J7" s="2436"/>
      <c r="K7" s="2611"/>
      <c r="L7" s="2608"/>
      <c r="M7" s="2608"/>
      <c r="N7" s="2436"/>
      <c r="O7" s="2447"/>
      <c r="P7" s="2436"/>
      <c r="Q7" s="2436"/>
      <c r="R7" s="2436"/>
    </row>
    <row r="8" spans="1:30">
      <c r="A8" s="2385" t="s">
        <v>2175</v>
      </c>
      <c r="B8" s="2386" t="s">
        <v>3374</v>
      </c>
      <c r="C8" s="2387"/>
      <c r="D8" s="3503" t="s">
        <v>2176</v>
      </c>
      <c r="E8" s="2388" t="s">
        <v>3375</v>
      </c>
      <c r="F8" s="2389"/>
      <c r="G8" s="2657"/>
      <c r="H8" s="2657"/>
      <c r="I8" s="2657"/>
      <c r="J8" s="2436"/>
      <c r="K8" s="2609"/>
      <c r="L8" s="2608"/>
      <c r="M8" s="2608"/>
      <c r="N8" s="2436"/>
      <c r="O8" s="2447"/>
      <c r="P8" s="2436"/>
      <c r="Q8" s="2436"/>
      <c r="R8" s="2436"/>
    </row>
    <row r="9" spans="1:30" ht="13.5" thickBot="1">
      <c r="A9" s="2390" t="s">
        <v>2177</v>
      </c>
      <c r="B9" s="2391" t="s">
        <v>3375</v>
      </c>
      <c r="C9" s="2392"/>
      <c r="D9" s="3504"/>
      <c r="E9" s="2391" t="s">
        <v>43</v>
      </c>
      <c r="F9" s="2393"/>
      <c r="G9" s="2659"/>
      <c r="H9" s="2659"/>
      <c r="I9" s="2659"/>
      <c r="J9" s="2436"/>
      <c r="K9" s="2611"/>
      <c r="L9" s="2608"/>
      <c r="M9" s="2608"/>
      <c r="N9" s="2436"/>
      <c r="O9" s="2447"/>
      <c r="P9" s="2436"/>
      <c r="Q9" s="2436"/>
      <c r="R9" s="2436"/>
    </row>
    <row r="10" spans="1:30" ht="13.5" thickTop="1">
      <c r="A10" s="2394" t="s">
        <v>2178</v>
      </c>
      <c r="B10" s="2395" t="s">
        <v>3376</v>
      </c>
      <c r="C10" s="2396"/>
      <c r="D10" s="2381"/>
      <c r="E10" s="2397" t="s">
        <v>2179</v>
      </c>
      <c r="F10" s="2660" t="s">
        <v>3377</v>
      </c>
      <c r="G10" s="2661"/>
      <c r="H10" s="2662"/>
      <c r="I10" s="2663"/>
      <c r="J10" s="2436"/>
      <c r="K10" s="2611"/>
      <c r="L10" s="2608"/>
      <c r="M10" s="2608"/>
      <c r="N10" s="2436"/>
      <c r="O10" s="2447"/>
      <c r="P10" s="2436"/>
      <c r="Q10" s="2436"/>
      <c r="R10" s="2436"/>
    </row>
    <row r="11" spans="1:30" ht="38.25">
      <c r="A11" s="2398" t="s">
        <v>2180</v>
      </c>
      <c r="B11" s="2399" t="s">
        <v>3378</v>
      </c>
      <c r="C11" s="2400" t="str">
        <f>B7</f>
        <v>北京盛懋生态园林工程有限公司</v>
      </c>
      <c r="D11" s="2401"/>
      <c r="E11" s="2370"/>
      <c r="F11" s="2370"/>
      <c r="G11" s="2370"/>
      <c r="H11" s="2370"/>
      <c r="I11" s="2370"/>
      <c r="J11" s="3055"/>
      <c r="K11" s="3054"/>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3" t="s">
        <v>2571</v>
      </c>
      <c r="J12" s="3056"/>
      <c r="K12" s="2608"/>
      <c r="L12" s="2608"/>
      <c r="M12" s="2436"/>
      <c r="N12" s="2447"/>
      <c r="O12" s="2436"/>
      <c r="P12" s="2436"/>
      <c r="Q12" s="2436"/>
      <c r="AD12" s="1745"/>
    </row>
    <row r="13" spans="1:30">
      <c r="A13" s="3417" t="s">
        <v>3331</v>
      </c>
      <c r="B13" s="2404" t="s">
        <v>2189</v>
      </c>
      <c r="C13" s="856"/>
      <c r="D13" s="856"/>
      <c r="E13" s="856">
        <v>59957</v>
      </c>
      <c r="F13" s="856"/>
      <c r="G13" s="856"/>
      <c r="H13" s="856"/>
      <c r="I13" s="856"/>
      <c r="J13" s="3056"/>
      <c r="K13" s="2608"/>
      <c r="L13" s="2608"/>
      <c r="M13" s="2436"/>
      <c r="N13" s="2447"/>
      <c r="O13" s="2436"/>
      <c r="P13" s="2436"/>
      <c r="Q13" s="2436"/>
      <c r="AD13" s="1745"/>
    </row>
    <row r="14" spans="1:30">
      <c r="A14" s="1081"/>
      <c r="B14" s="2404" t="s">
        <v>2190</v>
      </c>
      <c r="C14" s="2405"/>
      <c r="D14" s="2405"/>
      <c r="E14" s="2405">
        <v>50</v>
      </c>
      <c r="F14" s="2405"/>
      <c r="G14" s="2405"/>
      <c r="H14" s="2405"/>
      <c r="I14" s="2405"/>
      <c r="J14" s="3057"/>
      <c r="K14" s="2608"/>
      <c r="L14" s="2608"/>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f>IF(A13="出让",IF(E13="","",ROUNDDOWN(MIN((E13-$D$3)/365,E14),2)),E14)</f>
        <v>41.03</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8"/>
      <c r="K15" s="2448"/>
      <c r="L15" s="2448"/>
      <c r="M15" s="2504"/>
      <c r="N15" s="2448"/>
      <c r="O15" s="2504"/>
      <c r="P15" s="2436"/>
      <c r="Q15" s="2436"/>
      <c r="AD15" s="1745"/>
    </row>
    <row r="16" spans="1:30">
      <c r="A16" s="2397" t="s">
        <v>2192</v>
      </c>
      <c r="B16" s="3510"/>
      <c r="C16" s="3511"/>
      <c r="D16" s="3512"/>
      <c r="E16" s="2410" t="s">
        <v>2193</v>
      </c>
      <c r="F16" s="3513"/>
      <c r="G16" s="3514"/>
      <c r="H16" s="3514"/>
      <c r="I16" s="3515"/>
      <c r="J16" s="2436"/>
      <c r="K16" s="2612"/>
      <c r="L16" s="2448"/>
      <c r="M16" s="2448"/>
      <c r="N16" s="2504"/>
      <c r="O16" s="2448"/>
      <c r="P16" s="2504"/>
      <c r="Q16" s="2436"/>
      <c r="R16" s="2436"/>
    </row>
    <row r="17" spans="1:28">
      <c r="A17" s="313" t="s">
        <v>2194</v>
      </c>
      <c r="B17" s="302" t="s">
        <v>2195</v>
      </c>
      <c r="C17" s="8">
        <f>'数据-汇总表'!E3</f>
        <v>1105.3800000000001</v>
      </c>
      <c r="D17" s="2322" t="s">
        <v>2196</v>
      </c>
      <c r="E17" s="3516" t="s">
        <v>2197</v>
      </c>
      <c r="F17" s="3517"/>
      <c r="G17" s="3517"/>
      <c r="H17" s="3517"/>
      <c r="I17" s="3518"/>
      <c r="J17" s="2436"/>
      <c r="K17" s="2613"/>
      <c r="L17" s="2448"/>
      <c r="M17" s="2448"/>
      <c r="N17" s="2504"/>
      <c r="O17" s="2448"/>
      <c r="P17" s="2504"/>
      <c r="Q17" s="2436"/>
      <c r="R17" s="2436"/>
      <c r="S17" s="2436"/>
      <c r="T17" s="2436"/>
      <c r="U17" s="2436"/>
      <c r="V17" s="2436"/>
    </row>
    <row r="18" spans="1:28" ht="24.75" thickBot="1">
      <c r="A18" s="2411" t="s">
        <v>2198</v>
      </c>
      <c r="B18" s="1090" t="s">
        <v>2199</v>
      </c>
      <c r="C18" s="2412">
        <f>'数据-汇总表'!D3</f>
        <v>0</v>
      </c>
      <c r="D18" s="1092" t="s">
        <v>2200</v>
      </c>
      <c r="E18" s="3519" t="s">
        <v>2201</v>
      </c>
      <c r="F18" s="3520"/>
      <c r="G18" s="3520"/>
      <c r="H18" s="3520"/>
      <c r="I18" s="3521"/>
      <c r="J18" s="2436"/>
      <c r="K18" s="2613"/>
      <c r="L18" s="2448"/>
      <c r="M18" s="2448"/>
      <c r="N18" s="2504"/>
      <c r="O18" s="2448"/>
      <c r="P18" s="2504"/>
      <c r="Q18" s="2436"/>
      <c r="R18" s="2436"/>
      <c r="S18" s="2436"/>
      <c r="T18" s="2436"/>
      <c r="U18" s="2436"/>
      <c r="V18" s="2436"/>
    </row>
    <row r="19" spans="1:28" ht="37.5" thickTop="1" thickBot="1">
      <c r="A19" s="327" t="s">
        <v>1055</v>
      </c>
      <c r="B19" s="307" t="s">
        <v>2202</v>
      </c>
      <c r="C19" s="1563" t="s">
        <v>3379</v>
      </c>
      <c r="D19" s="1564" t="s">
        <v>2203</v>
      </c>
      <c r="E19" s="1565"/>
      <c r="F19" s="1566" t="str">
        <f>IF(AND(C19="是",E19="否"),"是否提供他项权证或相关说明","")</f>
        <v/>
      </c>
      <c r="G19" s="1567"/>
      <c r="H19" s="2658"/>
      <c r="I19" s="2658"/>
      <c r="J19" s="2436"/>
      <c r="K19" s="2611"/>
      <c r="L19" s="2608"/>
      <c r="M19" s="2608"/>
      <c r="N19" s="2504"/>
      <c r="O19" s="2448"/>
      <c r="P19" s="2504"/>
      <c r="Q19" s="2436"/>
      <c r="R19" s="2436"/>
      <c r="S19" s="2436"/>
      <c r="T19" s="2436"/>
      <c r="U19" s="2436"/>
      <c r="V19" s="2436"/>
    </row>
    <row r="20" spans="1:28">
      <c r="A20" s="2627" t="s">
        <v>2204</v>
      </c>
      <c r="B20" s="3506" t="s">
        <v>2205</v>
      </c>
      <c r="C20" s="3507"/>
      <c r="D20" s="3508" t="s">
        <v>2206</v>
      </c>
      <c r="E20" s="3509"/>
      <c r="F20" s="2641" t="s">
        <v>1056</v>
      </c>
      <c r="G20" s="2658"/>
      <c r="H20" s="2658"/>
      <c r="I20" s="2658"/>
      <c r="J20" s="2436"/>
      <c r="K20" s="3505"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27"/>
      <c r="B21" s="3457" t="s">
        <v>3446</v>
      </c>
      <c r="C21" s="2628" t="s">
        <v>1057</v>
      </c>
      <c r="D21" s="1568"/>
      <c r="E21" s="2629"/>
      <c r="F21" s="2642"/>
      <c r="G21" s="2658"/>
      <c r="H21" s="2658"/>
      <c r="I21" s="2658"/>
      <c r="J21" s="2436"/>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9"/>
      <c r="O21" s="2408"/>
      <c r="P21" s="2409"/>
      <c r="Q21" s="2370"/>
      <c r="R21" s="2370"/>
      <c r="S21" s="2370"/>
      <c r="T21" s="2370"/>
      <c r="U21" s="2370"/>
      <c r="V21" s="2370"/>
      <c r="W21" s="1745"/>
      <c r="X21" s="1745"/>
      <c r="Y21" s="1745"/>
      <c r="Z21" s="1745"/>
      <c r="AA21" s="1745"/>
      <c r="AB21" s="1745"/>
    </row>
    <row r="22" spans="1:28" ht="13.5" thickBot="1">
      <c r="A22" s="2627"/>
      <c r="B22" s="2630"/>
      <c r="C22" s="2628"/>
      <c r="D22" s="2657"/>
      <c r="E22" s="2657"/>
      <c r="F22" s="2657"/>
      <c r="G22" s="2658"/>
      <c r="H22" s="2658"/>
      <c r="I22" s="2658"/>
      <c r="J22" s="2436"/>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1" t="s">
        <v>2208</v>
      </c>
      <c r="B23" s="2497" t="s">
        <v>2209</v>
      </c>
      <c r="C23" s="2632"/>
      <c r="D23" s="2633" t="s">
        <v>2209</v>
      </c>
      <c r="E23" s="2634"/>
      <c r="F23" s="2657"/>
      <c r="G23" s="2658"/>
      <c r="H23" s="2658"/>
      <c r="I23" s="2658"/>
      <c r="J23" s="2436"/>
      <c r="K23" s="2614"/>
      <c r="L23" s="2470"/>
      <c r="M23" s="2608"/>
      <c r="N23" s="2504"/>
      <c r="O23" s="2448"/>
      <c r="P23" s="2504"/>
      <c r="Q23" s="2436"/>
      <c r="R23" s="2436"/>
      <c r="S23" s="2436"/>
      <c r="T23" s="2436"/>
      <c r="U23" s="2436"/>
      <c r="V23" s="2436"/>
    </row>
    <row r="24" spans="1:28">
      <c r="A24" s="2631"/>
      <c r="B24" s="2497" t="s">
        <v>1058</v>
      </c>
      <c r="C24" s="2635"/>
      <c r="D24" s="2631" t="s">
        <v>1058</v>
      </c>
      <c r="E24" s="2636"/>
      <c r="F24" s="2657"/>
      <c r="G24" s="2658"/>
      <c r="H24" s="2658"/>
      <c r="I24" s="2658"/>
      <c r="J24" s="2436"/>
      <c r="K24" s="2614"/>
      <c r="L24" s="2470"/>
      <c r="M24" s="2608"/>
      <c r="N24" s="2504"/>
      <c r="O24" s="2448"/>
      <c r="P24" s="2504"/>
      <c r="Q24" s="2436"/>
      <c r="R24" s="2436"/>
      <c r="S24" s="2436"/>
      <c r="T24" s="2436"/>
      <c r="U24" s="2436"/>
      <c r="V24" s="2436"/>
    </row>
    <row r="25" spans="1:28">
      <c r="A25" s="2631"/>
      <c r="B25" s="2497" t="s">
        <v>1059</v>
      </c>
      <c r="C25" s="2635"/>
      <c r="D25" s="2631" t="s">
        <v>1059</v>
      </c>
      <c r="E25" s="2636"/>
      <c r="F25" s="2657"/>
      <c r="G25" s="2658"/>
      <c r="H25" s="2658"/>
      <c r="I25" s="2658"/>
      <c r="J25" s="2436"/>
      <c r="K25" s="2611"/>
      <c r="L25" s="2608"/>
      <c r="M25" s="2608"/>
      <c r="N25" s="2504"/>
      <c r="O25" s="2448"/>
      <c r="P25" s="2504"/>
      <c r="Q25" s="2436"/>
      <c r="R25" s="2436"/>
      <c r="S25" s="2436"/>
      <c r="T25" s="2436"/>
      <c r="U25" s="2436"/>
      <c r="V25" s="2436"/>
    </row>
    <row r="26" spans="1:28" ht="13.5" thickBot="1">
      <c r="A26" s="2637"/>
      <c r="B26" s="2638" t="s">
        <v>1060</v>
      </c>
      <c r="C26" s="2639"/>
      <c r="D26" s="2637" t="s">
        <v>1060</v>
      </c>
      <c r="E26" s="2640"/>
      <c r="F26" s="2659"/>
      <c r="G26" s="2659"/>
      <c r="H26" s="2659"/>
      <c r="I26" s="2659"/>
      <c r="J26" s="2436"/>
      <c r="K26" s="2611"/>
      <c r="L26" s="2608"/>
      <c r="M26" s="2608"/>
      <c r="N26" s="2504"/>
      <c r="O26" s="2448"/>
      <c r="P26" s="2504"/>
      <c r="Q26" s="2436"/>
      <c r="R26" s="2436"/>
      <c r="S26" s="2436"/>
      <c r="T26" s="2436"/>
      <c r="U26" s="2436"/>
      <c r="V26" s="2436"/>
    </row>
    <row r="27" spans="1:28" ht="13.5" thickTop="1">
      <c r="A27" s="3523" t="s">
        <v>2210</v>
      </c>
      <c r="B27" s="320" t="s">
        <v>2211</v>
      </c>
      <c r="C27" s="2413" t="s">
        <v>3380</v>
      </c>
      <c r="D27" s="2414"/>
      <c r="E27" s="2658"/>
      <c r="F27" s="2658"/>
      <c r="G27" s="2658"/>
      <c r="H27" s="2658"/>
      <c r="I27" s="2658"/>
      <c r="J27" s="2436"/>
      <c r="K27" s="2612"/>
      <c r="L27" s="2448"/>
      <c r="M27" s="2448"/>
      <c r="N27" s="2504"/>
      <c r="O27" s="2448"/>
      <c r="P27" s="2504"/>
      <c r="Q27" s="2436"/>
      <c r="R27" s="2436"/>
      <c r="S27" s="2436"/>
      <c r="T27" s="2436"/>
      <c r="U27" s="2436"/>
      <c r="V27" s="2436"/>
    </row>
    <row r="28" spans="1:28">
      <c r="A28" s="3523"/>
      <c r="B28" s="302" t="s">
        <v>2212</v>
      </c>
      <c r="C28" s="2415" t="s">
        <v>3381</v>
      </c>
      <c r="D28" s="2416"/>
      <c r="E28" s="2658"/>
      <c r="F28" s="2658"/>
      <c r="G28" s="2658"/>
      <c r="H28" s="2658"/>
      <c r="I28" s="2658"/>
      <c r="J28" s="2436"/>
      <c r="K28" s="2611"/>
      <c r="L28" s="2608"/>
      <c r="M28" s="2608"/>
      <c r="N28" s="2436"/>
      <c r="O28" s="2447"/>
      <c r="P28" s="2436"/>
      <c r="Q28" s="2436"/>
      <c r="R28" s="2436"/>
      <c r="S28" s="2436"/>
      <c r="T28" s="2436"/>
      <c r="U28" s="2436"/>
      <c r="V28" s="2436"/>
    </row>
    <row r="29" spans="1:28">
      <c r="A29" s="3523"/>
      <c r="B29" s="302" t="s">
        <v>2213</v>
      </c>
      <c r="C29" s="2417" t="s">
        <v>3379</v>
      </c>
      <c r="D29" s="2418"/>
      <c r="E29" s="2658"/>
      <c r="F29" s="2658"/>
      <c r="G29" s="2658"/>
      <c r="H29" s="2658"/>
      <c r="I29" s="2658"/>
      <c r="J29" s="2436"/>
      <c r="K29" s="2611"/>
      <c r="L29" s="2608"/>
      <c r="M29" s="2608"/>
      <c r="N29" s="2436"/>
      <c r="O29" s="2447"/>
      <c r="P29" s="2436"/>
      <c r="Q29" s="2436"/>
      <c r="R29" s="2436"/>
      <c r="S29" s="2436"/>
      <c r="T29" s="2436"/>
      <c r="U29" s="2436"/>
      <c r="V29" s="2436"/>
    </row>
    <row r="30" spans="1:28">
      <c r="A30" s="3524"/>
      <c r="B30" s="302" t="s">
        <v>2214</v>
      </c>
      <c r="C30" s="3525"/>
      <c r="D30" s="3526"/>
      <c r="E30" s="2658"/>
      <c r="F30" s="2658"/>
      <c r="G30" s="2658"/>
      <c r="H30" s="2658"/>
      <c r="I30" s="2658"/>
      <c r="J30" s="2436"/>
      <c r="K30" s="2611"/>
      <c r="L30" s="2608"/>
      <c r="M30" s="2608"/>
      <c r="N30" s="2436"/>
      <c r="O30" s="2447"/>
      <c r="P30" s="2436"/>
      <c r="Q30" s="2436"/>
      <c r="R30" s="2436"/>
      <c r="S30" s="2436"/>
      <c r="T30" s="2436"/>
      <c r="U30" s="2436"/>
      <c r="V30" s="2436"/>
    </row>
    <row r="31" spans="1:28">
      <c r="A31" s="3527" t="s">
        <v>2215</v>
      </c>
      <c r="B31" s="2419" t="s">
        <v>3382</v>
      </c>
      <c r="C31" s="2323" t="str">
        <f>IF(B31="现房","成新及维护状况正常否",IF(B31="在建","工程状态是否正常",IF(B31="土地","是否闲置","-")))</f>
        <v>成新及维护状况正常否</v>
      </c>
      <c r="D31" s="1373"/>
      <c r="E31" s="2420"/>
      <c r="F31" s="2658"/>
      <c r="G31" s="2658"/>
      <c r="H31" s="2658"/>
      <c r="I31" s="2658"/>
      <c r="J31" s="2436"/>
      <c r="K31" s="2610"/>
      <c r="L31" s="2608"/>
      <c r="M31" s="2608"/>
      <c r="N31" s="2436"/>
      <c r="O31" s="2447"/>
      <c r="P31" s="2436"/>
      <c r="Q31" s="2436"/>
      <c r="R31" s="2436"/>
      <c r="S31" s="2436"/>
      <c r="T31" s="2436"/>
      <c r="U31" s="2436"/>
      <c r="V31" s="2436"/>
    </row>
    <row r="32" spans="1:28">
      <c r="A32" s="3528"/>
      <c r="B32" s="2419"/>
      <c r="C32" s="2323" t="str">
        <f>IF(B32="现房","成新及维护状况是否正常",IF(B32="在建","工程状态是否正常",IF(B32="土地","是否闲置","-")))</f>
        <v>-</v>
      </c>
      <c r="D32" s="1373"/>
      <c r="E32" s="2420"/>
      <c r="F32" s="2658"/>
      <c r="G32" s="2658"/>
      <c r="H32" s="2658"/>
      <c r="I32" s="2658"/>
      <c r="J32" s="2436"/>
      <c r="K32" s="2611"/>
      <c r="L32" s="2608"/>
      <c r="M32" s="2608"/>
      <c r="N32" s="2436"/>
      <c r="O32" s="2447"/>
      <c r="P32" s="2436"/>
      <c r="Q32" s="2436"/>
      <c r="R32" s="2436"/>
      <c r="S32" s="2436"/>
      <c r="T32" s="2436"/>
      <c r="U32" s="2436"/>
      <c r="V32" s="2436"/>
    </row>
    <row r="33" spans="1:30">
      <c r="A33" s="3528"/>
      <c r="B33" s="2422"/>
      <c r="C33" s="1590" t="str">
        <f>IF(B33="现房","成新及维护状况是否正常",IF(B33="在建","工程状态是否正常",IF(B33="土地","是否闲置","-")))</f>
        <v>-</v>
      </c>
      <c r="D33" s="1365"/>
      <c r="E33" s="2423"/>
      <c r="F33" s="2658"/>
      <c r="G33" s="2658"/>
      <c r="H33" s="2658"/>
      <c r="I33" s="2658"/>
      <c r="J33" s="2436"/>
      <c r="K33" s="2611"/>
      <c r="L33" s="2608"/>
      <c r="M33" s="2608"/>
      <c r="N33" s="2436"/>
      <c r="O33" s="2447"/>
      <c r="P33" s="2436"/>
      <c r="Q33" s="2436"/>
      <c r="R33" s="2436"/>
      <c r="S33" s="2436"/>
      <c r="T33" s="2436"/>
      <c r="U33" s="2436"/>
      <c r="V33" s="2436"/>
    </row>
    <row r="34" spans="1:30">
      <c r="A34" s="302" t="s">
        <v>2216</v>
      </c>
      <c r="B34" s="2026" t="s">
        <v>3383</v>
      </c>
      <c r="C34" s="2026" t="s">
        <v>3384</v>
      </c>
      <c r="D34" s="2026" t="s">
        <v>3385</v>
      </c>
      <c r="E34" s="2026" t="s">
        <v>3386</v>
      </c>
      <c r="F34" s="2026" t="s">
        <v>3387</v>
      </c>
      <c r="G34" s="2026" t="s">
        <v>3388</v>
      </c>
      <c r="H34" s="2026" t="s">
        <v>3389</v>
      </c>
      <c r="I34" s="2658"/>
      <c r="J34" s="2436"/>
      <c r="K34" s="2424">
        <f>COUNTIF(B34:H34,"——")</f>
        <v>0</v>
      </c>
      <c r="L34" s="323" t="s">
        <v>2217</v>
      </c>
      <c r="M34" s="323" t="s">
        <v>2218</v>
      </c>
      <c r="N34" s="323" t="s">
        <v>2219</v>
      </c>
      <c r="O34" s="323" t="s">
        <v>2220</v>
      </c>
      <c r="P34" s="323" t="s">
        <v>2221</v>
      </c>
      <c r="Q34" s="323" t="s">
        <v>2222</v>
      </c>
      <c r="R34" s="323" t="s">
        <v>2223</v>
      </c>
      <c r="S34" s="3522" t="s">
        <v>2224</v>
      </c>
      <c r="T34" s="2425" t="str">
        <f>NUMBERSTRING(7-K34,1)&amp;"通"</f>
        <v>七通</v>
      </c>
      <c r="U34" s="2436"/>
      <c r="V34" s="2436"/>
    </row>
    <row r="35" spans="1:30">
      <c r="A35" s="2426"/>
      <c r="B35" s="3529" t="s">
        <v>2225</v>
      </c>
      <c r="C35" s="3529"/>
      <c r="D35" s="3529"/>
      <c r="E35" s="3529"/>
      <c r="F35" s="664">
        <f>C10</f>
        <v>0</v>
      </c>
      <c r="G35" s="2658"/>
      <c r="H35" s="2658"/>
      <c r="I35" s="2658"/>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通路、通电、通讯、通上水、通下水、通热、平整</v>
      </c>
      <c r="S35" s="3522"/>
      <c r="T35" s="329" t="str">
        <f>IF(T34="一通",L35,IF(T34="二通",M35,IF(T34="三通",N35,IF(T34="四通",O35,IF(T34="五通",P35,IF(T34="六通",Q35,R35))))))</f>
        <v>通路、通电、通讯、通上水、通下水、通热、平整</v>
      </c>
      <c r="U35" s="2436"/>
      <c r="V35" s="2436"/>
    </row>
    <row r="36" spans="1:30">
      <c r="A36" s="2427"/>
      <c r="B36" s="664" t="s">
        <v>2184</v>
      </c>
      <c r="C36" s="664" t="s">
        <v>2185</v>
      </c>
      <c r="D36" s="664" t="s">
        <v>2183</v>
      </c>
      <c r="E36" s="664" t="s">
        <v>2188</v>
      </c>
      <c r="F36" s="3059" t="s">
        <v>2574</v>
      </c>
      <c r="G36" s="2658"/>
      <c r="H36" s="2658"/>
      <c r="I36" s="2658"/>
      <c r="J36" s="2436"/>
      <c r="K36" s="2611"/>
      <c r="L36" s="2608"/>
      <c r="M36" s="2608"/>
      <c r="N36" s="2436"/>
      <c r="O36" s="2447"/>
      <c r="P36" s="2436"/>
      <c r="Q36" s="2436"/>
      <c r="R36" s="2436"/>
      <c r="S36" s="2436"/>
      <c r="T36" s="2436"/>
      <c r="U36" s="2436"/>
      <c r="V36" s="2436"/>
    </row>
    <row r="37" spans="1:30">
      <c r="A37" s="2625" t="s">
        <v>2226</v>
      </c>
      <c r="B37" s="2428"/>
      <c r="C37" s="2428"/>
      <c r="D37" s="2428"/>
      <c r="E37" s="2428"/>
      <c r="F37" s="2428"/>
      <c r="G37" s="2658"/>
      <c r="H37" s="2658"/>
      <c r="I37" s="2658"/>
      <c r="J37" s="2436"/>
      <c r="K37" s="2611"/>
      <c r="L37" s="2608"/>
      <c r="M37" s="2608"/>
      <c r="N37" s="2436"/>
      <c r="O37" s="2447"/>
      <c r="P37" s="2436"/>
      <c r="Q37" s="2436"/>
      <c r="R37" s="2436"/>
      <c r="S37" s="2436"/>
      <c r="T37" s="2436"/>
      <c r="U37" s="2436"/>
      <c r="V37" s="2436"/>
    </row>
    <row r="38" spans="1:30" ht="13.5" thickBot="1">
      <c r="A38" s="2626" t="s">
        <v>2227</v>
      </c>
      <c r="B38" s="2429"/>
      <c r="C38" s="2429"/>
      <c r="D38" s="2429"/>
      <c r="E38" s="2429"/>
      <c r="F38" s="2429"/>
      <c r="G38" s="2659"/>
      <c r="H38" s="2659"/>
      <c r="I38" s="2659"/>
      <c r="J38" s="2436"/>
      <c r="K38" s="2611"/>
      <c r="L38" s="2608"/>
      <c r="M38" s="2608"/>
      <c r="N38" s="2436"/>
      <c r="O38" s="2447"/>
      <c r="P38" s="2436"/>
      <c r="Q38" s="2436"/>
      <c r="R38" s="2436"/>
      <c r="S38" s="2436"/>
      <c r="T38" s="2436"/>
      <c r="U38" s="2436"/>
      <c r="V38" s="2436"/>
    </row>
    <row r="39" spans="1:30" s="2432" customFormat="1" ht="14.25" thickTop="1" thickBot="1">
      <c r="A39" s="2430" t="s">
        <v>2228</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8"/>
      <c r="M40" s="2448"/>
      <c r="N40" s="2504"/>
      <c r="O40" s="2448"/>
      <c r="P40" s="2436"/>
      <c r="Q40" s="2436"/>
      <c r="R40" s="2436"/>
      <c r="S40" s="2436"/>
      <c r="T40" s="2436"/>
      <c r="U40" s="2436"/>
      <c r="V40" s="2436"/>
    </row>
    <row r="41" spans="1:30">
      <c r="A41" s="2433" t="s">
        <v>2229</v>
      </c>
      <c r="B41" s="1757"/>
      <c r="C41" s="1373"/>
      <c r="D41" s="2370"/>
      <c r="E41" s="2370"/>
      <c r="F41" s="2370"/>
      <c r="G41" s="2370"/>
      <c r="H41" s="2370"/>
      <c r="I41" s="1576"/>
      <c r="J41" s="2436"/>
      <c r="K41" s="2611"/>
      <c r="L41" s="2608"/>
      <c r="M41" s="2608"/>
      <c r="N41" s="2436"/>
      <c r="O41" s="2447"/>
      <c r="P41" s="2436"/>
      <c r="Q41" s="2436"/>
      <c r="R41" s="2436"/>
      <c r="S41" s="2436"/>
      <c r="T41" s="2436"/>
      <c r="U41" s="2436"/>
      <c r="V41" s="2436"/>
    </row>
    <row r="42" spans="1:30" ht="25.5">
      <c r="A42" s="323" t="s">
        <v>2230</v>
      </c>
      <c r="B42" s="8" t="s">
        <v>2231</v>
      </c>
      <c r="C42" s="8" t="s">
        <v>2232</v>
      </c>
      <c r="D42" s="8" t="s">
        <v>2233</v>
      </c>
      <c r="E42" s="8" t="s">
        <v>2234</v>
      </c>
      <c r="F42" s="8" t="s">
        <v>2235</v>
      </c>
      <c r="G42" s="8" t="s">
        <v>2236</v>
      </c>
      <c r="H42" s="8" t="s">
        <v>2237</v>
      </c>
      <c r="I42" s="8" t="s">
        <v>2238</v>
      </c>
      <c r="J42" s="2621" t="s">
        <v>2239</v>
      </c>
      <c r="K42" s="2622" t="s">
        <v>2240</v>
      </c>
      <c r="L42" s="2622" t="s">
        <v>2241</v>
      </c>
      <c r="M42" s="2622" t="s">
        <v>2242</v>
      </c>
      <c r="N42" s="2615" t="s">
        <v>2243</v>
      </c>
      <c r="O42" s="2615" t="s">
        <v>2244</v>
      </c>
      <c r="P42" s="2615" t="s">
        <v>2245</v>
      </c>
      <c r="Q42" s="2616" t="s">
        <v>2246</v>
      </c>
      <c r="R42" s="2616" t="s">
        <v>2247</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1105.3800000000001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3391</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3390</v>
      </c>
      <c r="E13" s="13">
        <f>IF($C$3="是",ROUND($A$3*G13/$B$3,2),ROUND($A$3*(G13-AT13)/$B$3,2))</f>
        <v>0</v>
      </c>
      <c r="F13" s="29"/>
      <c r="G13" s="30">
        <f>H13+AC13+AT13</f>
        <v>1105.3800000000001</v>
      </c>
      <c r="H13" s="17">
        <f>SUMIF(I$12:AB$12,"总值",I13:AB13)</f>
        <v>1105.3800000000001</v>
      </c>
      <c r="I13" s="1626">
        <v>1105.3800000000001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9" t="s">
        <v>1130</v>
      </c>
      <c r="B2" s="3539"/>
      <c r="C2" s="3539"/>
      <c r="D2" s="796" t="s">
        <v>1106</v>
      </c>
      <c r="E2" s="1639" t="s">
        <v>1107</v>
      </c>
      <c r="F2" s="2653"/>
      <c r="G2" s="2644"/>
      <c r="H2" s="2645"/>
      <c r="I2" s="2325" t="s">
        <v>1131</v>
      </c>
      <c r="J2" s="2653"/>
      <c r="K2" s="2653"/>
      <c r="L2" s="2653"/>
      <c r="M2" s="2653"/>
      <c r="N2" s="2655"/>
      <c r="O2" s="2653"/>
      <c r="P2" s="2653"/>
    </row>
    <row r="3" spans="1:16" ht="15.75" thickBot="1">
      <c r="A3" s="3540" t="s">
        <v>1104</v>
      </c>
      <c r="B3" s="3540"/>
      <c r="C3" s="3540"/>
      <c r="D3" s="43">
        <f>'数据-基础表'!AY6</f>
        <v>0</v>
      </c>
      <c r="E3" s="43">
        <f>'数据-基础表'!AZ5</f>
        <v>1105.3800000000001</v>
      </c>
      <c r="F3" s="2653"/>
      <c r="G3" s="1145"/>
      <c r="H3" s="1026" t="s">
        <v>1105</v>
      </c>
      <c r="I3" s="855" t="e">
        <f>ROUND('数据-基础表'!B3/'数据-基础表'!A3,2)</f>
        <v>#DIV/0!</v>
      </c>
      <c r="J3" s="2653"/>
      <c r="K3" s="2653"/>
      <c r="L3" s="2653"/>
      <c r="M3" s="2653"/>
      <c r="N3" s="2655"/>
      <c r="O3" s="2653"/>
      <c r="P3" s="2653"/>
    </row>
    <row r="4" spans="1:16" ht="15">
      <c r="A4" s="3541"/>
      <c r="B4" s="3542"/>
      <c r="C4" s="3543"/>
      <c r="D4" s="1641" t="s">
        <v>1106</v>
      </c>
      <c r="E4" s="1642" t="s">
        <v>1107</v>
      </c>
      <c r="F4" s="2653"/>
      <c r="G4" s="2646" t="s">
        <v>1132</v>
      </c>
      <c r="H4" s="1026" t="s">
        <v>1112</v>
      </c>
      <c r="I4" s="855" t="e">
        <f>ROUND(SUMIF('数据-基础表'!I9:AS9,"地上",'数据-基础表'!I5:AS5)/'数据-基础表'!A3,2)</f>
        <v>#DIV/0!</v>
      </c>
      <c r="J4" s="2653"/>
      <c r="K4" s="2653"/>
      <c r="L4" s="2653"/>
      <c r="M4" s="2653"/>
      <c r="N4" s="2655"/>
      <c r="O4" s="2653"/>
      <c r="P4" s="2653"/>
    </row>
    <row r="5" spans="1:16">
      <c r="A5" s="44" t="s">
        <v>1108</v>
      </c>
      <c r="B5" s="3544" t="s">
        <v>1109</v>
      </c>
      <c r="C5" s="3544"/>
      <c r="D5" s="45">
        <f>ROUND($D$3*E5/$E$3,2)</f>
        <v>0</v>
      </c>
      <c r="E5" s="46">
        <f>SUMIF('数据-基础表'!$11:$11,"住宅",'数据-基础表'!$5:$5)</f>
        <v>0</v>
      </c>
      <c r="F5" s="2653"/>
      <c r="G5" s="1145"/>
      <c r="H5" s="1026" t="s">
        <v>1105</v>
      </c>
      <c r="I5" s="855" t="e">
        <f>ROUND(E31/D31,2)</f>
        <v>#DIV/0!</v>
      </c>
      <c r="J5" s="2653"/>
      <c r="K5" s="2653"/>
      <c r="L5" s="2653"/>
      <c r="M5" s="2653"/>
      <c r="N5" s="2653"/>
      <c r="O5" s="2653"/>
      <c r="P5" s="2653"/>
    </row>
    <row r="6" spans="1:16" ht="15" thickBot="1">
      <c r="A6" s="1644"/>
      <c r="B6" s="3544" t="s">
        <v>1110</v>
      </c>
      <c r="C6" s="3544"/>
      <c r="D6" s="45">
        <f>ROUND($D$3*E6/$E$3,2)</f>
        <v>0</v>
      </c>
      <c r="E6" s="46">
        <f>E3-E5</f>
        <v>1105.3800000000001</v>
      </c>
      <c r="F6" s="2653"/>
      <c r="G6" s="2647" t="s">
        <v>1111</v>
      </c>
      <c r="H6" s="1146" t="s">
        <v>1112</v>
      </c>
      <c r="I6" s="2648" t="e">
        <f>ROUND(F31/D31,2)</f>
        <v>#DIV/0!</v>
      </c>
      <c r="J6" s="2653"/>
      <c r="K6" s="2653"/>
      <c r="L6" s="2653"/>
      <c r="M6" s="2653"/>
      <c r="N6" s="2653"/>
      <c r="O6" s="2653"/>
      <c r="P6" s="2653"/>
    </row>
    <row r="7" spans="1:16" ht="15.75" thickBot="1">
      <c r="A7" s="3536"/>
      <c r="B7" s="3537"/>
      <c r="C7" s="3538"/>
      <c r="D7" s="1641" t="s">
        <v>1106</v>
      </c>
      <c r="E7" s="1645" t="s">
        <v>1113</v>
      </c>
      <c r="F7" s="2653"/>
      <c r="G7" s="2649" t="s">
        <v>1114</v>
      </c>
      <c r="H7" s="2650"/>
      <c r="I7" s="2651"/>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1105.3800000000001</v>
      </c>
      <c r="F8" s="2653"/>
      <c r="G8" s="2654"/>
      <c r="H8" s="2654"/>
      <c r="I8" s="2653"/>
      <c r="J8" s="2653"/>
      <c r="K8" s="2653"/>
      <c r="L8" s="2653"/>
      <c r="M8" s="2653"/>
      <c r="N8" s="2653"/>
      <c r="O8" s="2653"/>
      <c r="P8" s="2653"/>
    </row>
    <row r="9" spans="1:16">
      <c r="A9" s="1646"/>
      <c r="B9" s="1647"/>
      <c r="C9" s="45" t="s">
        <v>1118</v>
      </c>
      <c r="D9" s="45">
        <f t="shared" si="0"/>
        <v>0</v>
      </c>
      <c r="E9" s="49">
        <v>0</v>
      </c>
      <c r="F9" s="2653"/>
      <c r="G9" s="2654"/>
      <c r="H9" s="2654"/>
      <c r="I9" s="2653"/>
      <c r="J9" s="2653"/>
      <c r="K9" s="2653"/>
      <c r="L9" s="2653"/>
      <c r="M9" s="2653"/>
      <c r="N9" s="2653"/>
      <c r="O9" s="2653"/>
      <c r="P9" s="2653"/>
    </row>
    <row r="10" spans="1:16">
      <c r="A10" s="1646"/>
      <c r="B10" s="1647"/>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1122</v>
      </c>
      <c r="D16" s="47">
        <f>SUM(D8:D15)</f>
        <v>0</v>
      </c>
      <c r="E16" s="50">
        <f>SUM(E8:E15)</f>
        <v>1105.3800000000001</v>
      </c>
      <c r="F16" s="2653"/>
      <c r="G16" s="2654"/>
      <c r="H16" s="1648" t="s">
        <v>1134</v>
      </c>
      <c r="I16" s="1649"/>
      <c r="J16" s="1139"/>
      <c r="K16" s="3533" t="s">
        <v>1134</v>
      </c>
      <c r="L16" s="3534"/>
      <c r="M16" s="3534"/>
      <c r="N16" s="3534"/>
      <c r="O16" s="3534"/>
      <c r="P16" s="3535"/>
    </row>
    <row r="17" spans="1:19" ht="15">
      <c r="A17" s="1650" t="s">
        <v>1135</v>
      </c>
      <c r="B17" s="1651" t="s">
        <v>1136</v>
      </c>
      <c r="C17" s="1652" t="s">
        <v>1137</v>
      </c>
      <c r="D17" s="1653" t="s">
        <v>1125</v>
      </c>
      <c r="E17" s="1654" t="s">
        <v>1126</v>
      </c>
      <c r="F17" s="1655"/>
      <c r="G17" s="1656"/>
      <c r="H17" s="1657" t="s">
        <v>1138</v>
      </c>
      <c r="I17" s="1658" t="s">
        <v>1123</v>
      </c>
      <c r="J17" s="1139"/>
      <c r="K17" s="3530" t="s">
        <v>1139</v>
      </c>
      <c r="L17" s="3531"/>
      <c r="M17" s="3532"/>
      <c r="N17" s="3530" t="s">
        <v>1140</v>
      </c>
      <c r="O17" s="3531"/>
      <c r="P17" s="3532"/>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1" t="s">
        <v>3393</v>
      </c>
      <c r="D19" s="45">
        <f>ROUND($D$3*E19/$E$3,2)</f>
        <v>0</v>
      </c>
      <c r="E19" s="53">
        <f t="shared" ref="E19:E26" si="1">SUM(F19:G19)</f>
        <v>1105.3800000000001</v>
      </c>
      <c r="F19" s="2789">
        <f>'数据-基础表'!I5</f>
        <v>1105.3800000000001</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1105.3800000000001</v>
      </c>
    </row>
    <row r="20" spans="1:19">
      <c r="A20" s="1670"/>
      <c r="B20" s="47" t="s">
        <v>1152</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1105.3800000000001</v>
      </c>
      <c r="F27" s="1140">
        <f>IF(SUM(F19:F26)=E8,SUM(F19:F26),"地上面积有误")</f>
        <v>1105.3800000000001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1105.3800000000001</v>
      </c>
    </row>
    <row r="28" spans="1:19">
      <c r="A28" s="1670"/>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1154</v>
      </c>
      <c r="C29" s="1674"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1157</v>
      </c>
      <c r="D31" s="676">
        <f>D27+D30</f>
        <v>0</v>
      </c>
      <c r="E31" s="676">
        <f>E27+E30</f>
        <v>1105.3800000000001</v>
      </c>
      <c r="F31" s="677">
        <f>F27+F30</f>
        <v>1105.3800000000001</v>
      </c>
      <c r="G31" s="678">
        <f>G27+G30</f>
        <v>0</v>
      </c>
      <c r="H31" s="2653"/>
      <c r="I31" s="2653"/>
      <c r="J31" s="2653"/>
      <c r="K31" s="2653"/>
      <c r="L31" s="2653"/>
      <c r="M31" s="2653"/>
      <c r="N31" s="2653"/>
      <c r="O31" s="2653"/>
      <c r="P31" s="2653"/>
    </row>
    <row r="32" spans="1:19">
      <c r="A32" s="1643"/>
      <c r="B32" s="1643" t="s">
        <v>1158</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T47" sqref="T4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1160</v>
      </c>
      <c r="B2" s="1045">
        <f>项目基本情况!D3</f>
        <v>44978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2"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3394</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59957</v>
      </c>
      <c r="F6" s="64">
        <f>SUMIF(项目基本情况!C$12:I$12,C6,项目基本情况!C$15:I$15)</f>
        <v>41.03</v>
      </c>
      <c r="G6" s="65">
        <f>IF(ISERROR(ROUND(POWER(1+H6,D6-F6)*(POWER(1+H6,F6)-1)/(POWER(1+H6,D6)-1),3)),0,ROUND(POWER(1+H6,D6-F6)*(POWER(1+H6,F6)-1)/(POWER(1+H6,D6)-1),3))</f>
        <v>0.94</v>
      </c>
      <c r="H6" s="732">
        <v>4.4999999999999998E-2</v>
      </c>
      <c r="I6" s="732">
        <v>5.5E-2</v>
      </c>
      <c r="J6" s="66">
        <v>7.0000000000000007E-2</v>
      </c>
      <c r="K6" s="1030">
        <f>SUMIF('数据-汇总表'!C$19:C$33,A6,'数据-汇总表'!E$19:E$33)</f>
        <v>1105.3800000000001</v>
      </c>
      <c r="L6" s="733">
        <v>3000</v>
      </c>
      <c r="M6" s="67">
        <f t="shared" ref="M6:M14" si="0">ROUND(K6*L6/10000,0)</f>
        <v>332</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v>2</v>
      </c>
      <c r="V6" s="70">
        <v>0.03</v>
      </c>
      <c r="W6" s="70">
        <v>0.1</v>
      </c>
      <c r="X6" s="1040"/>
      <c r="Y6" s="71">
        <f>N6</f>
        <v>0.95</v>
      </c>
      <c r="Z6" s="72"/>
      <c r="AA6" s="66"/>
      <c r="AB6" s="66"/>
      <c r="AC6" s="1040"/>
      <c r="AD6" s="73"/>
      <c r="AE6" s="1041">
        <f ca="1">IF(AN6="",0,SUMIF(INDIRECT("'"&amp;AN6&amp;"'"&amp;"!E:E"),$AE$5,INDIRECT("'"&amp;AN6&amp;"'"&amp;"!F:F")))</f>
        <v>41.03</v>
      </c>
      <c r="AF6" s="1348"/>
      <c r="AG6" s="138">
        <f>IF(AF6="",0,AE6-AF6)</f>
        <v>0</v>
      </c>
      <c r="AH6" s="74"/>
      <c r="AI6" s="76">
        <v>365</v>
      </c>
      <c r="AJ6" s="77"/>
      <c r="AK6" s="78">
        <v>8.0000000000000002E-3</v>
      </c>
      <c r="AL6" s="79">
        <v>1E-3</v>
      </c>
      <c r="AM6" s="80">
        <v>0.01</v>
      </c>
      <c r="AN6" s="1715" t="s">
        <v>3442</v>
      </c>
      <c r="AO6" s="52">
        <f ca="1">SUMIF(INDIRECT("'"&amp;AN6&amp;"'"&amp;"!A:A"),"总价",INDIRECT("'"&amp;AN6&amp;"'"&amp;"!B:B"))</f>
        <v>1389.3498999999999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0.94</v>
      </c>
      <c r="H16" s="90">
        <f>ROUND(SUMPRODUCT(H6:H13,K6:K13)/SUMPRODUCT((H6:H13&gt;0)*(K6:K13)),3)</f>
        <v>4.4999999999999998E-2</v>
      </c>
      <c r="I16" s="91"/>
      <c r="J16" s="91"/>
      <c r="K16" s="92">
        <f>SUM(K6:K15)</f>
        <v>1105.3800000000001</v>
      </c>
      <c r="L16" s="93">
        <f>ROUND(M16*10000/SUM(K6:K14),0)</f>
        <v>3003</v>
      </c>
      <c r="M16" s="93">
        <f>SUM(M6:M14)</f>
        <v>332</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47" t="s">
        <v>3395</v>
      </c>
      <c r="N18" s="2665">
        <v>2020</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1210</v>
      </c>
      <c r="B19" s="103">
        <v>0</v>
      </c>
      <c r="C19" s="2793" t="s">
        <v>2297</v>
      </c>
      <c r="D19" s="2670"/>
      <c r="E19" s="2667"/>
      <c r="F19" s="2667"/>
      <c r="G19" s="2667"/>
      <c r="H19" s="2667"/>
      <c r="I19" s="2667"/>
      <c r="J19" s="2667"/>
      <c r="K19" s="2666"/>
      <c r="L19" s="2666"/>
      <c r="M19" s="3447" t="s">
        <v>3396</v>
      </c>
      <c r="N19" s="2665">
        <f>ROUND(1-(1-0%)*(2023-N18)/60,3)</f>
        <v>0.95</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1211</v>
      </c>
      <c r="B20" s="104">
        <v>2</v>
      </c>
      <c r="C20" s="2794" t="s">
        <v>2295</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1212</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1213</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1214</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1216</v>
      </c>
      <c r="B26" s="1726"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1219</v>
      </c>
      <c r="B27" s="107">
        <v>160</v>
      </c>
      <c r="C27" s="2795" t="s">
        <v>2299</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ROUND(B28*K16/10000,2)</f>
        <v>22.11</v>
      </c>
      <c r="C29" s="2796" t="s">
        <v>2286</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7" t="s">
        <v>2287</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7" t="s">
        <v>2288</v>
      </c>
      <c r="D34" s="2678" t="s">
        <v>2296</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7" t="s">
        <v>2289</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7" t="s">
        <v>2290</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1229</v>
      </c>
      <c r="B37" s="115">
        <v>0.02</v>
      </c>
      <c r="C37" s="2797" t="s">
        <v>2291</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1230</v>
      </c>
      <c r="B38" s="113">
        <v>0.02</v>
      </c>
      <c r="C38" s="2797" t="s">
        <v>2291</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3398</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1232</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1234</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1235</v>
      </c>
      <c r="B44" s="119">
        <v>7.0000000000000007E-2</v>
      </c>
      <c r="C44" s="2797" t="s">
        <v>2300</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1236</v>
      </c>
      <c r="B45" s="117">
        <v>0.03</v>
      </c>
      <c r="C45" s="2796" t="s">
        <v>2292</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1237</v>
      </c>
      <c r="B46" s="117">
        <v>0.02</v>
      </c>
      <c r="C46" s="2796" t="s">
        <v>2293</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1238</v>
      </c>
      <c r="B47" s="120">
        <v>0</v>
      </c>
      <c r="C47" s="2799" t="s">
        <v>2301</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1239</v>
      </c>
      <c r="B48" s="121">
        <v>0.03</v>
      </c>
      <c r="C48" s="2796" t="s">
        <v>2292</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1240</v>
      </c>
      <c r="B49" s="117">
        <v>5.0000000000000001E-4</v>
      </c>
      <c r="C49" s="2796" t="s">
        <v>2294</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1244</v>
      </c>
      <c r="B53" s="1738" t="s">
        <v>29</v>
      </c>
      <c r="C53" s="2655" t="s">
        <v>1245</v>
      </c>
      <c r="D53" s="2798" t="s">
        <v>2298</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1251</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45" t="s">
        <v>2278</v>
      </c>
      <c r="B1" s="3546"/>
      <c r="C1" s="3546"/>
      <c r="D1" s="3546"/>
      <c r="E1" s="3546"/>
      <c r="F1" s="3546"/>
      <c r="G1" s="354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2274</v>
      </c>
      <c r="D2" s="2458"/>
      <c r="E2" s="2455"/>
      <c r="F2" s="2459"/>
      <c r="G2" s="2457" t="s">
        <v>2275</v>
      </c>
      <c r="H2" s="799"/>
      <c r="I2" s="799"/>
      <c r="J2" s="799"/>
      <c r="K2" s="799"/>
      <c r="L2" s="799"/>
      <c r="M2" s="799"/>
      <c r="N2" s="799"/>
      <c r="O2" s="799"/>
      <c r="P2" s="799"/>
      <c r="Q2" s="799"/>
      <c r="R2" s="799"/>
    </row>
    <row r="3" spans="1:29" ht="25.5">
      <c r="A3" s="2438" t="s">
        <v>2276</v>
      </c>
      <c r="B3" s="2460" t="s">
        <v>2248</v>
      </c>
      <c r="C3" s="3448" t="s">
        <v>3400</v>
      </c>
      <c r="D3" s="2461"/>
      <c r="E3" s="2439" t="s">
        <v>2276</v>
      </c>
      <c r="F3" s="2462" t="s">
        <v>2249</v>
      </c>
      <c r="G3" s="2463" t="s">
        <v>2277</v>
      </c>
      <c r="H3" s="799"/>
      <c r="I3" s="799"/>
      <c r="J3" s="799"/>
      <c r="K3" s="799"/>
      <c r="L3" s="799"/>
      <c r="M3" s="799"/>
      <c r="N3" s="799"/>
      <c r="O3" s="799"/>
      <c r="P3" s="799"/>
      <c r="Q3" s="799"/>
      <c r="R3" s="799"/>
    </row>
    <row r="4" spans="1:29" ht="36">
      <c r="A4" s="2439"/>
      <c r="B4" s="323" t="s">
        <v>2250</v>
      </c>
      <c r="C4" s="3449" t="s">
        <v>3401</v>
      </c>
      <c r="D4" s="2461"/>
      <c r="E4" s="2464"/>
      <c r="F4" s="1373" t="s">
        <v>2251</v>
      </c>
      <c r="G4" s="2465" t="s">
        <v>2252</v>
      </c>
      <c r="H4" s="799"/>
      <c r="I4" s="799"/>
      <c r="J4" s="799"/>
      <c r="K4" s="799"/>
      <c r="L4" s="799"/>
      <c r="M4" s="799"/>
      <c r="N4" s="799"/>
      <c r="O4" s="799"/>
      <c r="P4" s="799"/>
      <c r="Q4" s="799"/>
      <c r="R4" s="799"/>
    </row>
    <row r="5" spans="1:29" ht="24">
      <c r="A5" s="2439"/>
      <c r="B5" s="323" t="s">
        <v>2253</v>
      </c>
      <c r="C5" s="3449" t="s">
        <v>3403</v>
      </c>
      <c r="D5" s="2461"/>
      <c r="E5" s="2464"/>
      <c r="F5" s="323" t="s">
        <v>2254</v>
      </c>
      <c r="G5" s="2465" t="s">
        <v>2255</v>
      </c>
      <c r="H5" s="799"/>
      <c r="I5" s="799"/>
      <c r="J5" s="799"/>
      <c r="K5" s="799"/>
      <c r="L5" s="799"/>
      <c r="M5" s="799"/>
      <c r="N5" s="799"/>
      <c r="O5" s="799"/>
      <c r="P5" s="799"/>
      <c r="Q5" s="799"/>
      <c r="R5" s="799"/>
    </row>
    <row r="6" spans="1:29">
      <c r="A6" s="2439"/>
      <c r="B6" s="323" t="s">
        <v>2256</v>
      </c>
      <c r="C6" s="3450" t="s">
        <v>3448</v>
      </c>
      <c r="D6" s="2461"/>
      <c r="E6" s="2464"/>
      <c r="F6" s="323" t="s">
        <v>2257</v>
      </c>
      <c r="G6" s="2465" t="s">
        <v>2258</v>
      </c>
      <c r="H6" s="799"/>
      <c r="I6" s="799"/>
      <c r="J6" s="799"/>
      <c r="K6" s="799"/>
      <c r="L6" s="799"/>
      <c r="M6" s="799"/>
      <c r="N6" s="799"/>
      <c r="O6" s="799"/>
      <c r="P6" s="799"/>
      <c r="Q6" s="799"/>
      <c r="R6" s="799"/>
    </row>
    <row r="7" spans="1:29" ht="24.75" thickBot="1">
      <c r="A7" s="2439"/>
      <c r="B7" s="323" t="s">
        <v>2254</v>
      </c>
      <c r="C7" s="3450" t="s">
        <v>3404</v>
      </c>
      <c r="D7" s="2466"/>
      <c r="E7" s="2467"/>
      <c r="F7" s="2468" t="s">
        <v>2259</v>
      </c>
      <c r="G7" s="2469" t="s">
        <v>2260</v>
      </c>
      <c r="H7" s="799"/>
      <c r="I7" s="799"/>
      <c r="J7" s="799"/>
      <c r="K7" s="799"/>
      <c r="L7" s="799"/>
      <c r="M7" s="799"/>
      <c r="N7" s="799"/>
      <c r="O7" s="799"/>
      <c r="P7" s="799"/>
      <c r="Q7" s="799"/>
      <c r="R7" s="799"/>
    </row>
    <row r="8" spans="1:29">
      <c r="A8" s="2439"/>
      <c r="B8" s="323" t="s">
        <v>2257</v>
      </c>
      <c r="C8" s="3450" t="s">
        <v>3406</v>
      </c>
      <c r="D8" s="2466"/>
      <c r="E8" s="2466"/>
      <c r="F8" s="2470"/>
      <c r="G8" s="2470"/>
      <c r="H8" s="799"/>
      <c r="I8" s="799"/>
      <c r="J8" s="799"/>
      <c r="K8" s="799"/>
      <c r="L8" s="799"/>
      <c r="M8" s="799"/>
      <c r="N8" s="799"/>
      <c r="O8" s="799"/>
      <c r="P8" s="799"/>
      <c r="Q8" s="799"/>
      <c r="R8" s="799"/>
    </row>
    <row r="9" spans="1:29">
      <c r="A9" s="2439"/>
      <c r="B9" s="323" t="s">
        <v>2261</v>
      </c>
      <c r="C9" s="3449" t="s">
        <v>3404</v>
      </c>
      <c r="D9" s="2461"/>
      <c r="E9" s="2466"/>
      <c r="F9" s="2470"/>
      <c r="G9" s="2470"/>
      <c r="H9" s="799"/>
      <c r="I9" s="799"/>
      <c r="J9" s="799"/>
      <c r="K9" s="799"/>
      <c r="L9" s="799"/>
      <c r="M9" s="799"/>
      <c r="N9" s="799"/>
      <c r="O9" s="799"/>
      <c r="P9" s="799"/>
      <c r="Q9" s="799"/>
      <c r="R9" s="799"/>
    </row>
    <row r="10" spans="1:29" s="2476" customFormat="1" ht="15" thickBot="1">
      <c r="A10" s="2440"/>
      <c r="B10" s="2471" t="s">
        <v>2262</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2279</v>
      </c>
      <c r="B13" s="2479"/>
      <c r="C13" s="2479"/>
      <c r="D13" s="2477"/>
      <c r="E13" s="2479"/>
      <c r="F13" s="2479"/>
      <c r="G13" s="2479"/>
    </row>
    <row r="14" spans="1:29" ht="15" thickBot="1">
      <c r="A14" s="2489"/>
      <c r="B14" s="2489"/>
      <c r="C14" s="2490" t="s">
        <v>2263</v>
      </c>
      <c r="D14" s="2461"/>
      <c r="E14" s="2491"/>
      <c r="F14" s="2491"/>
      <c r="G14" s="2457" t="s">
        <v>2264</v>
      </c>
    </row>
    <row r="15" spans="1:29" ht="25.5">
      <c r="A15" s="2441" t="s">
        <v>2265</v>
      </c>
      <c r="B15" s="2492" t="s">
        <v>2248</v>
      </c>
      <c r="C15" s="2493" t="str">
        <f>C3</f>
        <v>较好</v>
      </c>
      <c r="D15" s="2461"/>
      <c r="E15" s="2442" t="s">
        <v>2266</v>
      </c>
      <c r="F15" s="2492" t="s">
        <v>2267</v>
      </c>
      <c r="G15" s="2494" t="str">
        <f>G3</f>
        <v>估价对象位于XX开发区，园区建设成熟度XX，产业集聚程度XX</v>
      </c>
    </row>
    <row r="16" spans="1:29" ht="38.25">
      <c r="A16" s="2443"/>
      <c r="B16" s="2495" t="s">
        <v>2250</v>
      </c>
      <c r="C16" s="2496" t="str">
        <f>C4</f>
        <v>较好</v>
      </c>
      <c r="D16" s="2461"/>
      <c r="E16" s="2444"/>
      <c r="F16" s="2497" t="s">
        <v>2251</v>
      </c>
      <c r="G16" s="2498" t="str">
        <f>G4</f>
        <v>估价对象周边道路状况、公共交通通达情况、停车便捷程度，综合评价交通便捷度较好</v>
      </c>
    </row>
    <row r="17" spans="1:18">
      <c r="A17" s="2443"/>
      <c r="B17" s="2495" t="s">
        <v>2253</v>
      </c>
      <c r="C17" s="2496" t="str">
        <f>C5</f>
        <v>一般</v>
      </c>
      <c r="D17" s="2466"/>
      <c r="E17" s="2444"/>
      <c r="F17" s="2497" t="s">
        <v>2268</v>
      </c>
      <c r="G17" s="2499"/>
    </row>
    <row r="18" spans="1:18" ht="25.5">
      <c r="A18" s="2443"/>
      <c r="B18" s="2497" t="s">
        <v>2256</v>
      </c>
      <c r="C18" s="2498" t="str">
        <f>C6</f>
        <v>较好</v>
      </c>
      <c r="D18" s="2466"/>
      <c r="E18" s="2444"/>
      <c r="F18" s="2497" t="s">
        <v>2259</v>
      </c>
      <c r="G18" s="2498" t="str">
        <f>G7</f>
        <v>该园区内是否有污染型企业，绿化情况，卫生条件，整体环境状况判断</v>
      </c>
    </row>
    <row r="19" spans="1:18" ht="25.5">
      <c r="A19" s="2443"/>
      <c r="B19" s="2497" t="s">
        <v>2269</v>
      </c>
      <c r="C19" s="2499"/>
      <c r="D19" s="2461"/>
      <c r="E19" s="2444"/>
      <c r="F19" s="323" t="s">
        <v>2254</v>
      </c>
      <c r="G19" s="2498" t="str">
        <f>G5</f>
        <v>估价对象所在区域公共配套设施齐备情况</v>
      </c>
    </row>
    <row r="20" spans="1:18">
      <c r="A20" s="2443"/>
      <c r="B20" s="2497" t="s">
        <v>2270</v>
      </c>
      <c r="C20" s="2496" t="str">
        <f>C9</f>
        <v>一般</v>
      </c>
      <c r="D20" s="2466"/>
      <c r="E20" s="2444"/>
      <c r="F20" s="323" t="s">
        <v>2257</v>
      </c>
      <c r="G20" s="2498" t="str">
        <f>G6</f>
        <v>估价对象所在区域基础设施水平</v>
      </c>
    </row>
    <row r="21" spans="1:18">
      <c r="A21" s="2443"/>
      <c r="B21" s="323" t="s">
        <v>2254</v>
      </c>
      <c r="C21" s="2498" t="str">
        <f>C7</f>
        <v>一般</v>
      </c>
      <c r="D21" s="2461"/>
      <c r="E21" s="2444"/>
      <c r="F21" s="2497" t="s">
        <v>2271</v>
      </c>
      <c r="G21" s="2500"/>
    </row>
    <row r="22" spans="1:18" ht="13.5" customHeight="1">
      <c r="A22" s="2443"/>
      <c r="B22" s="323" t="s">
        <v>2257</v>
      </c>
      <c r="C22" s="2498" t="str">
        <f>C8</f>
        <v>七通</v>
      </c>
      <c r="D22" s="2461"/>
      <c r="E22" s="2444"/>
      <c r="F22" s="2497" t="s">
        <v>2262</v>
      </c>
      <c r="G22" s="2499"/>
    </row>
    <row r="23" spans="1:18" s="799" customFormat="1" ht="15" thickBot="1">
      <c r="A23" s="2443"/>
      <c r="B23" s="2497" t="s">
        <v>2271</v>
      </c>
      <c r="C23" s="2500"/>
      <c r="D23" s="1741"/>
      <c r="E23" s="2445"/>
      <c r="F23" s="2501" t="s">
        <v>2272</v>
      </c>
      <c r="G23" s="2502"/>
      <c r="H23" s="2486"/>
      <c r="I23" s="2487"/>
      <c r="J23" s="2486"/>
      <c r="K23" s="2486"/>
      <c r="L23" s="2487"/>
      <c r="M23" s="2486"/>
      <c r="N23" s="2486"/>
      <c r="O23" s="2487"/>
      <c r="P23" s="2486"/>
      <c r="Q23" s="2486"/>
      <c r="R23" s="2488"/>
    </row>
    <row r="24" spans="1:18" s="799" customFormat="1" ht="15" thickBot="1">
      <c r="A24" s="2446"/>
      <c r="B24" s="2501" t="s">
        <v>2273</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1105.3800000000001</v>
      </c>
      <c r="C1" s="2680"/>
      <c r="D1" s="2680"/>
      <c r="E1" s="2680"/>
      <c r="F1" s="2680"/>
      <c r="G1" s="2681"/>
      <c r="H1" s="2682"/>
      <c r="I1" s="2682"/>
      <c r="J1" s="2682"/>
      <c r="K1" s="2682"/>
    </row>
    <row r="2" spans="1:11" ht="16.5">
      <c r="A2" s="2507" t="s">
        <v>653</v>
      </c>
      <c r="B2" s="2507">
        <f>SUM(C14:C23)</f>
        <v>0</v>
      </c>
      <c r="C2" s="2680"/>
      <c r="D2" s="2680"/>
      <c r="E2" s="2680"/>
      <c r="F2" s="2680"/>
      <c r="G2" s="2681"/>
      <c r="H2" s="2682"/>
      <c r="I2" s="2682"/>
      <c r="J2" s="2682"/>
      <c r="K2" s="2682"/>
    </row>
    <row r="3" spans="1:11" ht="16.5">
      <c r="A3" s="2507" t="s">
        <v>662</v>
      </c>
      <c r="B3" s="2509">
        <f>项目基本情况!D3</f>
        <v>44978</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 ca="1">SUM(D14:D23)</f>
        <v>2004</v>
      </c>
      <c r="C5" s="2507">
        <f ca="1">IF(B5=D14,结果表!H102,ROUND(B5*10000/$B$1,0))</f>
        <v>18132</v>
      </c>
      <c r="D5" s="2507" t="e">
        <f ca="1">ROUND(B5*10000/$B$2,0)</f>
        <v>#DIV/0!</v>
      </c>
      <c r="E5" s="2680"/>
      <c r="F5" s="2681"/>
      <c r="G5" s="2681"/>
      <c r="H5" s="2682"/>
      <c r="I5" s="2682"/>
      <c r="J5" s="2682"/>
      <c r="K5" s="2682"/>
    </row>
    <row r="6" spans="1:11" ht="16.5">
      <c r="A6" s="2507" t="s">
        <v>656</v>
      </c>
      <c r="B6" s="2507">
        <f ca="1">SUM(G14:G23)</f>
        <v>2004</v>
      </c>
      <c r="C6" s="2507">
        <f ca="1">IF(B6=G14,结果表!H108,ROUND(B6*10000/$B$1,0))</f>
        <v>18132</v>
      </c>
      <c r="D6" s="2507" t="e">
        <f ca="1">ROUND(B6*10000/$B$2,0)</f>
        <v>#DIV/0!</v>
      </c>
      <c r="E6" s="2680"/>
      <c r="F6" s="2681"/>
      <c r="G6" s="2681"/>
      <c r="H6" s="2682"/>
      <c r="I6" s="2682"/>
      <c r="J6" s="2682"/>
      <c r="K6" s="2682"/>
    </row>
    <row r="7" spans="1:11" ht="16.5">
      <c r="A7" s="2507" t="s">
        <v>664</v>
      </c>
      <c r="B7" s="2507">
        <f>SUM(H14:H23)</f>
        <v>0</v>
      </c>
      <c r="C7" s="2507">
        <f>IF(B7=H14,结果表!H110,ROUND(B7*10000/$B$1,0))</f>
        <v>0</v>
      </c>
      <c r="D7" s="2507" t="e">
        <f>ROUND(B7*10000/$B$2,0)</f>
        <v>#DIV/0!</v>
      </c>
      <c r="E7" s="2680"/>
      <c r="F7" s="2681"/>
      <c r="G7" s="2681"/>
      <c r="H7" s="2682"/>
      <c r="I7" s="2682"/>
      <c r="J7" s="2682"/>
      <c r="K7" s="2682"/>
    </row>
    <row r="8" spans="1:11" ht="16.5">
      <c r="A8" s="2507" t="s">
        <v>587</v>
      </c>
      <c r="B8" s="2507">
        <f>SUM(I14:I23)</f>
        <v>0</v>
      </c>
      <c r="C8" s="2507">
        <f>IF(B8=I14,结果表!H112,ROUND(B8*10000/$B$1,0))</f>
        <v>0</v>
      </c>
      <c r="D8" s="2507" t="e">
        <f>ROUND(B8*10000/$B$2,0)</f>
        <v>#DIV/0!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IF(E10="",0,ROUND(B1*(E10*365/G10)/10000,0))</f>
        <v>0</v>
      </c>
      <c r="C10" s="2507" t="s">
        <v>3355</v>
      </c>
      <c r="D10" s="2507" t="s">
        <v>3356</v>
      </c>
      <c r="E10" s="3435"/>
      <c r="F10" s="3439" t="s">
        <v>3357</v>
      </c>
      <c r="G10" s="3436"/>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结果表!B118</f>
        <v>1105.3800000000001</v>
      </c>
      <c r="C14" s="2513">
        <f>结果表!C118</f>
        <v>0</v>
      </c>
      <c r="D14" s="2513">
        <f ca="1">结果表!H118</f>
        <v>2004</v>
      </c>
      <c r="E14" s="2513">
        <f ca="1">ROUND(D14*10000/B14,0)</f>
        <v>18130</v>
      </c>
      <c r="F14" s="2513" t="e">
        <f ca="1">ROUND(D14*10000/C14,0)</f>
        <v>#DIV/0!</v>
      </c>
      <c r="G14" s="2513">
        <f ca="1">结果表!H118</f>
        <v>2004</v>
      </c>
      <c r="H14" s="2513" t="str">
        <f>结果表!D124</f>
        <v>——</v>
      </c>
      <c r="I14" s="2513" t="str">
        <f>结果表!D126</f>
        <v>——</v>
      </c>
      <c r="J14" s="2681"/>
      <c r="K14" s="2682"/>
    </row>
    <row r="15" spans="1:11" ht="16.5">
      <c r="A15" s="2512" t="s">
        <v>649</v>
      </c>
      <c r="B15" s="2514"/>
      <c r="C15" s="2514"/>
      <c r="D15" s="2514"/>
      <c r="E15" s="2513" t="e">
        <f t="shared" ref="E15:E23" si="0">ROUND(D15*10000/B15,0)</f>
        <v>#DIV/0!</v>
      </c>
      <c r="F15" s="2513" t="e">
        <f t="shared" ref="F15:F23" si="1">ROUND(D15*10000/C15,0)</f>
        <v>#DIV/0!</v>
      </c>
      <c r="G15" s="1331"/>
      <c r="H15" s="1331"/>
      <c r="I15" s="2514"/>
      <c r="J15" s="2681"/>
      <c r="K15" s="2682"/>
    </row>
    <row r="16" spans="1:11" ht="16.5">
      <c r="A16" s="2512" t="s">
        <v>648</v>
      </c>
      <c r="B16" s="2514"/>
      <c r="C16" s="2514"/>
      <c r="D16" s="2514"/>
      <c r="E16" s="2513" t="e">
        <f t="shared" si="0"/>
        <v>#DIV/0!</v>
      </c>
      <c r="F16" s="2513" t="e">
        <f t="shared" si="1"/>
        <v>#DIV/0!</v>
      </c>
      <c r="G16" s="1331"/>
      <c r="H16" s="1331"/>
      <c r="I16" s="2514"/>
      <c r="J16" s="2682"/>
      <c r="K16" s="2682"/>
    </row>
    <row r="17" spans="1:11" ht="16.5">
      <c r="A17" s="2512" t="s">
        <v>647</v>
      </c>
      <c r="B17" s="2514"/>
      <c r="C17" s="2514"/>
      <c r="D17" s="2514"/>
      <c r="E17" s="2513" t="e">
        <f t="shared" si="0"/>
        <v>#DIV/0!</v>
      </c>
      <c r="F17" s="2513" t="e">
        <f t="shared" si="1"/>
        <v>#DIV/0!</v>
      </c>
      <c r="G17" s="1331"/>
      <c r="H17" s="1331"/>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90" zoomScaleNormal="100" zoomScaleSheetLayoutView="90" zoomScalePageLayoutView="80" workbookViewId="0">
      <selection activeCell="J119" sqref="J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21</v>
      </c>
      <c r="D1" s="1747"/>
      <c r="E1" s="1747"/>
      <c r="F1" s="1749" t="s">
        <v>1262</v>
      </c>
      <c r="G1" s="1561" t="s">
        <v>3382</v>
      </c>
      <c r="H1" s="1750" t="str">
        <f>IF(G1="现房","——","估价对象范围")</f>
        <v>——</v>
      </c>
      <c r="I1" s="1751" t="s">
        <v>3440</v>
      </c>
    </row>
    <row r="2" spans="1:12" ht="21.75" customHeight="1" thickBot="1">
      <c r="A2" s="3614" t="str">
        <f>项目基本情况!S2</f>
        <v>北京市门头沟区金沙西街17号院1号楼7层701房地产</v>
      </c>
      <c r="B2" s="3615"/>
      <c r="C2" s="3615"/>
      <c r="D2" s="3615"/>
      <c r="E2" s="3615"/>
      <c r="F2" s="3615"/>
      <c r="G2" s="3615"/>
      <c r="H2" s="3615"/>
      <c r="I2" s="3616"/>
    </row>
    <row r="3" spans="1:12" ht="12.75">
      <c r="A3" s="3618" t="s">
        <v>1263</v>
      </c>
      <c r="B3" s="3619"/>
      <c r="C3" s="3619"/>
      <c r="D3" s="3619"/>
      <c r="E3" s="3619"/>
      <c r="F3" s="3619"/>
      <c r="G3" s="3619"/>
      <c r="H3" s="3619"/>
      <c r="I3" s="3619"/>
    </row>
    <row r="4" spans="1:12" ht="14.25">
      <c r="A4" s="1754" t="s">
        <v>1264</v>
      </c>
      <c r="B4" s="1755" t="s">
        <v>1265</v>
      </c>
      <c r="C4" s="1756" t="s">
        <v>3412</v>
      </c>
      <c r="D4" s="1756" t="s">
        <v>3397</v>
      </c>
      <c r="E4" s="3623" t="s">
        <v>1266</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1267</v>
      </c>
      <c r="B5" s="3617">
        <v>25</v>
      </c>
      <c r="C5" s="3620"/>
      <c r="D5" s="3608"/>
      <c r="E5" s="131" t="s">
        <v>1268</v>
      </c>
      <c r="F5" s="1757"/>
      <c r="G5" s="1757"/>
      <c r="H5" s="1757"/>
      <c r="I5" s="1373"/>
    </row>
    <row r="6" spans="1:12" ht="12.75">
      <c r="A6" s="3562"/>
      <c r="B6" s="3617"/>
      <c r="C6" s="3622"/>
      <c r="D6" s="3608"/>
      <c r="E6" s="131" t="s">
        <v>1269</v>
      </c>
      <c r="F6" s="1757"/>
      <c r="G6" s="1757"/>
      <c r="H6" s="1757"/>
      <c r="I6" s="1373"/>
    </row>
    <row r="7" spans="1:12" ht="12.75">
      <c r="A7" s="3562"/>
      <c r="B7" s="3617"/>
      <c r="C7" s="3621"/>
      <c r="D7" s="3608"/>
      <c r="E7" s="131" t="s">
        <v>1270</v>
      </c>
      <c r="F7" s="1757"/>
      <c r="G7" s="1757"/>
      <c r="H7" s="1757"/>
      <c r="I7" s="1373"/>
    </row>
    <row r="8" spans="1:12" ht="12.75">
      <c r="A8" s="3562" t="s">
        <v>1271</v>
      </c>
      <c r="B8" s="3617">
        <v>15</v>
      </c>
      <c r="C8" s="3620"/>
      <c r="D8" s="3608"/>
      <c r="E8" s="131" t="s">
        <v>1272</v>
      </c>
      <c r="F8" s="1757"/>
      <c r="G8" s="1757"/>
      <c r="H8" s="1757"/>
      <c r="I8" s="1373"/>
    </row>
    <row r="9" spans="1:12" ht="12.75">
      <c r="A9" s="3562"/>
      <c r="B9" s="3617"/>
      <c r="C9" s="3621"/>
      <c r="D9" s="3608"/>
      <c r="E9" s="131" t="s">
        <v>1273</v>
      </c>
      <c r="F9" s="1757"/>
      <c r="G9" s="1757"/>
      <c r="H9" s="1757"/>
      <c r="I9" s="1373"/>
    </row>
    <row r="10" spans="1:12" ht="12.75">
      <c r="A10" s="3562" t="s">
        <v>1274</v>
      </c>
      <c r="B10" s="3617">
        <v>15</v>
      </c>
      <c r="C10" s="3620"/>
      <c r="D10" s="3608"/>
      <c r="E10" s="131" t="s">
        <v>1275</v>
      </c>
      <c r="F10" s="1757"/>
      <c r="G10" s="1757"/>
      <c r="H10" s="1757"/>
      <c r="I10" s="1373"/>
    </row>
    <row r="11" spans="1:12" ht="12.75">
      <c r="A11" s="3562"/>
      <c r="B11" s="3617"/>
      <c r="C11" s="3621"/>
      <c r="D11" s="3608"/>
      <c r="E11" s="131" t="s">
        <v>1276</v>
      </c>
      <c r="F11" s="1757"/>
      <c r="G11" s="1757"/>
      <c r="H11" s="1757"/>
      <c r="I11" s="1373"/>
    </row>
    <row r="12" spans="1:12" ht="12.75">
      <c r="A12" s="3562" t="s">
        <v>1277</v>
      </c>
      <c r="B12" s="3617">
        <v>15</v>
      </c>
      <c r="C12" s="3620"/>
      <c r="D12" s="3608"/>
      <c r="E12" s="131" t="s">
        <v>1278</v>
      </c>
      <c r="F12" s="1757"/>
      <c r="G12" s="1757"/>
      <c r="H12" s="1757"/>
      <c r="I12" s="1373"/>
    </row>
    <row r="13" spans="1:12" ht="12.75">
      <c r="A13" s="3562"/>
      <c r="B13" s="3617"/>
      <c r="C13" s="3621"/>
      <c r="D13" s="3608"/>
      <c r="E13" s="131" t="s">
        <v>1279</v>
      </c>
      <c r="F13" s="1757"/>
      <c r="G13" s="1757"/>
      <c r="H13" s="1757"/>
      <c r="I13" s="1373"/>
    </row>
    <row r="14" spans="1:12" ht="12.75">
      <c r="A14" s="3562" t="s">
        <v>1280</v>
      </c>
      <c r="B14" s="3617">
        <v>30</v>
      </c>
      <c r="C14" s="3620">
        <v>7</v>
      </c>
      <c r="D14" s="3608">
        <v>3</v>
      </c>
      <c r="E14" s="131" t="s">
        <v>1281</v>
      </c>
      <c r="F14" s="1757"/>
      <c r="G14" s="1757"/>
      <c r="H14" s="1757"/>
      <c r="I14" s="1373"/>
    </row>
    <row r="15" spans="1:12" ht="12.75">
      <c r="A15" s="3562"/>
      <c r="B15" s="3617"/>
      <c r="C15" s="3622"/>
      <c r="D15" s="3608"/>
      <c r="E15" s="131" t="s">
        <v>1282</v>
      </c>
      <c r="F15" s="1757"/>
      <c r="G15" s="1757"/>
      <c r="H15" s="1757"/>
      <c r="I15" s="1373"/>
    </row>
    <row r="16" spans="1:12" ht="12.75">
      <c r="A16" s="3562"/>
      <c r="B16" s="3617"/>
      <c r="C16" s="3621"/>
      <c r="D16" s="3608"/>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639" t="s">
        <v>2130</v>
      </c>
      <c r="F18" s="3640"/>
      <c r="G18" s="3640"/>
      <c r="H18" s="3640"/>
      <c r="I18" s="3640"/>
      <c r="K18" s="302" t="s">
        <v>1288</v>
      </c>
      <c r="L18" s="302">
        <f>IF(C1="",'数据-汇总表'!E3,SUMIF(项目类型,C1,'数据-汇总表'!E17:E26)+SUMIF(项目类型,C1,'数据-汇总表'!I17:I26))</f>
        <v>1105.3800000000001</v>
      </c>
      <c r="M18" s="302">
        <f>IF(C1="",'数据-汇总表'!E3,SUMIF(项目类型,C1,'数据-汇总表'!E17:E26))</f>
        <v>1105.3800000000001</v>
      </c>
    </row>
    <row r="19" spans="1:36" ht="15">
      <c r="A19" s="1761" t="s">
        <v>1289</v>
      </c>
      <c r="B19" s="1762" t="s">
        <v>1290</v>
      </c>
      <c r="C19" s="134">
        <f ca="1">SUMIF(INDIRECT("'"&amp;C4&amp;"'"&amp;"!A:A"),结果表!B19,INDIRECT("'"&amp;C4&amp;"'"&amp;"!B:B"))</f>
        <v>2261.9391000000001</v>
      </c>
      <c r="D19" s="135">
        <f ca="1">SUMIF(INDIRECT("'"&amp;D4&amp;"'"&amp;"!A:A"),结果表!B19,INDIRECT("'"&amp;D4&amp;"'"&amp;"!B:B"))</f>
        <v>1403</v>
      </c>
      <c r="E19" s="1761" t="s">
        <v>1291</v>
      </c>
      <c r="F19" s="1762" t="s">
        <v>1290</v>
      </c>
      <c r="G19" s="136">
        <f ca="1">ROUND(C19*$C$18+D19*$D$18,0)</f>
        <v>2004</v>
      </c>
      <c r="H19" s="1763" t="s">
        <v>1292</v>
      </c>
      <c r="I19" s="129">
        <f ca="1">ROUND(G20*B118,0)</f>
        <v>20042750</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20463</v>
      </c>
      <c r="D20" s="138">
        <f ca="1">SUMIF(INDIRECT("'"&amp;D4&amp;"'"&amp;"!A:A"),结果表!B20,INDIRECT("'"&amp;D4&amp;"'"&amp;"!B:B"))</f>
        <v>12692</v>
      </c>
      <c r="E20" s="1764"/>
      <c r="F20" s="1026" t="s">
        <v>1294</v>
      </c>
      <c r="G20" s="139">
        <f ca="1">ROUND(C20*$C$18+D20*$D$18,0)</f>
        <v>18132</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0.61221603706343553</v>
      </c>
      <c r="E22" s="129"/>
      <c r="F22" s="129"/>
      <c r="G22" s="129"/>
      <c r="H22" s="129"/>
      <c r="I22" s="129"/>
    </row>
    <row r="23" spans="1:36" ht="13.5" thickBot="1">
      <c r="A23" s="1747"/>
      <c r="B23" s="1747"/>
      <c r="C23" s="1747"/>
      <c r="D23" s="1747"/>
      <c r="E23" s="129"/>
      <c r="F23" s="129"/>
      <c r="G23" s="129"/>
      <c r="H23" s="129"/>
      <c r="I23" s="129"/>
    </row>
    <row r="24" spans="1:36" ht="14.25">
      <c r="A24" s="3632" t="s">
        <v>1298</v>
      </c>
      <c r="B24" s="1762" t="s">
        <v>1290</v>
      </c>
      <c r="C24" s="136">
        <f>IF(B30=0,0,D30)</f>
        <v>0</v>
      </c>
      <c r="D24" s="1769"/>
      <c r="E24" s="129"/>
      <c r="F24" s="129"/>
      <c r="G24" s="129"/>
      <c r="H24" s="129"/>
      <c r="I24" s="129"/>
    </row>
    <row r="25" spans="1:36" ht="14.25">
      <c r="A25" s="3633"/>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18132</v>
      </c>
      <c r="D32" s="1775" t="s">
        <v>3441</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09" t="s">
        <v>1311</v>
      </c>
      <c r="B36" s="1787" t="s">
        <v>1312</v>
      </c>
      <c r="C36" s="145"/>
      <c r="D36" s="1788"/>
      <c r="E36" s="1789"/>
      <c r="F36" s="1790"/>
      <c r="G36" s="129"/>
      <c r="H36" s="129"/>
      <c r="I36" s="129"/>
    </row>
    <row r="37" spans="1:15" ht="15.75" thickBot="1">
      <c r="A37" s="3610"/>
      <c r="B37" s="1674" t="s">
        <v>1313</v>
      </c>
      <c r="C37" s="147"/>
      <c r="D37" s="1139"/>
      <c r="E37" s="1139"/>
      <c r="F37" s="1790"/>
      <c r="G37" s="129"/>
      <c r="H37" s="129"/>
      <c r="I37" s="129"/>
    </row>
    <row r="38" spans="1:15" ht="15.75" thickBot="1">
      <c r="A38" s="3611"/>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29" t="s">
        <v>1325</v>
      </c>
      <c r="B45" s="3630"/>
      <c r="C45" s="3631"/>
      <c r="D45" s="155">
        <f ca="1">ROUND(H101*F45,0)</f>
        <v>2004</v>
      </c>
      <c r="E45" s="156" t="s">
        <v>1326</v>
      </c>
      <c r="F45" s="157">
        <v>1</v>
      </c>
      <c r="G45" s="158" t="s">
        <v>1327</v>
      </c>
      <c r="H45" s="129"/>
      <c r="I45" s="129"/>
      <c r="J45" s="3549" t="s">
        <v>1328</v>
      </c>
      <c r="K45" s="3549"/>
      <c r="L45" s="3549"/>
      <c r="M45" s="3549"/>
      <c r="N45" s="3549"/>
      <c r="O45" s="3549"/>
    </row>
    <row r="46" spans="1:15" ht="14.25" customHeight="1">
      <c r="A46" s="3626" t="s">
        <v>1329</v>
      </c>
      <c r="B46" s="3627"/>
      <c r="C46" s="3627"/>
      <c r="D46" s="3627"/>
      <c r="E46" s="3627"/>
      <c r="F46" s="3627"/>
      <c r="G46" s="3628"/>
      <c r="H46" s="1806"/>
      <c r="I46" s="159"/>
      <c r="J46" s="2518">
        <v>1</v>
      </c>
      <c r="K46" s="3550" t="s">
        <v>1330</v>
      </c>
      <c r="L46" s="3550"/>
      <c r="M46" s="3551"/>
      <c r="N46" s="3551"/>
      <c r="O46" s="3551"/>
    </row>
    <row r="47" spans="1:15" ht="12" customHeight="1">
      <c r="A47" s="160" t="s">
        <v>1331</v>
      </c>
      <c r="B47" s="161"/>
      <c r="C47" s="162"/>
      <c r="D47" s="1087" t="s">
        <v>1332</v>
      </c>
      <c r="E47" s="302" t="s">
        <v>1333</v>
      </c>
      <c r="F47" s="163" t="s">
        <v>1334</v>
      </c>
      <c r="G47" s="2541" t="s">
        <v>1335</v>
      </c>
      <c r="H47" s="2542"/>
      <c r="I47" s="159"/>
      <c r="J47" s="2518">
        <v>2</v>
      </c>
      <c r="K47" s="3550" t="s">
        <v>1336</v>
      </c>
      <c r="L47" s="3550"/>
      <c r="M47" s="3552">
        <f>'数据-取费表'!B2</f>
        <v>44978</v>
      </c>
      <c r="N47" s="3552"/>
      <c r="O47" s="3552"/>
    </row>
    <row r="48" spans="1:15" ht="25.5">
      <c r="A48" s="3612" t="s">
        <v>1337</v>
      </c>
      <c r="B48" s="3613"/>
      <c r="C48" s="3613"/>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1338</v>
      </c>
      <c r="H48" s="2545"/>
      <c r="I48" s="1806"/>
      <c r="J48" s="2518">
        <v>3</v>
      </c>
      <c r="K48" s="3550" t="s">
        <v>1339</v>
      </c>
      <c r="L48" s="3550"/>
      <c r="M48" s="3553">
        <f ca="1">H101</f>
        <v>2004</v>
      </c>
      <c r="N48" s="3553"/>
      <c r="O48" s="3553"/>
    </row>
    <row r="49" spans="1:35" ht="25.5" customHeight="1">
      <c r="A49" s="2333" t="s">
        <v>1340</v>
      </c>
      <c r="B49" s="3598" t="s">
        <v>1341</v>
      </c>
      <c r="C49" s="3598"/>
      <c r="D49" s="1590">
        <v>0</v>
      </c>
      <c r="E49" s="324" t="s">
        <v>1342</v>
      </c>
      <c r="F49" s="2421" t="s">
        <v>28</v>
      </c>
      <c r="G49" s="3581"/>
      <c r="H49" s="2310" t="s">
        <v>2133</v>
      </c>
      <c r="I49" s="2311"/>
      <c r="J49" s="2518">
        <v>4</v>
      </c>
      <c r="K49" s="3550" t="str">
        <f>IF(项目基本情况!E8="房地产抵押价值","房地产抵押价值","抵押担保权已注销时的房地产抵押价值")</f>
        <v>房地产抵押价值</v>
      </c>
      <c r="L49" s="3550"/>
      <c r="M49" s="3553">
        <f ca="1">IF(项目基本情况!E8="房地产抵押价值",H107,H109)</f>
        <v>2004</v>
      </c>
      <c r="N49" s="3553"/>
      <c r="O49" s="3553"/>
    </row>
    <row r="50" spans="1:35" ht="25.5" customHeight="1">
      <c r="A50" s="2546"/>
      <c r="B50" s="3598" t="s">
        <v>1343</v>
      </c>
      <c r="C50" s="3598"/>
      <c r="D50" s="2547"/>
      <c r="E50" s="332"/>
      <c r="F50" s="2421"/>
      <c r="G50" s="3582"/>
      <c r="H50" s="2312" t="s">
        <v>2134</v>
      </c>
      <c r="I50" s="2311"/>
      <c r="J50" s="3549" t="s">
        <v>1344</v>
      </c>
      <c r="K50" s="3549"/>
      <c r="L50" s="3549"/>
      <c r="M50" s="3549"/>
      <c r="N50" s="3549"/>
      <c r="O50" s="3549"/>
    </row>
    <row r="51" spans="1:35" ht="20.45" customHeight="1">
      <c r="A51" s="2548"/>
      <c r="B51" s="3598" t="s">
        <v>1345</v>
      </c>
      <c r="C51" s="3598"/>
      <c r="D51" s="1087"/>
      <c r="E51" s="327"/>
      <c r="F51" s="2421"/>
      <c r="G51" s="3583"/>
      <c r="H51" s="2312" t="s">
        <v>2135</v>
      </c>
      <c r="I51" s="2311"/>
      <c r="J51" s="2519" t="s">
        <v>1346</v>
      </c>
      <c r="K51" s="3550" t="s">
        <v>1347</v>
      </c>
      <c r="L51" s="3550"/>
      <c r="M51" s="2519" t="s">
        <v>1348</v>
      </c>
      <c r="N51" s="2519" t="s">
        <v>1349</v>
      </c>
      <c r="O51" s="2519" t="s">
        <v>1350</v>
      </c>
    </row>
    <row r="52" spans="1:35" ht="24" customHeight="1">
      <c r="A52" s="2335" t="s">
        <v>1351</v>
      </c>
      <c r="B52" s="3598" t="s">
        <v>1352</v>
      </c>
      <c r="C52" s="3598"/>
      <c r="D52" s="1087">
        <f ca="1">ROUND(D45*'数据-取费表'!B41/(1+'数据-取费表'!C42),0)</f>
        <v>107</v>
      </c>
      <c r="E52" s="2334" t="s">
        <v>1353</v>
      </c>
      <c r="F52" s="2549">
        <f>'数据-取费表'!B41</f>
        <v>5.6000000000000001E-2</v>
      </c>
      <c r="G52" s="2550"/>
      <c r="H52" s="2539"/>
      <c r="I52" s="1807"/>
      <c r="J52" s="2518">
        <v>1</v>
      </c>
      <c r="K52" s="3575" t="s">
        <v>1354</v>
      </c>
      <c r="L52" s="3575"/>
      <c r="M52" s="2520" t="b">
        <f>D48</f>
        <v>0</v>
      </c>
      <c r="N52" s="2518" t="str">
        <f>E48</f>
        <v>销售额×税（费）率</v>
      </c>
      <c r="O52" s="2521">
        <f>F48</f>
        <v>5.6000000000000001E-2</v>
      </c>
    </row>
    <row r="53" spans="1:35" ht="12" customHeight="1">
      <c r="A53" s="2335" t="s">
        <v>1355</v>
      </c>
      <c r="B53" s="3599" t="s">
        <v>2283</v>
      </c>
      <c r="C53" s="3600"/>
      <c r="D53" s="1087">
        <f ca="1">ROUND(D45*'数据-取费表'!B41/(1+'数据-取费表'!C42),0)</f>
        <v>107</v>
      </c>
      <c r="E53" s="2334" t="s">
        <v>1353</v>
      </c>
      <c r="F53" s="2549">
        <f>'数据-取费表'!B41</f>
        <v>5.6000000000000001E-2</v>
      </c>
      <c r="G53" s="2550"/>
      <c r="H53" s="2539"/>
      <c r="I53" s="1807"/>
      <c r="J53" s="2518">
        <v>2</v>
      </c>
      <c r="K53" s="3575" t="s">
        <v>1356</v>
      </c>
      <c r="L53" s="3575"/>
      <c r="M53" s="2520">
        <f t="shared" ref="M53:O54" ca="1" si="0">D55</f>
        <v>1</v>
      </c>
      <c r="N53" s="2518" t="str">
        <f t="shared" si="0"/>
        <v>销售额×税（费）率</v>
      </c>
      <c r="O53" s="2521" t="str">
        <f t="shared" si="0"/>
        <v>免征</v>
      </c>
    </row>
    <row r="54" spans="1:35" ht="12" customHeight="1">
      <c r="A54" s="2335" t="s">
        <v>1357</v>
      </c>
      <c r="B54" s="3599" t="s">
        <v>2284</v>
      </c>
      <c r="C54" s="3600"/>
      <c r="D54" s="1087">
        <f ca="1">C68</f>
        <v>107</v>
      </c>
      <c r="E54" s="327" t="s">
        <v>1358</v>
      </c>
      <c r="F54" s="2549">
        <f>'数据-取费表'!B41</f>
        <v>5.6000000000000001E-2</v>
      </c>
      <c r="G54" s="2550"/>
      <c r="H54" s="2551"/>
      <c r="I54" s="1807"/>
      <c r="J54" s="2518">
        <v>3</v>
      </c>
      <c r="K54" s="3575" t="s">
        <v>1359</v>
      </c>
      <c r="L54" s="3575"/>
      <c r="M54" s="2520">
        <f t="shared" ca="1" si="0"/>
        <v>1135</v>
      </c>
      <c r="N54" s="2518" t="str">
        <f t="shared" si="0"/>
        <v>增值额×税（费）率</v>
      </c>
      <c r="O54" s="2522" t="str">
        <f t="shared" si="0"/>
        <v>免征</v>
      </c>
    </row>
    <row r="55" spans="1:35" ht="24" customHeight="1">
      <c r="A55" s="3635" t="s">
        <v>1360</v>
      </c>
      <c r="B55" s="3613"/>
      <c r="C55" s="3613"/>
      <c r="D55" s="2324">
        <f ca="1">IF(H55="个人住宅",0,ROUND(D45*I55,0))</f>
        <v>1</v>
      </c>
      <c r="E55" s="2334" t="s">
        <v>1361</v>
      </c>
      <c r="F55" s="2549" t="str">
        <f>IF(H55="正常",I55,"免征")</f>
        <v>免征</v>
      </c>
      <c r="G55" s="2550"/>
      <c r="H55" s="2545"/>
      <c r="I55" s="165">
        <f>'数据-取费表'!B49</f>
        <v>5.0000000000000001E-4</v>
      </c>
      <c r="J55" s="2518">
        <f>IF(H59="非个人房产","",4)</f>
        <v>4</v>
      </c>
      <c r="K55" s="3575" t="str">
        <f>IF(H59="非个人房产","——","个人所得税")</f>
        <v>个人所得税</v>
      </c>
      <c r="L55" s="3575"/>
      <c r="M55" s="2523">
        <f ca="1">D59</f>
        <v>19</v>
      </c>
      <c r="N55" s="2040" t="str">
        <f>E59</f>
        <v>差额计税</v>
      </c>
      <c r="O55" s="2524">
        <f>F59</f>
        <v>0.01</v>
      </c>
    </row>
    <row r="56" spans="1:35" ht="24.75">
      <c r="A56" s="3635" t="s">
        <v>1362</v>
      </c>
      <c r="B56" s="3613"/>
      <c r="C56" s="3613"/>
      <c r="D56" s="2324">
        <f ca="1">IF(H56="个人住宅",D57,D58)</f>
        <v>1135</v>
      </c>
      <c r="E56" s="2334" t="s">
        <v>1363</v>
      </c>
      <c r="F56" s="2549" t="str">
        <f>IF(H56="正常",F58,"免征")</f>
        <v>免征</v>
      </c>
      <c r="G56" s="2552" t="s">
        <v>1364</v>
      </c>
      <c r="H56" s="2553"/>
      <c r="I56" s="1808"/>
      <c r="J56" s="2518" t="str">
        <f>IF(项目基本情况!K6="上海银行",IF(J55="",4,J55+1),"")</f>
        <v/>
      </c>
      <c r="K56" s="3556" t="str">
        <f>IF(项目基本情况!K6="上海银行","其他处置费用","")</f>
        <v/>
      </c>
      <c r="L56" s="3557"/>
      <c r="M56" s="2520" t="str">
        <f>IF(项目基本情况!K6="上海银行",M69,"")</f>
        <v/>
      </c>
      <c r="N56" s="3556" t="str">
        <f>IF(项目基本情况!K6="上海银行","包含处置中涉及的律师、诉讼、拍卖、评估等费用","")</f>
        <v/>
      </c>
      <c r="O56" s="3559"/>
    </row>
    <row r="57" spans="1:35" ht="12.75">
      <c r="A57" s="2335" t="s">
        <v>1340</v>
      </c>
      <c r="B57" s="3599" t="s">
        <v>1365</v>
      </c>
      <c r="C57" s="3600"/>
      <c r="D57" s="1590">
        <v>0</v>
      </c>
      <c r="E57" s="324" t="s">
        <v>1342</v>
      </c>
      <c r="F57" s="302"/>
      <c r="G57" s="2550"/>
      <c r="H57" s="2554"/>
      <c r="I57" s="1808"/>
      <c r="J57" s="3575">
        <f>IF(AND(J55="",J56=""),4,IF(项目基本情况!K6="上海银行",结果表!J56+1,结果表!J55+1))</f>
        <v>5</v>
      </c>
      <c r="K57" s="3575" t="s">
        <v>1366</v>
      </c>
      <c r="L57" s="2525" t="s">
        <v>1367</v>
      </c>
      <c r="M57" s="2526"/>
      <c r="N57" s="2527">
        <f ca="1">SUMIF(M52:M56,"&lt;9e307")</f>
        <v>1155</v>
      </c>
      <c r="O57" s="2528"/>
      <c r="P57" s="2684">
        <f ca="1">N57/M49</f>
        <v>0.57634730538922152</v>
      </c>
    </row>
    <row r="58" spans="1:35" ht="24.75">
      <c r="A58" s="2335" t="s">
        <v>1351</v>
      </c>
      <c r="B58" s="3599" t="s">
        <v>1368</v>
      </c>
      <c r="C58" s="3598"/>
      <c r="D58" s="2324">
        <f ca="1">IF(H58="转让取得",C81,C97)</f>
        <v>1135</v>
      </c>
      <c r="E58" s="2334" t="s">
        <v>1363</v>
      </c>
      <c r="F58" s="302" t="s">
        <v>28</v>
      </c>
      <c r="G58" s="2550"/>
      <c r="H58" s="2553"/>
      <c r="I58" s="1808"/>
      <c r="J58" s="3575"/>
      <c r="K58" s="3575"/>
      <c r="L58" s="2525" t="s">
        <v>1369</v>
      </c>
      <c r="M58" s="2529"/>
      <c r="N58" s="2530" t="str">
        <f ca="1">NUMBERSTRING(INT(N57*10000),2)&amp;"元整"</f>
        <v>壹仟壹佰伍拾伍万元整</v>
      </c>
      <c r="O58" s="2531"/>
    </row>
    <row r="59" spans="1:35" ht="24.75" thickBot="1">
      <c r="A59" s="3579" t="s">
        <v>1370</v>
      </c>
      <c r="B59" s="3580"/>
      <c r="C59" s="3580"/>
      <c r="D59" s="2555">
        <f ca="1">IF(H59="非个人房产","——",IF(H59="个人住宅（满五唯一有凭证）",0,IF(H59="个人其他（无凭证）",ROUND(D45*F59,0),ROUND(C67*F59,0))))</f>
        <v>19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14"/>
      <c r="I59" s="2313" t="s">
        <v>2136</v>
      </c>
      <c r="J59" s="3577">
        <f>J57+1</f>
        <v>6</v>
      </c>
      <c r="K59" s="3575" t="s">
        <v>1371</v>
      </c>
      <c r="L59" s="2518" t="s">
        <v>1367</v>
      </c>
      <c r="M59" s="2532"/>
      <c r="N59" s="2533">
        <f ca="1">M49-N57</f>
        <v>849</v>
      </c>
      <c r="O59" s="2534"/>
    </row>
    <row r="60" spans="1:35" ht="12" customHeight="1">
      <c r="A60" s="1809"/>
      <c r="B60" s="1747"/>
      <c r="C60" s="1747"/>
      <c r="D60" s="1747"/>
      <c r="E60" s="1578"/>
      <c r="F60" s="1808"/>
      <c r="G60" s="1808"/>
      <c r="H60" s="1810"/>
      <c r="I60" s="129"/>
      <c r="J60" s="3578"/>
      <c r="K60" s="3575"/>
      <c r="L60" s="2525" t="s">
        <v>1369</v>
      </c>
      <c r="M60" s="2529"/>
      <c r="N60" s="2530" t="str">
        <f ca="1">NUMBERSTRING(INT(N59*10000),2)&amp;"元整"</f>
        <v>捌佰肆拾玖万元整</v>
      </c>
      <c r="O60" s="2531"/>
    </row>
    <row r="61" spans="1:35" ht="13.5" thickBot="1">
      <c r="A61" s="3634" t="s">
        <v>1372</v>
      </c>
      <c r="B61" s="3634"/>
      <c r="C61" s="3634"/>
      <c r="D61" s="3634"/>
      <c r="E61" s="3634"/>
      <c r="F61" s="1808"/>
      <c r="G61" s="1808"/>
      <c r="H61" s="1810"/>
      <c r="I61" s="129"/>
      <c r="J61" s="2518">
        <f>J59+1</f>
        <v>7</v>
      </c>
      <c r="K61" s="3575" t="s">
        <v>1373</v>
      </c>
      <c r="L61" s="3575"/>
      <c r="M61" s="2535"/>
      <c r="N61" s="2536">
        <f ca="1">ROUND(N59*10000/'数据-汇总表'!E3,0)</f>
        <v>7681</v>
      </c>
      <c r="O61" s="2537"/>
    </row>
    <row r="62" spans="1:35" ht="12.75">
      <c r="A62" s="3594" t="s">
        <v>1374</v>
      </c>
      <c r="B62" s="3595"/>
      <c r="C62" s="2021"/>
      <c r="D62" s="2021" t="s">
        <v>1375</v>
      </c>
      <c r="E62" s="166" t="s">
        <v>1376</v>
      </c>
      <c r="F62" s="1808"/>
      <c r="G62" s="1808"/>
      <c r="H62" s="1810"/>
      <c r="I62" s="129"/>
    </row>
    <row r="63" spans="1:35" ht="12.75">
      <c r="A63" s="173" t="s">
        <v>330</v>
      </c>
      <c r="B63" s="167" t="s">
        <v>1377</v>
      </c>
      <c r="C63" s="2559">
        <f ca="1">ROUND((C64+C65)/(1+'数据-取费表'!C42),0)</f>
        <v>1909</v>
      </c>
      <c r="D63" s="167"/>
      <c r="E63" s="168"/>
      <c r="F63" s="1808"/>
      <c r="G63" s="1808"/>
      <c r="H63" s="1810"/>
      <c r="I63" s="129"/>
      <c r="J63" s="3558" t="s">
        <v>1378</v>
      </c>
      <c r="K63" s="1332" t="s">
        <v>1379</v>
      </c>
      <c r="L63" s="1332">
        <f ca="1">IF(M49&gt;10000,M49*0.5%,IF(AND(M49&gt;1000,M49&lt;=10000),M49*1%,IF(AND(M49&gt;100,M49&lt;=1000),M49*3%,IF(AND(M49&gt;10,M49&lt;=100),M49*5%,M49*8%))))</f>
        <v>20.04</v>
      </c>
      <c r="M63" s="302">
        <f ca="1">ROUND(L63,1)</f>
        <v>20</v>
      </c>
      <c r="N63" s="2538"/>
      <c r="Z63" s="1752"/>
      <c r="AI63" s="1753"/>
    </row>
    <row r="64" spans="1:35" ht="14.25" customHeight="1">
      <c r="A64" s="169" t="s">
        <v>325</v>
      </c>
      <c r="B64" s="170" t="s">
        <v>1380</v>
      </c>
      <c r="C64" s="2560">
        <f ca="1">D45</f>
        <v>2004</v>
      </c>
      <c r="D64" s="170" t="s">
        <v>26</v>
      </c>
      <c r="E64" s="172"/>
      <c r="F64" s="1808"/>
      <c r="G64" s="1808"/>
      <c r="H64" s="1810"/>
      <c r="I64" s="129"/>
      <c r="J64" s="3558"/>
      <c r="K64" s="1332" t="s">
        <v>1381</v>
      </c>
      <c r="L64" s="1332">
        <f ca="1">IF(M49&gt;2000,M49*0.5%,IF(AND(M49&gt;1000,M49&lt;=2000),M49*0.6%,IF(AND(M49&gt;500,M49&lt;=1000),M49*0.7%,IF(AND(M49&gt;200,M49&lt;=500),M49*0.8%,IF(AND(M49&gt;100,M49&lt;=200),M49*0.9%,IF(AND(M49&gt;50,M49&lt;=100),M49*1%,IF(AND(M49&gt;20,M49&lt;=50),M49*1.5%,IF(AND(M49&gt;10,M49&lt;=20),M49*2%,IF(AND(M49&gt;1,M49&lt;=10),M49*2.5%)))))))))</f>
        <v>10.02</v>
      </c>
      <c r="M64" s="302">
        <f t="shared" ref="M64:M65" ca="1" si="1">ROUND(L64,1)</f>
        <v>10</v>
      </c>
      <c r="N64" s="2539" t="s">
        <v>1382</v>
      </c>
      <c r="Z64" s="1752"/>
      <c r="AI64" s="1753"/>
    </row>
    <row r="65" spans="1:35" ht="14.25" customHeight="1">
      <c r="A65" s="169" t="s">
        <v>326</v>
      </c>
      <c r="B65" s="170" t="s">
        <v>1383</v>
      </c>
      <c r="C65" s="2561"/>
      <c r="D65" s="170"/>
      <c r="E65" s="172"/>
      <c r="F65" s="1808"/>
      <c r="G65" s="1808"/>
      <c r="H65" s="1810"/>
      <c r="I65" s="129"/>
      <c r="J65" s="3558"/>
      <c r="K65" s="1332" t="s">
        <v>1384</v>
      </c>
      <c r="L65" s="1332">
        <f ca="1">IF(M49&gt;1000,M49*0.1%,IF(AND(M49&gt;500,M49&lt;=1000),M49*0.5%,IF(AND(M49&gt;50,M49&lt;=500),M49*1%,IF(AND(M49&gt;1,M49&lt;=50),M49*1.5%))))</f>
        <v>2.004</v>
      </c>
      <c r="M65" s="302">
        <f t="shared" ca="1" si="1"/>
        <v>2</v>
      </c>
      <c r="N65" s="2539" t="s">
        <v>1382</v>
      </c>
      <c r="Z65" s="1752"/>
      <c r="AI65" s="1753"/>
    </row>
    <row r="66" spans="1:35" ht="14.25" customHeight="1">
      <c r="A66" s="173" t="s">
        <v>327</v>
      </c>
      <c r="B66" s="174" t="s">
        <v>1385</v>
      </c>
      <c r="C66" s="2562"/>
      <c r="D66" s="174" t="s">
        <v>26</v>
      </c>
      <c r="E66" s="1338" t="s">
        <v>671</v>
      </c>
      <c r="F66" s="1808"/>
      <c r="G66" s="1808"/>
      <c r="H66" s="1810"/>
      <c r="I66" s="129"/>
      <c r="J66" s="3558"/>
      <c r="K66" s="1332" t="s">
        <v>1386</v>
      </c>
      <c r="L66" s="1332">
        <f ca="1">M49*0.5%</f>
        <v>10.02</v>
      </c>
      <c r="M66" s="302">
        <f ca="1">IF(L66&gt;0.5,0.5,ROUND(L66,0))</f>
        <v>0.5</v>
      </c>
      <c r="N66" s="2539" t="s">
        <v>1387</v>
      </c>
      <c r="Z66" s="1752"/>
      <c r="AI66" s="1753"/>
    </row>
    <row r="67" spans="1:35" ht="14.25" customHeight="1">
      <c r="A67" s="173" t="s">
        <v>328</v>
      </c>
      <c r="B67" s="174" t="s">
        <v>1388</v>
      </c>
      <c r="C67" s="2563">
        <f ca="1">C63-C66</f>
        <v>1909</v>
      </c>
      <c r="D67" s="170" t="s">
        <v>26</v>
      </c>
      <c r="E67" s="172"/>
      <c r="F67" s="1808"/>
      <c r="G67" s="1808"/>
      <c r="H67" s="1810"/>
      <c r="I67" s="129"/>
      <c r="J67" s="3558"/>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8"/>
      <c r="Z67" s="1752"/>
      <c r="AI67" s="1753"/>
    </row>
    <row r="68" spans="1:35" ht="14.25" customHeight="1" thickBot="1">
      <c r="A68" s="176" t="s">
        <v>329</v>
      </c>
      <c r="B68" s="177" t="s">
        <v>1390</v>
      </c>
      <c r="C68" s="2564">
        <f ca="1">IF(C67&lt;=0,0,ROUND(C67*D68,0))</f>
        <v>107</v>
      </c>
      <c r="D68" s="2565">
        <f>'数据-取费表'!B41</f>
        <v>5.6000000000000001E-2</v>
      </c>
      <c r="E68" s="178"/>
      <c r="F68" s="1808"/>
      <c r="G68" s="1808"/>
      <c r="H68" s="1810"/>
      <c r="I68" s="129"/>
      <c r="J68" s="3558"/>
      <c r="K68" s="1332" t="s">
        <v>1391</v>
      </c>
      <c r="L68" s="1332">
        <f ca="1">IF(M49&gt;10000,M49*0.5%,IF(AND(M49&gt;5000,M49&lt;=10000),M49*1%,IF(AND(M49&gt;1000,M49&lt;=5000),M49*2%,IF(AND(M49&gt;200,M49&lt;=1000),M49*3%,M49*5%))))</f>
        <v>40.08</v>
      </c>
      <c r="M68" s="302">
        <f ca="1">ROUND(L68,1)</f>
        <v>40.1</v>
      </c>
      <c r="N68" s="2538"/>
      <c r="Z68" s="1752"/>
      <c r="AI68" s="1753"/>
    </row>
    <row r="69" spans="1:35" s="1772" customFormat="1" ht="16.5" customHeight="1">
      <c r="A69" s="1811"/>
      <c r="B69" s="1812"/>
      <c r="C69" s="1813"/>
      <c r="D69" s="1814"/>
      <c r="E69" s="1815"/>
      <c r="F69" s="1578"/>
      <c r="G69" s="1578"/>
      <c r="H69" s="1577"/>
      <c r="I69" s="1747"/>
      <c r="J69" s="3558"/>
      <c r="K69" s="1332" t="s">
        <v>1392</v>
      </c>
      <c r="L69" s="1332"/>
      <c r="M69" s="302">
        <f ca="1">ROUND(SUM(M63:M68),0)</f>
        <v>75</v>
      </c>
      <c r="N69" s="2540">
        <f ca="1">M69/M49</f>
        <v>3.7425149700598799E-2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1393</v>
      </c>
      <c r="B70" s="3603"/>
      <c r="C70" s="3603"/>
      <c r="D70" s="3603"/>
      <c r="E70" s="3603"/>
      <c r="F70" s="3603"/>
      <c r="G70" s="3603"/>
      <c r="H70" s="3603"/>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4" t="s">
        <v>1374</v>
      </c>
      <c r="B71" s="3595"/>
      <c r="C71" s="2021"/>
      <c r="D71" s="2021" t="s">
        <v>1375</v>
      </c>
      <c r="E71" s="179" t="s">
        <v>1376</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3">
        <f ca="1">ROUND(D45/(1+'数据-取费表'!C42),0)</f>
        <v>1909</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3">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6"/>
      <c r="D75" s="170" t="s">
        <v>26</v>
      </c>
      <c r="E75" s="184" t="s">
        <v>1398</v>
      </c>
      <c r="F75" s="2567"/>
      <c r="G75" s="184" t="s">
        <v>1399</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9">
        <v>0.05</v>
      </c>
      <c r="E76" s="3599" t="s">
        <v>1401</v>
      </c>
      <c r="F76" s="3598"/>
      <c r="G76" s="3598"/>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0">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1">
        <f ca="1">ROUND(D45*D78/(1+'数据-取费表'!C42),0)</f>
        <v>11</v>
      </c>
      <c r="D78" s="2572">
        <f>'数据-取费表'!B43</f>
        <v>6.000000000000001E-3</v>
      </c>
      <c r="E78" s="3591" t="s">
        <v>1405</v>
      </c>
      <c r="F78" s="3592"/>
      <c r="G78" s="3592"/>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3">
        <f ca="1">C72-C73</f>
        <v>1898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3">
        <f ca="1">IF(C79&lt;=0,0,C79/C73)</f>
        <v>172.54545454545453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4">
        <f ca="1">ROUND(IF(C79&lt;=0,0,IF(C80&gt;=200%,C79*60%-C73*35%,IF(C80&gt;=100%,C79*50%-C73*15%,IF(C80&gt;=50%,C79*40%-C73*5%,IF(C80&lt;50%,C79*30%,0))))),0)</f>
        <v>1135</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1409</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4" t="s">
        <v>1374</v>
      </c>
      <c r="B84" s="3595"/>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3">
        <f ca="1">ROUND(D45/(1+'数据-取费表'!C42),0)</f>
        <v>1909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3">
        <f ca="1">IF(H88="仅含出让金",C87+C90+C91+C92+C93+C94,C87+C91+C92+C93+C94)</f>
        <v>11</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77"/>
      <c r="D88" s="2572"/>
      <c r="E88" s="193" t="s">
        <v>1412</v>
      </c>
      <c r="F88" s="2327"/>
      <c r="G88" s="194" t="s">
        <v>1413</v>
      </c>
      <c r="H88" s="1824"/>
      <c r="I88" s="1821"/>
      <c r="J88" s="2516"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1">
        <f>ROUND(C88*D89,0)</f>
        <v>0</v>
      </c>
      <c r="D89" s="2572">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77"/>
      <c r="D90" s="2572"/>
      <c r="E90" s="193" t="str">
        <f>IF(H88="-","土地取得成本中已包含该笔费用"," ")</f>
        <v xml:space="preserve"> </v>
      </c>
      <c r="F90" s="2327"/>
      <c r="G90" s="3560" t="s">
        <v>2128</v>
      </c>
      <c r="H90" s="3561"/>
      <c r="I90" s="1821"/>
      <c r="J90" s="2516"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1">
        <f>IF(H91="——",成本法!C33,I91)</f>
        <v>0</v>
      </c>
      <c r="D91" s="2572"/>
      <c r="E91" s="3591" t="s">
        <v>1418</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1">
        <f>ROUND((C87+C90+C91)*D92,0)</f>
        <v>0</v>
      </c>
      <c r="D92" s="2578"/>
      <c r="E92" s="3591" t="s">
        <v>1421</v>
      </c>
      <c r="F92" s="3592"/>
      <c r="G92" s="3592"/>
      <c r="H92" s="3593"/>
      <c r="I92" s="1821"/>
      <c r="J92" s="2517"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1">
        <f ca="1">ROUND(D45*D93/(1+'数据-取费表'!C42),0)</f>
        <v>11</v>
      </c>
      <c r="D93" s="2572">
        <f>'数据-取费表'!B43</f>
        <v>6.000000000000001E-3</v>
      </c>
      <c r="E93" s="3591" t="s">
        <v>1405</v>
      </c>
      <c r="F93" s="3592"/>
      <c r="G93" s="3592"/>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77">
        <f>ROUND((C87+C90+C91)*D94,0)</f>
        <v>0</v>
      </c>
      <c r="D94" s="2572">
        <v>0.2</v>
      </c>
      <c r="E94" s="3636" t="s">
        <v>1425</v>
      </c>
      <c r="F94" s="3637"/>
      <c r="G94" s="3637"/>
      <c r="H94" s="363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3">
        <f ca="1">ROUND(C85-C86,0)</f>
        <v>1898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3">
        <f ca="1">IF(C95&lt;=0,0,C95/C86)</f>
        <v>172.54545454545453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4">
        <f ca="1">ROUND(IF(C95&lt;=0,0,IF(C96&gt;=200%,C95*60%-C86*35%,IF(C96&gt;=100%,C95*50%-C86*15%,IF(C96&gt;=50%,C95*40%-C86*5%,IF(C96&lt;50%,C95*30%,0))))),0)</f>
        <v>1135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1" t="s">
        <v>1427</v>
      </c>
      <c r="B100" s="3542"/>
      <c r="C100" s="3542"/>
      <c r="D100" s="3576"/>
      <c r="E100" s="3542" t="s">
        <v>1428</v>
      </c>
      <c r="F100" s="3542"/>
      <c r="G100" s="3542"/>
      <c r="H100" s="3576"/>
      <c r="I100" s="129"/>
    </row>
    <row r="101" spans="1:35" ht="18.75" customHeight="1">
      <c r="A101" s="3584" t="s">
        <v>1429</v>
      </c>
      <c r="B101" s="3585"/>
      <c r="C101" s="2580" t="str">
        <f>C4</f>
        <v>比较法-办公</v>
      </c>
      <c r="D101" s="2581" t="str">
        <f>D4</f>
        <v>收益法</v>
      </c>
      <c r="E101" s="3554" t="s">
        <v>1430</v>
      </c>
      <c r="F101" s="3555"/>
      <c r="G101" s="1827" t="s">
        <v>1431</v>
      </c>
      <c r="H101" s="2590">
        <f ca="1">H118</f>
        <v>2004</v>
      </c>
      <c r="I101" s="129"/>
    </row>
    <row r="102" spans="1:35" ht="18.75" customHeight="1">
      <c r="A102" s="3586" t="s">
        <v>1432</v>
      </c>
      <c r="B102" s="2579" t="s">
        <v>1431</v>
      </c>
      <c r="C102" s="2580">
        <f ca="1">IF(D32="楼面单价",ROUND(C19,0),C19)</f>
        <v>2262</v>
      </c>
      <c r="D102" s="2581">
        <f ca="1">IF(D32="楼面单价",ROUND(D19,0),D19)</f>
        <v>1403</v>
      </c>
      <c r="E102" s="3554"/>
      <c r="F102" s="3555"/>
      <c r="G102" s="1827" t="s">
        <v>1433</v>
      </c>
      <c r="H102" s="2550">
        <f ca="1">I118</f>
        <v>18132</v>
      </c>
      <c r="I102" s="129"/>
    </row>
    <row r="103" spans="1:35" ht="42.75" customHeight="1">
      <c r="A103" s="3586"/>
      <c r="B103" s="2579" t="s">
        <v>1433</v>
      </c>
      <c r="C103" s="2582">
        <f ca="1">C20</f>
        <v>20463</v>
      </c>
      <c r="D103" s="2583">
        <f ca="1">D20</f>
        <v>12692</v>
      </c>
      <c r="E103" s="3547" t="s">
        <v>1434</v>
      </c>
      <c r="F103" s="3548"/>
      <c r="G103" s="1828" t="s">
        <v>1435</v>
      </c>
      <c r="H103" s="2590">
        <f>IF(D36="正常操作",H104+H105+H106,H105+H106)</f>
        <v>0</v>
      </c>
      <c r="I103" s="129"/>
    </row>
    <row r="104" spans="1:35" ht="18.75" customHeight="1">
      <c r="A104" s="3586" t="s">
        <v>1436</v>
      </c>
      <c r="B104" s="2584" t="s">
        <v>1431</v>
      </c>
      <c r="C104" s="2585">
        <f ca="1">H118</f>
        <v>2004</v>
      </c>
      <c r="D104" s="2586"/>
      <c r="E104" s="1674" t="s">
        <v>1437</v>
      </c>
      <c r="F104" s="1666"/>
      <c r="G104" s="1828" t="s">
        <v>1435</v>
      </c>
      <c r="H104" s="2591">
        <f>IF(D36="同一抵押权人同一抵押物续贷",C36&amp;"（续贷，未扣减，详见特别提示）",C36)</f>
        <v>0</v>
      </c>
      <c r="I104" s="129"/>
    </row>
    <row r="105" spans="1:35" ht="18.75" customHeight="1" thickBot="1">
      <c r="A105" s="3596"/>
      <c r="B105" s="2587" t="s">
        <v>1433</v>
      </c>
      <c r="C105" s="2588">
        <f ca="1">I118</f>
        <v>18132</v>
      </c>
      <c r="D105" s="2589"/>
      <c r="E105" s="1674" t="s">
        <v>1438</v>
      </c>
      <c r="F105" s="1666"/>
      <c r="G105" s="1828" t="s">
        <v>1435</v>
      </c>
      <c r="H105" s="2592">
        <f>C37</f>
        <v>0</v>
      </c>
      <c r="I105" s="129"/>
    </row>
    <row r="106" spans="1:35" ht="18.75" customHeight="1">
      <c r="A106" s="1747" t="s">
        <v>1439</v>
      </c>
      <c r="B106" s="1747"/>
      <c r="C106" s="1747"/>
      <c r="D106" s="1747"/>
      <c r="E106" s="1829" t="s">
        <v>1440</v>
      </c>
      <c r="F106" s="1666"/>
      <c r="G106" s="1828" t="s">
        <v>1435</v>
      </c>
      <c r="H106" s="2592">
        <f>C38</f>
        <v>0</v>
      </c>
      <c r="I106" s="129"/>
    </row>
    <row r="107" spans="1:35" ht="18.75" customHeight="1">
      <c r="A107" s="129"/>
      <c r="B107" s="129"/>
      <c r="C107" s="129"/>
      <c r="D107" s="129"/>
      <c r="E107" s="3587" t="str">
        <f>IF(项目基本情况!E8="已注销","——","3.房地产抵押价值")</f>
        <v>3.房地产抵押价值</v>
      </c>
      <c r="F107" s="3555"/>
      <c r="G107" s="1827" t="s">
        <v>1431</v>
      </c>
      <c r="H107" s="2590">
        <f ca="1">IF(E107="——","——",H101-H103)</f>
        <v>2004</v>
      </c>
      <c r="I107" s="129"/>
    </row>
    <row r="108" spans="1:35" ht="18.75" customHeight="1">
      <c r="A108" s="129"/>
      <c r="B108" s="129"/>
      <c r="C108" s="129"/>
      <c r="D108" s="129"/>
      <c r="E108" s="3587"/>
      <c r="F108" s="3555"/>
      <c r="G108" s="1827" t="s">
        <v>1433</v>
      </c>
      <c r="H108" s="2550">
        <f ca="1">IF(H107=H101,H102,ROUND(H107*10000/'数据-汇总表'!E3,0))</f>
        <v>18132</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7" t="s">
        <v>1431</v>
      </c>
      <c r="H109" s="2593" t="str">
        <f>IF(E109="——","——",H101-H105-H106)</f>
        <v>——</v>
      </c>
      <c r="I109" s="129"/>
    </row>
    <row r="110" spans="1:35" ht="18.75" customHeight="1">
      <c r="A110" s="129"/>
      <c r="B110" s="129"/>
      <c r="C110" s="129"/>
      <c r="D110" s="129"/>
      <c r="E110" s="3587"/>
      <c r="F110" s="3555"/>
      <c r="G110" s="1827" t="s">
        <v>1433</v>
      </c>
      <c r="H110" s="2550"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v>
      </c>
      <c r="F111" s="3574"/>
      <c r="G111" s="1827" t="s">
        <v>1431</v>
      </c>
      <c r="H111" s="2590" t="str">
        <f>IF(E111="——","——",N59)</f>
        <v>——</v>
      </c>
      <c r="I111" s="129"/>
    </row>
    <row r="112" spans="1:35" ht="18.75" customHeight="1" thickBot="1">
      <c r="A112" s="129"/>
      <c r="B112" s="129"/>
      <c r="C112" s="129"/>
      <c r="D112" s="129"/>
      <c r="E112" s="3589"/>
      <c r="F112" s="3590"/>
      <c r="G112" s="1830" t="s">
        <v>1433</v>
      </c>
      <c r="H112" s="2594" t="str">
        <f>IF(E111="——","——",N61)</f>
        <v>——</v>
      </c>
      <c r="I112" s="129"/>
    </row>
    <row r="113" spans="1:27" ht="18.75" customHeight="1">
      <c r="A113" s="129"/>
      <c r="B113" s="129"/>
      <c r="C113" s="129"/>
      <c r="D113" s="129"/>
      <c r="E113" s="3597" t="s">
        <v>1439</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5" t="s">
        <v>1441</v>
      </c>
      <c r="B115" s="3606"/>
      <c r="C115" s="3606"/>
      <c r="D115" s="3606"/>
      <c r="E115" s="3606"/>
      <c r="F115" s="3606"/>
      <c r="G115" s="3606"/>
      <c r="H115" s="3606"/>
      <c r="I115" s="3607"/>
    </row>
    <row r="116" spans="1:27" ht="27" customHeight="1">
      <c r="A116" s="3562" t="s">
        <v>1442</v>
      </c>
      <c r="B116" s="3566" t="s">
        <v>1443</v>
      </c>
      <c r="C116" s="3566" t="s">
        <v>1444</v>
      </c>
      <c r="D116" s="3572" t="s">
        <v>1445</v>
      </c>
      <c r="E116" s="3573"/>
      <c r="F116" s="3604" t="s">
        <v>1446</v>
      </c>
      <c r="G116" s="3604"/>
      <c r="H116" s="3562" t="s">
        <v>1447</v>
      </c>
      <c r="I116" s="3562"/>
    </row>
    <row r="117" spans="1:27" ht="18.75" customHeight="1">
      <c r="A117" s="3562"/>
      <c r="B117" s="3567"/>
      <c r="C117" s="3567"/>
      <c r="D117" s="2329" t="s">
        <v>1448</v>
      </c>
      <c r="E117" s="2329" t="s">
        <v>1449</v>
      </c>
      <c r="F117" s="2329" t="s">
        <v>1448</v>
      </c>
      <c r="G117" s="2329" t="s">
        <v>1450</v>
      </c>
      <c r="H117" s="2329" t="s">
        <v>1448</v>
      </c>
      <c r="I117" s="2329" t="s">
        <v>1450</v>
      </c>
    </row>
    <row r="118" spans="1:27" ht="24.75" customHeight="1">
      <c r="A118" s="2595" t="str">
        <f>项目基本情况!S2</f>
        <v>北京市门头沟区金沙西街17号院1号楼7层701房地产</v>
      </c>
      <c r="B118" s="2329">
        <f>M18</f>
        <v>1105.3800000000001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2004</v>
      </c>
      <c r="I118" s="2329">
        <f ca="1">ROUND(IF(D32="楼面单价",C32,H118*10000/B118),0)</f>
        <v>18132</v>
      </c>
      <c r="J118" s="725">
        <f ca="1">I118*B118</f>
        <v>20042750.16</v>
      </c>
    </row>
    <row r="119" spans="1:27" ht="18.75" customHeight="1">
      <c r="A119" s="3562" t="s">
        <v>1451</v>
      </c>
      <c r="B119" s="3562"/>
      <c r="C119" s="3562"/>
      <c r="D119" s="3568" t="e">
        <f ca="1">NUMBERSTRING(INT(D118*10000),2)&amp;"元整"</f>
        <v>#REF!</v>
      </c>
      <c r="E119" s="3569"/>
      <c r="F119" s="3568" t="e">
        <f ca="1">NUMBERSTRING(INT(F118*10000),2)&amp;"元整"</f>
        <v>#REF!</v>
      </c>
      <c r="G119" s="3569"/>
      <c r="H119" s="3568" t="str">
        <f ca="1">NUMBERSTRING(INT(H118*10000),2)&amp;"元整"</f>
        <v>贰仟零肆万元整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8" t="s">
        <v>1451</v>
      </c>
      <c r="B121" s="3570"/>
      <c r="C121" s="3569"/>
      <c r="D121" s="3568" t="str">
        <f>IF(D120=0,"零元整",NUMBERSTRING(INT(D120*10000),2)&amp;"元整")</f>
        <v>零元整</v>
      </c>
      <c r="E121" s="3570"/>
      <c r="F121" s="3570"/>
      <c r="G121" s="3570"/>
      <c r="H121" s="3570"/>
      <c r="I121" s="3569"/>
      <c r="AA121" s="725"/>
    </row>
    <row r="122" spans="1:27" ht="18.75" customHeight="1">
      <c r="A122" s="3574" t="str">
        <f>IF(项目基本情况!B9="房地产市场价值","",MID(E107,3,LEN(E107)-2))</f>
        <v>房地产抵押价值</v>
      </c>
      <c r="B122" s="3574"/>
      <c r="C122" s="3574"/>
      <c r="D122" s="3563">
        <f ca="1">H107</f>
        <v>2004</v>
      </c>
      <c r="E122" s="3564"/>
      <c r="F122" s="3564"/>
      <c r="G122" s="3564"/>
      <c r="H122" s="3564"/>
      <c r="I122" s="3565"/>
      <c r="AA122" s="725"/>
    </row>
    <row r="123" spans="1:27" ht="18.75" customHeight="1">
      <c r="A123" s="3562" t="s">
        <v>1451</v>
      </c>
      <c r="B123" s="3562"/>
      <c r="C123" s="3562"/>
      <c r="D123" s="3568" t="str">
        <f ca="1">NUMBERSTRING(INT(D122*10000),2)&amp;"元整"</f>
        <v>贰仟零肆万元整</v>
      </c>
      <c r="E123" s="3570"/>
      <c r="F123" s="3570"/>
      <c r="G123" s="3570"/>
      <c r="H123" s="3570"/>
      <c r="I123" s="3569"/>
      <c r="AA123" s="725"/>
    </row>
    <row r="124" spans="1:27" ht="18.75" customHeight="1">
      <c r="A124" s="3574" t="str">
        <f>IF(项目基本情况!B9="房地产市场价值","",MID(E109,3,LEN(E109)-2))</f>
        <v/>
      </c>
      <c r="B124" s="3574"/>
      <c r="C124" s="3574"/>
      <c r="D124" s="3563" t="str">
        <f>H109</f>
        <v>——</v>
      </c>
      <c r="E124" s="3564"/>
      <c r="F124" s="3564"/>
      <c r="G124" s="3564"/>
      <c r="H124" s="3564"/>
      <c r="I124" s="3565"/>
      <c r="AA124" s="725"/>
    </row>
    <row r="125" spans="1:27" ht="18.75" customHeight="1">
      <c r="A125" s="3562" t="s">
        <v>1451</v>
      </c>
      <c r="B125" s="3562"/>
      <c r="C125" s="3562"/>
      <c r="D125" s="3568" t="e">
        <f>NUMBERSTRING(INT(D124*10000),2)&amp;"元整"</f>
        <v>#VALUE!</v>
      </c>
      <c r="E125" s="3570"/>
      <c r="F125" s="3570"/>
      <c r="G125" s="3570"/>
      <c r="H125" s="3570"/>
      <c r="I125" s="3569"/>
      <c r="AA125" s="725"/>
    </row>
    <row r="126" spans="1:27" ht="18.75" customHeight="1">
      <c r="A126" s="3574" t="str">
        <f>IF(项目基本情况!B9="房地产市场价值","",MID(E111,3,LEN(E111)-2))</f>
        <v/>
      </c>
      <c r="B126" s="3574"/>
      <c r="C126" s="3574"/>
      <c r="D126" s="3563" t="str">
        <f>H111</f>
        <v>——</v>
      </c>
      <c r="E126" s="3564"/>
      <c r="F126" s="3564"/>
      <c r="G126" s="3564"/>
      <c r="H126" s="3564"/>
      <c r="I126" s="3565"/>
      <c r="AA126" s="725"/>
    </row>
    <row r="127" spans="1:27" ht="18.75" customHeight="1">
      <c r="A127" s="3562" t="s">
        <v>1451</v>
      </c>
      <c r="B127" s="3562"/>
      <c r="C127" s="3562"/>
      <c r="D127" s="3568" t="e">
        <f>NUMBERSTRING(INT(D126*10000),2)&amp;"元整"</f>
        <v>#VALUE!</v>
      </c>
      <c r="E127" s="3570"/>
      <c r="F127" s="3570"/>
      <c r="G127" s="3570"/>
      <c r="H127" s="3570"/>
      <c r="I127" s="3569"/>
      <c r="AA127" s="725"/>
    </row>
    <row r="128" spans="1:27" ht="21.75" customHeight="1">
      <c r="A128" s="3571" t="s">
        <v>1452</v>
      </c>
      <c r="B128" s="3571"/>
      <c r="C128" s="3571"/>
      <c r="D128" s="3571"/>
      <c r="E128" s="3571"/>
      <c r="F128" s="3571"/>
      <c r="G128" s="3571"/>
      <c r="H128" s="3571"/>
      <c r="I128" s="3571"/>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521</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4713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22.11</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22.11</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22</v>
      </c>
      <c r="D10" s="845">
        <f ca="1">IF(B1="",'数据-汇总表'!E6,IF(INDIRECT("'数据-取费表'!c"&amp;$G$1)="住宅",INDIRECT("'数据-取费表'!s"&amp;$G$1),INDIRECT("'数据-取费表'!k"&amp;$G$1)+INDIRECT("'数据-取费表'!s"&amp;$G$1)))</f>
        <v>1105.3800000000001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22</v>
      </c>
      <c r="D19" s="849">
        <f ca="1">D9+D10</f>
        <v>1105.3800000000001</v>
      </c>
      <c r="E19" s="211">
        <f>'数据-取费表'!B31</f>
        <v>200</v>
      </c>
      <c r="F19" s="231"/>
      <c r="G19" s="1856"/>
    </row>
    <row r="20" spans="1:7" s="214" customFormat="1" ht="13.5" customHeight="1">
      <c r="A20" s="255" t="s">
        <v>1492</v>
      </c>
      <c r="B20" s="210" t="s">
        <v>1493</v>
      </c>
      <c r="C20" s="232">
        <f ca="1">ROUND((C5+C19)*F20,0)</f>
        <v>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4</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2</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2</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7</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7</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369</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332</v>
      </c>
      <c r="D34" s="217"/>
      <c r="E34" s="220"/>
      <c r="F34" s="257">
        <f ca="1">IF('数据-取费表'!B24=0,1,IF(B1="",'数据-取费表'!N16,INDIRECT("'数据-取费表'!n"&amp;$G$1)))</f>
        <v>1</v>
      </c>
      <c r="G34" s="219" t="s">
        <v>1525</v>
      </c>
    </row>
    <row r="35" spans="1:7" ht="13.5" customHeight="1">
      <c r="A35" s="780" t="s">
        <v>351</v>
      </c>
      <c r="B35" s="215" t="s">
        <v>1526</v>
      </c>
      <c r="C35" s="220">
        <f ca="1">ROUND(C34*F35,0)</f>
        <v>10</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22</v>
      </c>
      <c r="D37" s="217">
        <f ca="1">D19</f>
        <v>1105.3800000000001</v>
      </c>
      <c r="E37" s="249">
        <f>'数据-取费表'!B35</f>
        <v>200</v>
      </c>
      <c r="F37" s="259"/>
      <c r="G37" s="261" t="s">
        <v>1531</v>
      </c>
    </row>
    <row r="38" spans="1:7" ht="13.5" customHeight="1">
      <c r="A38" s="780" t="s">
        <v>354</v>
      </c>
      <c r="B38" s="215" t="s">
        <v>1532</v>
      </c>
      <c r="C38" s="220">
        <f ca="1">ROUND(C34*F38,0)</f>
        <v>5</v>
      </c>
      <c r="D38" s="220"/>
      <c r="E38" s="220"/>
      <c r="F38" s="259">
        <f>'数据-取费表'!B36</f>
        <v>1.4999999999999999E-2</v>
      </c>
      <c r="G38" s="219" t="s">
        <v>1527</v>
      </c>
    </row>
    <row r="39" spans="1:7" s="214" customFormat="1" ht="13.5" customHeight="1">
      <c r="A39" s="255" t="s">
        <v>1533</v>
      </c>
      <c r="B39" s="210" t="s">
        <v>1534</v>
      </c>
      <c r="C39" s="232">
        <f ca="1">ROUND(C33*F20,0)</f>
        <v>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15</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15</v>
      </c>
      <c r="D42" s="238"/>
      <c r="E42" s="238"/>
      <c r="F42" s="239"/>
      <c r="G42" s="3641" t="s">
        <v>1543</v>
      </c>
    </row>
    <row r="43" spans="1:7" ht="13.5" customHeight="1">
      <c r="A43" s="780" t="s">
        <v>347</v>
      </c>
      <c r="B43" s="215" t="s">
        <v>1544</v>
      </c>
      <c r="C43" s="238">
        <f ca="1">ROUND(IF('数据-取费表'!B22&lt;=1,C39*F22*'数据-取费表'!B21/2,C39*(POWER((1+F22),'数据-取费表'!B21/2)-1)),0)</f>
        <v>0</v>
      </c>
      <c r="D43" s="238"/>
      <c r="E43" s="238"/>
      <c r="F43" s="239"/>
      <c r="G43" s="3642"/>
    </row>
    <row r="44" spans="1:7" ht="13.5" customHeight="1">
      <c r="A44" s="780" t="s">
        <v>348</v>
      </c>
      <c r="B44" s="215" t="s">
        <v>1545</v>
      </c>
      <c r="C44" s="238">
        <f ca="1">ROUND(IF('数据-取费表'!B22&lt;=1,C40*F22*'数据-取费表'!B21/2,C40*(POWER((1+F22),'数据-取费表'!B21/2)-1)),4)</f>
        <v>8.0000000000000004E-4</v>
      </c>
      <c r="D44" s="238"/>
      <c r="E44" s="238"/>
      <c r="F44" s="239"/>
      <c r="G44" s="3643"/>
    </row>
    <row r="45" spans="1:7" s="214" customFormat="1" ht="13.5" customHeight="1">
      <c r="A45" s="255" t="s">
        <v>1546</v>
      </c>
      <c r="B45" s="244" t="s">
        <v>1512</v>
      </c>
      <c r="C45" s="245">
        <f ca="1">C46</f>
        <v>56</v>
      </c>
      <c r="D45" s="235">
        <f ca="1">C47</f>
        <v>3.0000000000000001E-3</v>
      </c>
      <c r="E45" s="236" t="s">
        <v>1538</v>
      </c>
      <c r="F45" s="246">
        <f ca="1">F27</f>
        <v>0.15</v>
      </c>
      <c r="G45" s="247" t="s">
        <v>1547</v>
      </c>
    </row>
    <row r="46" spans="1:7" s="214" customFormat="1" ht="13.5" customHeight="1">
      <c r="A46" s="780" t="s">
        <v>346</v>
      </c>
      <c r="B46" s="248" t="s">
        <v>1548</v>
      </c>
      <c r="C46" s="249">
        <f ca="1">ROUND((C33+C39)*F27,0)</f>
        <v>56</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484</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460</v>
      </c>
      <c r="D51" s="232"/>
      <c r="E51" s="232"/>
      <c r="F51" s="264"/>
      <c r="G51" s="234" t="s">
        <v>1559</v>
      </c>
    </row>
    <row r="52" spans="1:7" s="208" customFormat="1" ht="16.5" thickBot="1">
      <c r="A52" s="265" t="s">
        <v>1560</v>
      </c>
      <c r="B52" s="266"/>
      <c r="C52" s="267">
        <f ca="1">C31+C51</f>
        <v>521</v>
      </c>
      <c r="D52" s="266"/>
      <c r="E52" s="266"/>
      <c r="F52" s="266"/>
      <c r="G52" s="268"/>
    </row>
    <row r="55" spans="1:7" ht="15">
      <c r="B55" s="270" t="s">
        <v>1561</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北京市门头沟区金沙西街17号院1号楼7层701房地产抵押价值预评估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t="str">
        <f>项目基本情况!B5</f>
        <v>光大</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8">
        <f ca="1">ROUND(IF(D2="——",C52/10000,C52/10000-E2),4)</f>
        <v>521.47609999999997</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4718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221076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221076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221076</v>
      </c>
      <c r="D10" s="845">
        <f ca="1">IF(B1="",'数据-汇总表'!E6,IF(INDIRECT("'数据-取费表'!c"&amp;$G$1)="住宅",INDIRECT("'数据-取费表'!s"&amp;$G$1),INDIRECT("'数据-取费表'!k"&amp;$G$1)+INDIRECT("'数据-取费表'!s"&amp;$G$1)))</f>
        <v>1105.3800000000001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221076</v>
      </c>
      <c r="D19" s="849">
        <f ca="1">D9+D10</f>
        <v>1105.3800000000001</v>
      </c>
      <c r="E19" s="211">
        <f>'数据-取费表'!B31</f>
        <v>200</v>
      </c>
      <c r="F19" s="231"/>
      <c r="G19" s="1856"/>
    </row>
    <row r="20" spans="1:7" s="214" customFormat="1" ht="13.5" customHeight="1">
      <c r="A20" s="255" t="s">
        <v>1573</v>
      </c>
      <c r="B20" s="210" t="s">
        <v>1574</v>
      </c>
      <c r="C20" s="232">
        <f ca="1">ROUND((C5+C19)*F20,0)</f>
        <v>8843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37827</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18730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18730</v>
      </c>
      <c r="D24" s="238"/>
      <c r="E24" s="238"/>
      <c r="F24" s="239"/>
      <c r="G24" s="240" t="s">
        <v>1585</v>
      </c>
    </row>
    <row r="25" spans="1:7" s="214" customFormat="1" ht="24">
      <c r="A25" s="780" t="s">
        <v>1475</v>
      </c>
      <c r="B25" s="215" t="s">
        <v>1586</v>
      </c>
      <c r="C25" s="1128">
        <f ca="1">ROUND(IF('数据-取费表'!B22&lt;=1,C20*F22*'数据-取费表'!B22/2,C20*(POWER((1+F22),'数据-取费表'!B22/2)-1)),0)</f>
        <v>367</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67649</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67649</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602959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3686442</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3316140</v>
      </c>
      <c r="D34" s="217"/>
      <c r="E34" s="220"/>
      <c r="F34" s="257"/>
      <c r="G34" s="219"/>
    </row>
    <row r="35" spans="1:7" ht="13.5" customHeight="1">
      <c r="A35" s="780" t="s">
        <v>351</v>
      </c>
      <c r="B35" s="215" t="s">
        <v>1526</v>
      </c>
      <c r="C35" s="220">
        <f ca="1">ROUND(C34*F35,0)</f>
        <v>99484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221076</v>
      </c>
      <c r="D37" s="217">
        <f ca="1">D19</f>
        <v>1105.3800000000001</v>
      </c>
      <c r="E37" s="249">
        <f>'数据-取费表'!B35</f>
        <v>200</v>
      </c>
      <c r="F37" s="259"/>
      <c r="G37" s="261"/>
    </row>
    <row r="38" spans="1:7" ht="13.5" customHeight="1">
      <c r="A38" s="780" t="s">
        <v>354</v>
      </c>
      <c r="B38" s="215" t="s">
        <v>1532</v>
      </c>
      <c r="C38" s="220">
        <f ca="1">ROUND(C34*F38,0)</f>
        <v>49742</v>
      </c>
      <c r="D38" s="220"/>
      <c r="E38" s="220"/>
      <c r="F38" s="259">
        <f>'数据-取费表'!B36</f>
        <v>1.4999999999999999E-2</v>
      </c>
      <c r="G38" s="219" t="s">
        <v>1527</v>
      </c>
    </row>
    <row r="39" spans="1:7" s="214" customFormat="1" ht="13.5" customHeight="1">
      <c r="A39" s="255" t="s">
        <v>1533</v>
      </c>
      <c r="B39" s="210" t="s">
        <v>1534</v>
      </c>
      <c r="C39" s="232">
        <f ca="1">ROUND(C33*F20,0)</f>
        <v>73729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156047</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152987</v>
      </c>
      <c r="D42" s="238"/>
      <c r="E42" s="238"/>
      <c r="F42" s="239"/>
      <c r="G42" s="3641" t="s">
        <v>1590</v>
      </c>
    </row>
    <row r="43" spans="1:7" ht="13.5" customHeight="1">
      <c r="A43" s="780" t="s">
        <v>347</v>
      </c>
      <c r="B43" s="215" t="s">
        <v>1544</v>
      </c>
      <c r="C43" s="238">
        <f ca="1">ROUND(IF('数据-取费表'!B22&lt;=1,C39*F22*'数据-取费表'!B20/2,C39*(POWER((1+F22),'数据-取费表'!B20/2)-1)),0)</f>
        <v>3060</v>
      </c>
      <c r="D43" s="238"/>
      <c r="E43" s="238"/>
      <c r="F43" s="239"/>
      <c r="G43" s="3642"/>
    </row>
    <row r="44" spans="1:7" ht="13.5" customHeight="1">
      <c r="A44" s="780" t="s">
        <v>348</v>
      </c>
      <c r="B44" s="215" t="s">
        <v>1545</v>
      </c>
      <c r="C44" s="238">
        <f ca="1">ROUND(IF('数据-取费表'!B22&lt;=1,C40*F22*'数据-取费表'!B20/2,C40*(POWER((1+F22),'数据-取费表'!B20/2)-1)),4)</f>
        <v>8.0000000000000004E-4</v>
      </c>
      <c r="D44" s="238"/>
      <c r="E44" s="238"/>
      <c r="F44" s="239"/>
      <c r="G44" s="3643"/>
    </row>
    <row r="45" spans="1:7" s="214" customFormat="1" ht="13.5" customHeight="1">
      <c r="A45" s="255" t="s">
        <v>1546</v>
      </c>
      <c r="B45" s="244" t="s">
        <v>1512</v>
      </c>
      <c r="C45" s="245">
        <f ca="1">C46</f>
        <v>564026</v>
      </c>
      <c r="D45" s="235">
        <f ca="1">C47</f>
        <v>3.0000000000000001E-3</v>
      </c>
      <c r="E45" s="236" t="s">
        <v>1538</v>
      </c>
      <c r="F45" s="246">
        <f ca="1">F27</f>
        <v>0.15</v>
      </c>
      <c r="G45" s="247" t="s">
        <v>1547</v>
      </c>
    </row>
    <row r="46" spans="1:7" s="214" customFormat="1" ht="13.5" customHeight="1">
      <c r="A46" s="780" t="s">
        <v>346</v>
      </c>
      <c r="B46" s="248" t="s">
        <v>1548</v>
      </c>
      <c r="C46" s="249">
        <f ca="1">ROUND((C33+C39)*F27,0)</f>
        <v>564026</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4854528</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4611802</v>
      </c>
      <c r="D51" s="232"/>
      <c r="E51" s="232"/>
      <c r="F51" s="264"/>
      <c r="G51" s="234" t="s">
        <v>1559</v>
      </c>
    </row>
    <row r="52" spans="1:7" s="208" customFormat="1" ht="16.5" thickBot="1">
      <c r="A52" s="265" t="s">
        <v>1560</v>
      </c>
      <c r="B52" s="266"/>
      <c r="C52" s="267">
        <f ca="1">C31+C51</f>
        <v>5214761</v>
      </c>
      <c r="D52" s="266"/>
      <c r="E52" s="266"/>
      <c r="F52" s="266"/>
      <c r="G52" s="268"/>
    </row>
    <row r="55" spans="1:7" ht="15">
      <c r="B55" s="270" t="s">
        <v>1561</v>
      </c>
      <c r="C55" s="271"/>
    </row>
    <row r="56" spans="1:7">
      <c r="B56" s="273" t="s">
        <v>802</v>
      </c>
      <c r="C56" s="275">
        <f ca="1">1-C57</f>
        <v>0.11599999999999999</v>
      </c>
    </row>
    <row r="57" spans="1:7">
      <c r="B57" s="273" t="s">
        <v>803</v>
      </c>
      <c r="C57" s="274">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0"/>
      <c r="F1" s="2800"/>
      <c r="G1" s="2665"/>
      <c r="H1" s="2800"/>
      <c r="I1" s="2800"/>
      <c r="J1" s="2800"/>
      <c r="K1" s="2801">
        <f>MATCH(C1,'数据-取费表'!A6:A16,0)+5</f>
        <v>7</v>
      </c>
    </row>
    <row r="2" spans="1:33" ht="18" customHeight="1">
      <c r="A2" s="201" t="s">
        <v>1461</v>
      </c>
      <c r="B2" s="204">
        <f ca="1">C32</f>
        <v>0</v>
      </c>
      <c r="C2" s="276" t="s">
        <v>1594</v>
      </c>
      <c r="D2" s="276"/>
      <c r="E2" s="2800"/>
      <c r="F2" s="2800"/>
      <c r="G2" s="2800"/>
      <c r="H2" s="2800"/>
      <c r="I2" s="2800"/>
      <c r="J2" s="2800"/>
      <c r="K2" s="2800"/>
    </row>
    <row r="3" spans="1:33" ht="18" customHeight="1" thickBot="1">
      <c r="A3" s="203" t="s">
        <v>1463</v>
      </c>
      <c r="B3" s="204">
        <f ca="1">ROUND(B2*10000/IF(C1="",'数据-汇总表'!E3,INDIRECT("'数据-取费表'!K"&amp;$K$1)),0)</f>
        <v>0</v>
      </c>
      <c r="C3" s="276" t="s">
        <v>1595</v>
      </c>
      <c r="D3" s="276"/>
      <c r="E3" s="2800"/>
      <c r="F3" s="2800"/>
      <c r="G3" s="2800"/>
      <c r="H3" s="2800"/>
      <c r="I3" s="2800"/>
      <c r="J3" s="2800"/>
      <c r="K3" s="2800"/>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1105.3800000000001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1105.3800000000001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-0.10999999999999943</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22</v>
      </c>
      <c r="D20" s="846">
        <f ca="1">IF(C1="",'数据-汇总表'!E6,IF(INDIRECT("'数据-取费表'!c"&amp;$K$1)="住宅",INDIRECT("'数据-取费表'!s"&amp;$K$1),INDIRECT("'数据-取费表'!k"&amp;$K$1)+INDIRECT("'数据-取费表'!s"&amp;$K$1)))</f>
        <v>1105.3800000000001</v>
      </c>
      <c r="E20" s="21">
        <f>'数据-取费表'!B28</f>
        <v>200</v>
      </c>
      <c r="F20" s="804"/>
      <c r="G20" s="12"/>
      <c r="H20" s="809"/>
      <c r="I20" s="809"/>
      <c r="J20" s="809"/>
      <c r="K20" s="810"/>
    </row>
    <row r="21" spans="1:33" s="803" customFormat="1" ht="13.5" customHeight="1">
      <c r="A21" s="790" t="s">
        <v>357</v>
      </c>
      <c r="B21" s="813" t="s">
        <v>1627</v>
      </c>
      <c r="C21" s="814">
        <f ca="1">C16+C17+C18</f>
        <v>-0.10999999999999943</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0" zoomScaleNormal="70" zoomScaleSheetLayoutView="80" workbookViewId="0">
      <selection activeCell="I48" sqref="I48:I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t="s">
        <v>21</v>
      </c>
      <c r="E1" s="3427" t="s">
        <v>3410</v>
      </c>
      <c r="F1" s="1879" t="s">
        <v>3411</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2261.9391000000001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20463</v>
      </c>
      <c r="C3" s="354" t="s">
        <v>1767</v>
      </c>
      <c r="D3" s="353">
        <f>IF(D1="",'数据-汇总表'!E3,SUMIF('数据-汇总表'!$C19:$C33,D1,'数据-汇总表'!$E19:$E33))</f>
        <v>1105.3800000000001</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1768</v>
      </c>
      <c r="B4" s="356"/>
      <c r="C4" s="3666" t="s">
        <v>1769</v>
      </c>
      <c r="D4" s="3667"/>
      <c r="E4" s="3668" t="s">
        <v>1770</v>
      </c>
      <c r="F4" s="3669"/>
      <c r="G4" s="3666" t="s">
        <v>1771</v>
      </c>
      <c r="H4" s="3667"/>
      <c r="I4" s="3666" t="s">
        <v>1772</v>
      </c>
      <c r="J4" s="3667"/>
      <c r="K4" s="559" t="s">
        <v>1773</v>
      </c>
      <c r="L4" s="2709"/>
      <c r="M4" s="2710"/>
      <c r="N4" s="2710"/>
      <c r="O4" s="2710"/>
      <c r="P4" s="3670" t="s">
        <v>1774</v>
      </c>
      <c r="Q4" s="3671"/>
      <c r="R4" s="3649" t="s">
        <v>1770</v>
      </c>
      <c r="S4" s="3650"/>
      <c r="T4" s="3649" t="s">
        <v>1771</v>
      </c>
      <c r="U4" s="3650"/>
      <c r="V4" s="3678" t="s">
        <v>1772</v>
      </c>
      <c r="W4" s="3678"/>
      <c r="X4" s="1958"/>
      <c r="Y4" s="3649" t="s">
        <v>1774</v>
      </c>
      <c r="Z4" s="3650"/>
      <c r="AA4" s="3644" t="s">
        <v>1770</v>
      </c>
      <c r="AB4" s="3644" t="s">
        <v>1771</v>
      </c>
      <c r="AC4" s="3663" t="s">
        <v>1772</v>
      </c>
    </row>
    <row r="5" spans="1:29" ht="15">
      <c r="A5" s="358"/>
      <c r="B5" s="359"/>
      <c r="C5" s="3655" t="s">
        <v>3447</v>
      </c>
      <c r="D5" s="3656"/>
      <c r="E5" s="3653" t="str">
        <f>C5</f>
        <v>远洋长安国际中心</v>
      </c>
      <c r="F5" s="3654"/>
      <c r="G5" s="3659" t="str">
        <f>案例!A3</f>
        <v>长安天街</v>
      </c>
      <c r="H5" s="3656"/>
      <c r="I5" s="3659" t="str">
        <f>案例!A4</f>
        <v>长安天街</v>
      </c>
      <c r="J5" s="3656"/>
      <c r="K5" s="559"/>
      <c r="L5" s="2709"/>
      <c r="M5" s="2710"/>
      <c r="N5" s="2710"/>
      <c r="O5" s="2710"/>
      <c r="P5" s="3672"/>
      <c r="Q5" s="3673"/>
      <c r="R5" s="3651"/>
      <c r="S5" s="3652"/>
      <c r="T5" s="3651"/>
      <c r="U5" s="3652"/>
      <c r="V5" s="3679"/>
      <c r="W5" s="3679"/>
      <c r="X5" s="1355"/>
      <c r="Y5" s="3651"/>
      <c r="Z5" s="3652"/>
      <c r="AA5" s="3645"/>
      <c r="AB5" s="3645"/>
      <c r="AC5" s="3664"/>
    </row>
    <row r="6" spans="1:29" ht="15.75" thickBot="1">
      <c r="A6" s="360"/>
      <c r="B6" s="361"/>
      <c r="C6" s="3657" t="s">
        <v>1676</v>
      </c>
      <c r="D6" s="3658"/>
      <c r="E6" s="3660" t="s">
        <v>1676</v>
      </c>
      <c r="F6" s="3661"/>
      <c r="G6" s="3657" t="s">
        <v>1676</v>
      </c>
      <c r="H6" s="3658"/>
      <c r="I6" s="3657" t="s">
        <v>1676</v>
      </c>
      <c r="J6" s="3658"/>
      <c r="K6" s="559" t="s">
        <v>1677</v>
      </c>
      <c r="L6" s="2709"/>
      <c r="M6" s="2710"/>
      <c r="N6" s="2710"/>
      <c r="O6" s="2710"/>
      <c r="P6" s="3674"/>
      <c r="Q6" s="3675"/>
      <c r="R6" s="3651"/>
      <c r="S6" s="3652"/>
      <c r="T6" s="3676"/>
      <c r="U6" s="3677"/>
      <c r="V6" s="3679"/>
      <c r="W6" s="3679"/>
      <c r="X6" s="1355"/>
      <c r="Y6" s="3676"/>
      <c r="Z6" s="3677"/>
      <c r="AA6" s="3646"/>
      <c r="AB6" s="3646"/>
      <c r="AC6" s="3665"/>
    </row>
    <row r="7" spans="1:29" s="108" customFormat="1" ht="15.75" thickBot="1">
      <c r="A7" s="362" t="s">
        <v>1678</v>
      </c>
      <c r="B7" s="363"/>
      <c r="C7" s="364">
        <f>'数据-取费表'!B2</f>
        <v>44978</v>
      </c>
      <c r="D7" s="365">
        <v>100</v>
      </c>
      <c r="E7" s="366">
        <f>C7</f>
        <v>44978</v>
      </c>
      <c r="F7" s="367">
        <f>SUMIF(59:59,YEAR(E7)&amp;"-"&amp;MONTH(E7),60:60)</f>
        <v>100</v>
      </c>
      <c r="G7" s="366">
        <f>C7</f>
        <v>44978</v>
      </c>
      <c r="H7" s="365">
        <f>SUMIF(59:59,YEAR(G7)&amp;"-"&amp;MONTH(G7),60:60)</f>
        <v>100</v>
      </c>
      <c r="I7" s="366">
        <f>C7</f>
        <v>44978</v>
      </c>
      <c r="J7" s="365">
        <f>SUMIF(59:59,YEAR(I7)&amp;"-"&amp;MONTH(I7),60:60)</f>
        <v>100</v>
      </c>
      <c r="K7" s="560"/>
      <c r="L7" s="2711"/>
      <c r="M7" s="2712"/>
      <c r="N7" s="2712"/>
      <c r="O7" s="2712"/>
      <c r="P7" s="3680" t="s">
        <v>1679</v>
      </c>
      <c r="Q7" s="3681"/>
      <c r="R7" s="701" t="s">
        <v>14</v>
      </c>
      <c r="S7" s="702">
        <f t="shared" ref="S7:S15" si="0">F7</f>
        <v>100</v>
      </c>
      <c r="T7" s="701" t="s">
        <v>14</v>
      </c>
      <c r="U7" s="702">
        <f t="shared" ref="U7:U15" si="1">H7</f>
        <v>100</v>
      </c>
      <c r="V7" s="701" t="s">
        <v>14</v>
      </c>
      <c r="W7" s="702">
        <f t="shared" ref="W7:W15" si="2">J7</f>
        <v>100</v>
      </c>
      <c r="X7" s="703"/>
      <c r="Y7" s="3647" t="s">
        <v>1679</v>
      </c>
      <c r="Z7" s="3648"/>
      <c r="AA7" s="704">
        <f>D7/F7</f>
        <v>1</v>
      </c>
      <c r="AB7" s="704">
        <f>D7/H7</f>
        <v>1</v>
      </c>
      <c r="AC7" s="1959">
        <f>D7/J7</f>
        <v>1</v>
      </c>
    </row>
    <row r="8" spans="1:29" s="108" customFormat="1" ht="15.75" thickBot="1">
      <c r="A8" s="362" t="s">
        <v>1680</v>
      </c>
      <c r="B8" s="363"/>
      <c r="C8" s="368" t="s">
        <v>3422</v>
      </c>
      <c r="D8" s="365">
        <v>100</v>
      </c>
      <c r="E8" s="368" t="s">
        <v>3422</v>
      </c>
      <c r="F8" s="367">
        <f>SUMIF(62:62,E8,63:63)-SUMIF(62:62,C8,63:63)+100</f>
        <v>100</v>
      </c>
      <c r="G8" s="368" t="s">
        <v>3422</v>
      </c>
      <c r="H8" s="365">
        <f>SUMIF(62:62,G8,63:63)-SUMIF(62:62,C8,63:63)+100</f>
        <v>100</v>
      </c>
      <c r="I8" s="368" t="s">
        <v>3422</v>
      </c>
      <c r="J8" s="365">
        <f>SUMIF(62:62,I8,63:63)-SUMIF(62:62,C8,63:63)+100</f>
        <v>100</v>
      </c>
      <c r="K8" s="560"/>
      <c r="L8" s="2711"/>
      <c r="M8" s="2712"/>
      <c r="N8" s="2712"/>
      <c r="O8" s="2712"/>
      <c r="P8" s="3680" t="s">
        <v>1682</v>
      </c>
      <c r="Q8" s="3648"/>
      <c r="R8" s="701" t="s">
        <v>14</v>
      </c>
      <c r="S8" s="702">
        <f t="shared" si="0"/>
        <v>100</v>
      </c>
      <c r="T8" s="701" t="s">
        <v>14</v>
      </c>
      <c r="U8" s="702">
        <f t="shared" si="1"/>
        <v>100</v>
      </c>
      <c r="V8" s="701" t="s">
        <v>14</v>
      </c>
      <c r="W8" s="702">
        <f t="shared" si="2"/>
        <v>100</v>
      </c>
      <c r="X8" s="703"/>
      <c r="Y8" s="3647" t="s">
        <v>1682</v>
      </c>
      <c r="Z8" s="3648"/>
      <c r="AA8" s="704">
        <f t="shared" ref="AA8:AA47" si="3">D8/F8</f>
        <v>1</v>
      </c>
      <c r="AB8" s="704">
        <f t="shared" ref="AB8:AB47" si="4">D8/H8</f>
        <v>1</v>
      </c>
      <c r="AC8" s="1959">
        <f t="shared" ref="AC8:AC47" si="5">D8/J8</f>
        <v>1</v>
      </c>
    </row>
    <row r="9" spans="1:29" s="108" customFormat="1">
      <c r="A9" s="369" t="s">
        <v>1683</v>
      </c>
      <c r="B9" s="63" t="s">
        <v>1684</v>
      </c>
      <c r="C9" s="3454" t="s">
        <v>3437</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62" t="s">
        <v>1685</v>
      </c>
      <c r="Q9" s="1343" t="str">
        <f t="shared" ref="Q9:Q15" si="6">B9</f>
        <v>用途</v>
      </c>
      <c r="R9" s="701" t="s">
        <v>14</v>
      </c>
      <c r="S9" s="702">
        <f t="shared" si="0"/>
        <v>100</v>
      </c>
      <c r="T9" s="701" t="s">
        <v>14</v>
      </c>
      <c r="U9" s="702">
        <f t="shared" si="1"/>
        <v>100</v>
      </c>
      <c r="V9" s="701" t="s">
        <v>14</v>
      </c>
      <c r="W9" s="702">
        <f t="shared" si="2"/>
        <v>100</v>
      </c>
      <c r="X9" s="703"/>
      <c r="Y9" s="3617" t="s">
        <v>1686</v>
      </c>
      <c r="Z9" s="52" t="str">
        <f t="shared" ref="Z9:Z15" si="7">Q9</f>
        <v>用途</v>
      </c>
      <c r="AA9" s="704">
        <f t="shared" si="3"/>
        <v>1</v>
      </c>
      <c r="AB9" s="704">
        <f t="shared" si="4"/>
        <v>1</v>
      </c>
      <c r="AC9" s="1959">
        <f t="shared" si="5"/>
        <v>1</v>
      </c>
    </row>
    <row r="10" spans="1:29" s="378" customFormat="1" ht="27">
      <c r="A10" s="374"/>
      <c r="B10" s="375" t="s">
        <v>1687</v>
      </c>
      <c r="C10" s="3428" t="str">
        <f>C66</f>
        <v>40-50(含）</v>
      </c>
      <c r="D10" s="127">
        <v>100</v>
      </c>
      <c r="E10" s="3428" t="str">
        <f>C10</f>
        <v>40-50(含）</v>
      </c>
      <c r="F10" s="127">
        <f>SUMIF(66:66,E10,67:67)-SUMIF(66:66,C10,67:67)+100</f>
        <v>100</v>
      </c>
      <c r="G10" s="3429" t="str">
        <f>C10</f>
        <v>40-50(含）</v>
      </c>
      <c r="H10" s="127">
        <f>SUMIF(66:66,G10,67:67)-SUMIF(66:66,C10,67:67)+100</f>
        <v>100</v>
      </c>
      <c r="I10" s="3428" t="str">
        <f>C10</f>
        <v>40-50(含）</v>
      </c>
      <c r="J10" s="127">
        <f>SUMIF(66:66,I10,67:67)-SUMIF(66:66,C10,67:67)+100</f>
        <v>100</v>
      </c>
      <c r="K10" s="560"/>
      <c r="L10" s="2713"/>
      <c r="M10" s="2714"/>
      <c r="N10" s="2714"/>
      <c r="O10" s="2714"/>
      <c r="P10" s="3662"/>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1959">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2"/>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62"/>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62"/>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62"/>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t="s">
        <v>3402</v>
      </c>
      <c r="F15" s="392">
        <f>SUMIF(77:77,E16,78:78)-SUMIF(77:77,C16,78:78)+100</f>
        <v>100</v>
      </c>
      <c r="G15" s="395" t="s">
        <v>3402</v>
      </c>
      <c r="H15" s="392">
        <f>SUMIF(77:77,G16,78:78)-SUMIF(77:77,C16,78:78)+100</f>
        <v>100</v>
      </c>
      <c r="I15" s="395" t="s">
        <v>3402</v>
      </c>
      <c r="J15" s="392">
        <f>SUMIF(77:77,I16,78:78)-SUMIF(77:77,C16,78:78)+100</f>
        <v>100</v>
      </c>
      <c r="K15" s="563">
        <v>2</v>
      </c>
      <c r="L15" s="2716"/>
      <c r="M15" s="2710"/>
      <c r="N15" s="2710"/>
      <c r="O15" s="2710"/>
      <c r="P15" s="3682" t="s">
        <v>1690</v>
      </c>
      <c r="Q15" s="1352" t="str">
        <f t="shared" si="6"/>
        <v>办公集聚程度</v>
      </c>
      <c r="R15" s="705" t="s">
        <v>14</v>
      </c>
      <c r="S15" s="706">
        <f t="shared" si="0"/>
        <v>100</v>
      </c>
      <c r="T15" s="705" t="s">
        <v>14</v>
      </c>
      <c r="U15" s="706">
        <f t="shared" si="1"/>
        <v>100</v>
      </c>
      <c r="V15" s="705" t="s">
        <v>14</v>
      </c>
      <c r="W15" s="706">
        <f t="shared" si="2"/>
        <v>100</v>
      </c>
      <c r="X15" s="1355"/>
      <c r="Y15" s="3684" t="s">
        <v>1690</v>
      </c>
      <c r="Z15" s="1356" t="str">
        <f t="shared" si="7"/>
        <v>办公集聚程度</v>
      </c>
      <c r="AA15" s="1353">
        <f t="shared" si="3"/>
        <v>1</v>
      </c>
      <c r="AB15" s="1353">
        <f t="shared" si="4"/>
        <v>1</v>
      </c>
      <c r="AC15" s="1962">
        <f t="shared" si="5"/>
        <v>1</v>
      </c>
    </row>
    <row r="16" spans="1:29" ht="15">
      <c r="A16" s="379"/>
      <c r="B16" s="578"/>
      <c r="C16" s="1904" t="s">
        <v>3402</v>
      </c>
      <c r="D16" s="399"/>
      <c r="E16" s="398" t="s">
        <v>3402</v>
      </c>
      <c r="F16" s="399"/>
      <c r="G16" s="398" t="s">
        <v>3402</v>
      </c>
      <c r="H16" s="401"/>
      <c r="I16" s="398" t="s">
        <v>3402</v>
      </c>
      <c r="J16" s="399"/>
      <c r="K16" s="564"/>
      <c r="L16" s="2716"/>
      <c r="M16" s="2710"/>
      <c r="N16" s="2710"/>
      <c r="O16" s="2710"/>
      <c r="P16" s="3683"/>
      <c r="Q16" s="1352"/>
      <c r="R16" s="705"/>
      <c r="S16" s="706"/>
      <c r="T16" s="705"/>
      <c r="U16" s="706"/>
      <c r="V16" s="705"/>
      <c r="W16" s="706"/>
      <c r="X16" s="1355"/>
      <c r="Y16" s="3685"/>
      <c r="Z16" s="1356"/>
      <c r="AA16" s="1353">
        <v>1</v>
      </c>
      <c r="AB16" s="1353">
        <v>1</v>
      </c>
      <c r="AC16" s="1962">
        <v>1</v>
      </c>
    </row>
    <row r="17" spans="1:29" ht="15">
      <c r="A17" s="379"/>
      <c r="B17" s="579" t="s">
        <v>1258</v>
      </c>
      <c r="C17" s="1963" t="str">
        <f>估价对象房地状况!C6</f>
        <v>较好</v>
      </c>
      <c r="D17" s="401">
        <v>100</v>
      </c>
      <c r="E17" s="405" t="s">
        <v>3399</v>
      </c>
      <c r="F17" s="401">
        <f>SUMIF(79:79,E18,80:80)-SUMIF(79:79,C18,80:80)+100</f>
        <v>100</v>
      </c>
      <c r="G17" s="405" t="s">
        <v>3399</v>
      </c>
      <c r="H17" s="406">
        <f>SUMIF(79:79,G18,80:80)-SUMIF(79:79,C18,80:80)+100</f>
        <v>100</v>
      </c>
      <c r="I17" s="405" t="s">
        <v>3399</v>
      </c>
      <c r="J17" s="406">
        <f>SUMIF(79:79,I18,80:80)-SUMIF(79:79,C18,80:80)+100</f>
        <v>100</v>
      </c>
      <c r="K17" s="563">
        <v>2</v>
      </c>
      <c r="L17" s="2716"/>
      <c r="M17" s="2710"/>
      <c r="N17" s="2710"/>
      <c r="O17" s="2710"/>
      <c r="P17" s="3683"/>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962">
        <f t="shared" si="5"/>
        <v>1</v>
      </c>
    </row>
    <row r="18" spans="1:29" ht="15">
      <c r="A18" s="379"/>
      <c r="B18" s="580"/>
      <c r="C18" s="1964" t="s">
        <v>3399</v>
      </c>
      <c r="D18" s="401"/>
      <c r="E18" s="1902" t="s">
        <v>3399</v>
      </c>
      <c r="F18" s="401"/>
      <c r="G18" s="1902" t="s">
        <v>3399</v>
      </c>
      <c r="H18" s="399"/>
      <c r="I18" s="1902" t="s">
        <v>3399</v>
      </c>
      <c r="J18" s="399"/>
      <c r="K18" s="564"/>
      <c r="L18" s="2716"/>
      <c r="M18" s="2710"/>
      <c r="N18" s="2710"/>
      <c r="O18" s="2710"/>
      <c r="P18" s="3683"/>
      <c r="Q18" s="1352"/>
      <c r="R18" s="705"/>
      <c r="S18" s="706"/>
      <c r="T18" s="705"/>
      <c r="U18" s="706"/>
      <c r="V18" s="705"/>
      <c r="W18" s="706"/>
      <c r="X18" s="1355"/>
      <c r="Y18" s="3685"/>
      <c r="Z18" s="1356"/>
      <c r="AA18" s="1353">
        <v>1</v>
      </c>
      <c r="AB18" s="1353">
        <v>1</v>
      </c>
      <c r="AC18" s="1962">
        <v>1</v>
      </c>
    </row>
    <row r="19" spans="1:29" ht="15">
      <c r="A19" s="379"/>
      <c r="B19" s="579" t="s">
        <v>1811</v>
      </c>
      <c r="C19" s="1963" t="str">
        <f>估价对象房地状况!C7</f>
        <v>一般</v>
      </c>
      <c r="D19" s="406">
        <v>100</v>
      </c>
      <c r="E19" s="410" t="s">
        <v>3402</v>
      </c>
      <c r="F19" s="406">
        <f>SUMIF(81:81,E20,82:82)-SUMIF(81:81,C20,82:82)+100</f>
        <v>100</v>
      </c>
      <c r="G19" s="410" t="s">
        <v>3402</v>
      </c>
      <c r="H19" s="401">
        <f>SUMIF(81:81,G20,82:82)-SUMIF(81:81,C20,82:82)+100</f>
        <v>100</v>
      </c>
      <c r="I19" s="410" t="s">
        <v>3402</v>
      </c>
      <c r="J19" s="401">
        <f>SUMIF(81:81,I20,82:82)-SUMIF(81:81,C20,82:82)+100</f>
        <v>100</v>
      </c>
      <c r="K19" s="563">
        <v>2</v>
      </c>
      <c r="L19" s="2716"/>
      <c r="M19" s="2710"/>
      <c r="N19" s="2710"/>
      <c r="O19" s="2710"/>
      <c r="P19" s="3683"/>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962">
        <f t="shared" si="5"/>
        <v>1</v>
      </c>
    </row>
    <row r="20" spans="1:29" ht="15">
      <c r="A20" s="379"/>
      <c r="B20" s="580"/>
      <c r="C20" s="1904" t="s">
        <v>3402</v>
      </c>
      <c r="D20" s="399"/>
      <c r="E20" s="1897" t="s">
        <v>3402</v>
      </c>
      <c r="F20" s="399"/>
      <c r="G20" s="1897" t="s">
        <v>3402</v>
      </c>
      <c r="H20" s="399"/>
      <c r="I20" s="1897" t="s">
        <v>3402</v>
      </c>
      <c r="J20" s="399"/>
      <c r="K20" s="564"/>
      <c r="L20" s="2716"/>
      <c r="M20" s="2710"/>
      <c r="N20" s="2710"/>
      <c r="O20" s="2710"/>
      <c r="P20" s="3683"/>
      <c r="Q20" s="1352"/>
      <c r="R20" s="705"/>
      <c r="S20" s="706"/>
      <c r="T20" s="705"/>
      <c r="U20" s="706"/>
      <c r="V20" s="705"/>
      <c r="W20" s="706"/>
      <c r="X20" s="1355"/>
      <c r="Y20" s="3685"/>
      <c r="Z20" s="1356"/>
      <c r="AA20" s="1353">
        <v>1</v>
      </c>
      <c r="AB20" s="1353">
        <v>1</v>
      </c>
      <c r="AC20" s="1962">
        <v>1</v>
      </c>
    </row>
    <row r="21" spans="1:29" ht="15">
      <c r="A21" s="379"/>
      <c r="B21" s="581" t="s">
        <v>1812</v>
      </c>
      <c r="C21" s="1963" t="str">
        <f>估价对象房地状况!C8</f>
        <v>七通</v>
      </c>
      <c r="D21" s="401">
        <v>100</v>
      </c>
      <c r="E21" s="410" t="s">
        <v>3405</v>
      </c>
      <c r="F21" s="406">
        <f>SUMIF(83:83,E22,84:84)-SUMIF(83:83,C22,84:84)+100</f>
        <v>100</v>
      </c>
      <c r="G21" s="410" t="s">
        <v>3405</v>
      </c>
      <c r="H21" s="401">
        <f>SUMIF(83:83,G22,84:84)-SUMIF(83:83,C22,84:84)+100</f>
        <v>100</v>
      </c>
      <c r="I21" s="410" t="s">
        <v>3405</v>
      </c>
      <c r="J21" s="401">
        <f>SUMIF(83:83,I22,84:84)-SUMIF(83:83,C22,84:84)+100</f>
        <v>100</v>
      </c>
      <c r="K21" s="563">
        <v>1</v>
      </c>
      <c r="L21" s="2716"/>
      <c r="M21" s="2710"/>
      <c r="N21" s="2710"/>
      <c r="O21" s="2710"/>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962">
        <f t="shared" ref="AC21" si="10">D21/J21</f>
        <v>1</v>
      </c>
    </row>
    <row r="22" spans="1:29" ht="15">
      <c r="A22" s="379"/>
      <c r="B22" s="581"/>
      <c r="C22" s="1964" t="s">
        <v>3405</v>
      </c>
      <c r="D22" s="399"/>
      <c r="E22" s="398" t="s">
        <v>3405</v>
      </c>
      <c r="F22" s="399"/>
      <c r="G22" s="398" t="s">
        <v>3405</v>
      </c>
      <c r="H22" s="399"/>
      <c r="I22" s="398" t="s">
        <v>3405</v>
      </c>
      <c r="J22" s="399"/>
      <c r="K22" s="1130"/>
      <c r="L22" s="2716"/>
      <c r="M22" s="2710"/>
      <c r="N22" s="2710"/>
      <c r="O22" s="2710"/>
      <c r="P22" s="3683"/>
      <c r="Q22" s="1352"/>
      <c r="R22" s="705"/>
      <c r="S22" s="706"/>
      <c r="T22" s="705"/>
      <c r="U22" s="706"/>
      <c r="V22" s="705"/>
      <c r="W22" s="706"/>
      <c r="X22" s="1355"/>
      <c r="Y22" s="3685"/>
      <c r="Z22" s="1356"/>
      <c r="AA22" s="1353">
        <v>1</v>
      </c>
      <c r="AB22" s="1353">
        <v>1</v>
      </c>
      <c r="AC22" s="1962">
        <v>1</v>
      </c>
    </row>
    <row r="23" spans="1:29" ht="15">
      <c r="A23" s="379"/>
      <c r="B23" s="579" t="s">
        <v>1813</v>
      </c>
      <c r="C23" s="1963" t="str">
        <f>估价对象房地状况!C9</f>
        <v>一般</v>
      </c>
      <c r="D23" s="401">
        <v>100</v>
      </c>
      <c r="E23" s="405" t="s">
        <v>3402</v>
      </c>
      <c r="F23" s="401">
        <f>SUMIF(85:85,E24,86:86)-SUMIF(85:85,C24,86:86)+100</f>
        <v>100</v>
      </c>
      <c r="G23" s="405" t="s">
        <v>3402</v>
      </c>
      <c r="H23" s="401">
        <f>SUMIF(85:85,G24,86:86)-SUMIF(85:85,C24,86:86)+100</f>
        <v>100</v>
      </c>
      <c r="I23" s="405" t="s">
        <v>3402</v>
      </c>
      <c r="J23" s="401">
        <f>SUMIF(85:85,I24,86:86)-SUMIF(85:85,C24,86:86)+100</f>
        <v>100</v>
      </c>
      <c r="K23" s="563">
        <v>2</v>
      </c>
      <c r="L23" s="2716"/>
      <c r="M23" s="2710"/>
      <c r="N23" s="2710"/>
      <c r="O23" s="2710"/>
      <c r="P23" s="3683"/>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962">
        <f t="shared" si="5"/>
        <v>1</v>
      </c>
    </row>
    <row r="24" spans="1:29" ht="15">
      <c r="A24" s="379"/>
      <c r="B24" s="581"/>
      <c r="C24" s="1904" t="s">
        <v>3402</v>
      </c>
      <c r="D24" s="399"/>
      <c r="E24" s="1897" t="s">
        <v>3402</v>
      </c>
      <c r="F24" s="399"/>
      <c r="G24" s="1897" t="s">
        <v>3402</v>
      </c>
      <c r="H24" s="399"/>
      <c r="I24" s="1897" t="s">
        <v>3402</v>
      </c>
      <c r="J24" s="399"/>
      <c r="K24" s="564"/>
      <c r="L24" s="2716"/>
      <c r="M24" s="2710"/>
      <c r="N24" s="2710"/>
      <c r="O24" s="2710"/>
      <c r="P24" s="3683"/>
      <c r="Q24" s="1352"/>
      <c r="R24" s="705"/>
      <c r="S24" s="706"/>
      <c r="T24" s="705"/>
      <c r="U24" s="706"/>
      <c r="V24" s="705"/>
      <c r="W24" s="706"/>
      <c r="X24" s="1355"/>
      <c r="Y24" s="3685"/>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683"/>
      <c r="Q25" s="1352" t="str">
        <f>B25</f>
        <v>毗邻道路的类型与等级</v>
      </c>
      <c r="R25" s="705" t="s">
        <v>14</v>
      </c>
      <c r="S25" s="706">
        <f>F25</f>
        <v>100</v>
      </c>
      <c r="T25" s="705" t="s">
        <v>14</v>
      </c>
      <c r="U25" s="706">
        <f>H25</f>
        <v>100</v>
      </c>
      <c r="V25" s="705" t="s">
        <v>14</v>
      </c>
      <c r="W25" s="706">
        <f>J25</f>
        <v>100</v>
      </c>
      <c r="X25" s="1355"/>
      <c r="Y25" s="36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683"/>
      <c r="Q26" s="1352"/>
      <c r="R26" s="705"/>
      <c r="S26" s="706"/>
      <c r="T26" s="705"/>
      <c r="U26" s="706"/>
      <c r="V26" s="705"/>
      <c r="W26" s="706"/>
      <c r="X26" s="1355"/>
      <c r="Y26" s="3685"/>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83"/>
      <c r="Q27" s="1352" t="str">
        <f t="shared" ref="Q27:Q47" si="11">B27</f>
        <v>楼层</v>
      </c>
      <c r="R27" s="705" t="s">
        <v>14</v>
      </c>
      <c r="S27" s="706">
        <f>F27</f>
        <v>100</v>
      </c>
      <c r="T27" s="705" t="s">
        <v>14</v>
      </c>
      <c r="U27" s="706">
        <f>H27</f>
        <v>100</v>
      </c>
      <c r="V27" s="705" t="s">
        <v>14</v>
      </c>
      <c r="W27" s="706">
        <f>J27</f>
        <v>100</v>
      </c>
      <c r="X27" s="1355"/>
      <c r="Y27" s="3685"/>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683"/>
      <c r="Q28" s="1343" t="str">
        <f t="shared" si="11"/>
        <v>朝向</v>
      </c>
      <c r="R28" s="701" t="s">
        <v>14</v>
      </c>
      <c r="S28" s="702">
        <f>F28</f>
        <v>100</v>
      </c>
      <c r="T28" s="701" t="s">
        <v>14</v>
      </c>
      <c r="U28" s="702">
        <f>H28</f>
        <v>100</v>
      </c>
      <c r="V28" s="701" t="s">
        <v>14</v>
      </c>
      <c r="W28" s="702">
        <f>J28</f>
        <v>100</v>
      </c>
      <c r="X28" s="703"/>
      <c r="Y28" s="3685"/>
      <c r="Z28" s="52" t="str">
        <f>Q28</f>
        <v>朝向</v>
      </c>
      <c r="AA28" s="1353">
        <f>D28/F28</f>
        <v>1</v>
      </c>
      <c r="AB28" s="1353">
        <f>D28/H28</f>
        <v>1</v>
      </c>
      <c r="AC28" s="1962">
        <f>D28/J28</f>
        <v>1</v>
      </c>
    </row>
    <row r="29" spans="1:29" ht="15.75" thickBot="1">
      <c r="A29" s="379"/>
      <c r="B29" s="3455" t="s">
        <v>3438</v>
      </c>
      <c r="C29" s="3456" t="s">
        <v>3425</v>
      </c>
      <c r="D29" s="386">
        <v>100</v>
      </c>
      <c r="E29" s="3456" t="s">
        <v>3425</v>
      </c>
      <c r="F29" s="386">
        <f>SUMIF(93:93,E29,94:94)-SUMIF(93:93,C29,94:94)+100</f>
        <v>100</v>
      </c>
      <c r="G29" s="3456" t="s">
        <v>3425</v>
      </c>
      <c r="H29" s="386">
        <f>SUMIF(93:93,G29,94:94)-SUMIF(93:93,C29,94:94)+100</f>
        <v>100</v>
      </c>
      <c r="I29" s="3456" t="s">
        <v>3425</v>
      </c>
      <c r="J29" s="386">
        <f>SUMIF(93:93,I29,94:94)-SUMIF(93:93,C29,94:94)+100</f>
        <v>100</v>
      </c>
      <c r="K29" s="562"/>
      <c r="L29" s="2716"/>
      <c r="M29" s="2710"/>
      <c r="N29" s="2710"/>
      <c r="O29" s="2710"/>
      <c r="P29" s="3683"/>
      <c r="Q29" s="1352" t="str">
        <f t="shared" si="11"/>
        <v>楼层</v>
      </c>
      <c r="R29" s="705" t="s">
        <v>14</v>
      </c>
      <c r="S29" s="706">
        <f t="shared" ref="S29:S47" si="12">F29</f>
        <v>100</v>
      </c>
      <c r="T29" s="705" t="s">
        <v>14</v>
      </c>
      <c r="U29" s="706">
        <f t="shared" ref="U29:U47" si="13">H29</f>
        <v>100</v>
      </c>
      <c r="V29" s="705" t="s">
        <v>14</v>
      </c>
      <c r="W29" s="706">
        <f t="shared" ref="W29:W47" si="14">J29</f>
        <v>100</v>
      </c>
      <c r="X29" s="1355"/>
      <c r="Y29" s="3685"/>
      <c r="Z29" s="1356" t="str">
        <f t="shared" ref="Z29:Z47" si="15">Q29</f>
        <v>楼层</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683"/>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683"/>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683"/>
      <c r="Q32" s="1352">
        <f t="shared" si="11"/>
        <v>111</v>
      </c>
      <c r="R32" s="705" t="s">
        <v>14</v>
      </c>
      <c r="S32" s="706">
        <f t="shared" si="12"/>
        <v>100</v>
      </c>
      <c r="T32" s="705" t="s">
        <v>14</v>
      </c>
      <c r="U32" s="706">
        <f t="shared" si="13"/>
        <v>100</v>
      </c>
      <c r="V32" s="705" t="s">
        <v>14</v>
      </c>
      <c r="W32" s="706">
        <f t="shared" si="14"/>
        <v>100</v>
      </c>
      <c r="X32" s="1355"/>
      <c r="Y32" s="3685"/>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686" t="s">
        <v>1695</v>
      </c>
      <c r="Q33" s="1352" t="str">
        <f t="shared" si="11"/>
        <v>建筑类型</v>
      </c>
      <c r="R33" s="705" t="s">
        <v>14</v>
      </c>
      <c r="S33" s="706">
        <f t="shared" si="12"/>
        <v>100</v>
      </c>
      <c r="T33" s="705" t="s">
        <v>14</v>
      </c>
      <c r="U33" s="706">
        <f t="shared" si="13"/>
        <v>100</v>
      </c>
      <c r="V33" s="705" t="s">
        <v>14</v>
      </c>
      <c r="W33" s="706">
        <f t="shared" si="14"/>
        <v>100</v>
      </c>
      <c r="X33" s="1355"/>
      <c r="Y33" s="3689" t="s">
        <v>1695</v>
      </c>
      <c r="Z33" s="1356" t="str">
        <f t="shared" si="15"/>
        <v>建筑类型</v>
      </c>
      <c r="AA33" s="1353">
        <f t="shared" si="3"/>
        <v>1</v>
      </c>
      <c r="AB33" s="1353">
        <f t="shared" si="4"/>
        <v>1</v>
      </c>
      <c r="AC33" s="1962">
        <f t="shared" si="5"/>
        <v>1</v>
      </c>
    </row>
    <row r="34" spans="1:29" s="422" customFormat="1" ht="15">
      <c r="A34" s="419"/>
      <c r="B34" s="375" t="s">
        <v>1696</v>
      </c>
      <c r="C34" s="420">
        <f>'数据-汇总表'!E3</f>
        <v>1105.3800000000001</v>
      </c>
      <c r="D34" s="127">
        <v>100</v>
      </c>
      <c r="E34" s="381">
        <f>案例!B2</f>
        <v>2200</v>
      </c>
      <c r="F34" s="376">
        <f>LOOKUP(E34,104:104,105:105)-LOOKUP(C34,104:104,105:105)+100</f>
        <v>100</v>
      </c>
      <c r="G34" s="380">
        <f>案例!B3</f>
        <v>660</v>
      </c>
      <c r="H34" s="127">
        <f>LOOKUP(G34,104:104,105:105)-LOOKUP(C34,104:104,105:105)+100</f>
        <v>102</v>
      </c>
      <c r="I34" s="380">
        <f>案例!B4</f>
        <v>655</v>
      </c>
      <c r="J34" s="127">
        <f>LOOKUP(I34,104:104,105:105)-LOOKUP(C34,104:104,105:105)+100</f>
        <v>102</v>
      </c>
      <c r="K34" s="562"/>
      <c r="L34" s="2715"/>
      <c r="M34" s="2717"/>
      <c r="N34" s="2717"/>
      <c r="O34" s="2717"/>
      <c r="P34" s="3687"/>
      <c r="Q34" s="707" t="str">
        <f t="shared" si="11"/>
        <v>项目建筑规模</v>
      </c>
      <c r="R34" s="708" t="s">
        <v>14</v>
      </c>
      <c r="S34" s="709">
        <f t="shared" si="12"/>
        <v>100</v>
      </c>
      <c r="T34" s="708" t="s">
        <v>14</v>
      </c>
      <c r="U34" s="709">
        <f t="shared" si="13"/>
        <v>102</v>
      </c>
      <c r="V34" s="708" t="s">
        <v>14</v>
      </c>
      <c r="W34" s="709">
        <f t="shared" si="14"/>
        <v>102</v>
      </c>
      <c r="X34" s="710"/>
      <c r="Y34" s="3689"/>
      <c r="Z34" s="711" t="str">
        <f t="shared" si="15"/>
        <v>项目建筑规模</v>
      </c>
      <c r="AA34" s="1353">
        <f t="shared" si="3"/>
        <v>1</v>
      </c>
      <c r="AB34" s="1353">
        <f t="shared" si="4"/>
        <v>0.98039215686274506</v>
      </c>
      <c r="AC34" s="1962">
        <f t="shared" si="5"/>
        <v>0.98039215686274506</v>
      </c>
    </row>
    <row r="35" spans="1:29" ht="15">
      <c r="A35" s="423"/>
      <c r="B35" s="375" t="s">
        <v>1697</v>
      </c>
      <c r="C35" s="411" t="s">
        <v>3408</v>
      </c>
      <c r="D35" s="386">
        <v>100</v>
      </c>
      <c r="E35" s="411" t="s">
        <v>3408</v>
      </c>
      <c r="F35" s="412">
        <f>SUMIF(106:106,E35,107:107)-SUMIF(106:106,C35,107:107)+100</f>
        <v>100</v>
      </c>
      <c r="G35" s="411" t="s">
        <v>3408</v>
      </c>
      <c r="H35" s="386">
        <f>SUMIF(106:106,G35,107:107)-SUMIF(106:106,C35,107:107)+100</f>
        <v>100</v>
      </c>
      <c r="I35" s="411" t="s">
        <v>3408</v>
      </c>
      <c r="J35" s="386">
        <f>SUMIF(106:106,I35,107:107)-SUMIF(106:106,C35,107:107)+100</f>
        <v>100</v>
      </c>
      <c r="K35" s="561">
        <v>2</v>
      </c>
      <c r="L35" s="2716"/>
      <c r="M35" s="2710"/>
      <c r="N35" s="2710"/>
      <c r="O35" s="2710"/>
      <c r="P35" s="3687"/>
      <c r="Q35" s="1352" t="str">
        <f t="shared" si="11"/>
        <v>建筑结构</v>
      </c>
      <c r="R35" s="705" t="s">
        <v>14</v>
      </c>
      <c r="S35" s="706">
        <f t="shared" si="12"/>
        <v>100</v>
      </c>
      <c r="T35" s="705" t="s">
        <v>14</v>
      </c>
      <c r="U35" s="706">
        <f t="shared" si="13"/>
        <v>100</v>
      </c>
      <c r="V35" s="705" t="s">
        <v>14</v>
      </c>
      <c r="W35" s="706">
        <f t="shared" si="14"/>
        <v>100</v>
      </c>
      <c r="X35" s="1355"/>
      <c r="Y35" s="3689"/>
      <c r="Z35" s="1356" t="str">
        <f t="shared" si="15"/>
        <v>建筑结构</v>
      </c>
      <c r="AA35" s="1353">
        <f t="shared" si="3"/>
        <v>1</v>
      </c>
      <c r="AB35" s="1353">
        <f t="shared" si="4"/>
        <v>1</v>
      </c>
      <c r="AC35" s="1962">
        <f t="shared" si="5"/>
        <v>1</v>
      </c>
    </row>
    <row r="36" spans="1:29" ht="15">
      <c r="A36" s="423"/>
      <c r="B36" s="375" t="s">
        <v>1784</v>
      </c>
      <c r="C36" s="411" t="s">
        <v>3428</v>
      </c>
      <c r="D36" s="386">
        <v>100</v>
      </c>
      <c r="E36" s="411" t="s">
        <v>3428</v>
      </c>
      <c r="F36" s="412">
        <f>SUMIF(108:108,E36,109:109)-SUMIF(108:108,C36,109:109)+100</f>
        <v>100</v>
      </c>
      <c r="G36" s="411" t="s">
        <v>3428</v>
      </c>
      <c r="H36" s="386">
        <f>SUMIF(108:108,G36,109:109)-SUMIF(108:108,C36,109:109)+100</f>
        <v>100</v>
      </c>
      <c r="I36" s="411" t="s">
        <v>3428</v>
      </c>
      <c r="J36" s="386">
        <f>SUMIF(108:108,I36,109:109)-SUMIF(108:108,C36,109:109)+100</f>
        <v>100</v>
      </c>
      <c r="K36" s="561">
        <v>2</v>
      </c>
      <c r="L36" s="2716"/>
      <c r="M36" s="2710"/>
      <c r="N36" s="2710"/>
      <c r="O36" s="2710"/>
      <c r="P36" s="3687"/>
      <c r="Q36" s="1352" t="str">
        <f t="shared" si="11"/>
        <v>公共部分装修</v>
      </c>
      <c r="R36" s="705" t="s">
        <v>14</v>
      </c>
      <c r="S36" s="706">
        <f t="shared" si="12"/>
        <v>100</v>
      </c>
      <c r="T36" s="705" t="s">
        <v>14</v>
      </c>
      <c r="U36" s="706">
        <f t="shared" si="13"/>
        <v>100</v>
      </c>
      <c r="V36" s="705" t="s">
        <v>14</v>
      </c>
      <c r="W36" s="706">
        <f t="shared" si="14"/>
        <v>100</v>
      </c>
      <c r="X36" s="1355"/>
      <c r="Y36" s="3689"/>
      <c r="Z36" s="1356" t="str">
        <f t="shared" si="15"/>
        <v>公共部分装修</v>
      </c>
      <c r="AA36" s="1353">
        <f t="shared" si="3"/>
        <v>1</v>
      </c>
      <c r="AB36" s="1353">
        <f t="shared" si="4"/>
        <v>1</v>
      </c>
      <c r="AC36" s="1962">
        <f t="shared" si="5"/>
        <v>1</v>
      </c>
    </row>
    <row r="37" spans="1:29" ht="15">
      <c r="A37" s="423"/>
      <c r="B37" s="375" t="s">
        <v>1785</v>
      </c>
      <c r="C37" s="425">
        <f>'数据-取费表'!N6</f>
        <v>0.95</v>
      </c>
      <c r="D37" s="386">
        <v>100</v>
      </c>
      <c r="E37" s="425">
        <f>C37</f>
        <v>0.95</v>
      </c>
      <c r="F37" s="412">
        <f>LOOKUP(E37,111:111,112:112)-LOOKUP(C37,111:111,112:112)+100</f>
        <v>100</v>
      </c>
      <c r="G37" s="425">
        <v>0.9</v>
      </c>
      <c r="H37" s="412">
        <f>LOOKUP(G37,111:111,112:112)-LOOKUP(C37,111:111,112:112)+100</f>
        <v>100</v>
      </c>
      <c r="I37" s="425">
        <v>0.9</v>
      </c>
      <c r="J37" s="386">
        <f>LOOKUP(I37,111:111,112:112)-LOOKUP(C37,111:111,112:112)+100</f>
        <v>100</v>
      </c>
      <c r="K37" s="561">
        <v>1</v>
      </c>
      <c r="L37" s="2716"/>
      <c r="M37" s="2710"/>
      <c r="N37" s="2710"/>
      <c r="O37" s="2710"/>
      <c r="P37" s="3687"/>
      <c r="Q37" s="1352" t="str">
        <f t="shared" si="11"/>
        <v>成新度</v>
      </c>
      <c r="R37" s="705" t="s">
        <v>14</v>
      </c>
      <c r="S37" s="706">
        <f t="shared" si="12"/>
        <v>100</v>
      </c>
      <c r="T37" s="705" t="s">
        <v>14</v>
      </c>
      <c r="U37" s="706">
        <f t="shared" si="13"/>
        <v>100</v>
      </c>
      <c r="V37" s="705" t="s">
        <v>14</v>
      </c>
      <c r="W37" s="706">
        <f t="shared" si="14"/>
        <v>100</v>
      </c>
      <c r="X37" s="1355"/>
      <c r="Y37" s="3689"/>
      <c r="Z37" s="1356" t="str">
        <f t="shared" si="15"/>
        <v>成新度</v>
      </c>
      <c r="AA37" s="1353">
        <f t="shared" si="3"/>
        <v>1</v>
      </c>
      <c r="AB37" s="1353">
        <f t="shared" si="4"/>
        <v>1</v>
      </c>
      <c r="AC37" s="1962">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87"/>
      <c r="Q38" s="1343"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9">
        <f t="shared" si="5"/>
        <v>1</v>
      </c>
    </row>
    <row r="39" spans="1:29" ht="15">
      <c r="A39" s="423"/>
      <c r="B39" s="375" t="s">
        <v>1818</v>
      </c>
      <c r="C39" s="411" t="s">
        <v>3435</v>
      </c>
      <c r="D39" s="386">
        <v>100</v>
      </c>
      <c r="E39" s="411" t="s">
        <v>3435</v>
      </c>
      <c r="F39" s="412">
        <f>SUMIF(115:115,E39,116:116)-SUMIF(115:115,C39,116:116)+100</f>
        <v>100</v>
      </c>
      <c r="G39" s="411" t="s">
        <v>3435</v>
      </c>
      <c r="H39" s="386">
        <f>SUMIF(115:115,G39,116:116)-SUMIF(115:115,C39,116:116)+100</f>
        <v>100</v>
      </c>
      <c r="I39" s="411" t="s">
        <v>3435</v>
      </c>
      <c r="J39" s="386">
        <f>SUMIF(115:115,I39,116:116)-SUMIF(115:115,C39,116:116)+100</f>
        <v>100</v>
      </c>
      <c r="K39" s="561">
        <v>2</v>
      </c>
      <c r="L39" s="2716"/>
      <c r="M39" s="2710"/>
      <c r="N39" s="2710"/>
      <c r="O39" s="2710"/>
      <c r="P39" s="3687" t="s">
        <v>1695</v>
      </c>
      <c r="Q39" s="1352" t="str">
        <f t="shared" si="11"/>
        <v>物业管理</v>
      </c>
      <c r="R39" s="705" t="s">
        <v>14</v>
      </c>
      <c r="S39" s="706">
        <f t="shared" si="12"/>
        <v>100</v>
      </c>
      <c r="T39" s="705" t="s">
        <v>14</v>
      </c>
      <c r="U39" s="706">
        <f t="shared" si="13"/>
        <v>100</v>
      </c>
      <c r="V39" s="705" t="s">
        <v>14</v>
      </c>
      <c r="W39" s="706">
        <f t="shared" si="14"/>
        <v>100</v>
      </c>
      <c r="X39" s="1355"/>
      <c r="Y39" s="3689" t="s">
        <v>1695</v>
      </c>
      <c r="Z39" s="1356" t="str">
        <f t="shared" si="15"/>
        <v>物业管理</v>
      </c>
      <c r="AA39" s="1353">
        <f t="shared" si="3"/>
        <v>1</v>
      </c>
      <c r="AB39" s="1353">
        <f t="shared" si="4"/>
        <v>1</v>
      </c>
      <c r="AC39" s="1962">
        <f t="shared" si="5"/>
        <v>1</v>
      </c>
    </row>
    <row r="40" spans="1:29" ht="15">
      <c r="A40" s="423"/>
      <c r="B40" s="375" t="s">
        <v>1786</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16"/>
      <c r="M40" s="2710"/>
      <c r="N40" s="2710"/>
      <c r="O40" s="2710"/>
      <c r="P40" s="3687"/>
      <c r="Q40" s="1352" t="str">
        <f t="shared" si="11"/>
        <v>市政基础设施</v>
      </c>
      <c r="R40" s="705" t="s">
        <v>14</v>
      </c>
      <c r="S40" s="706">
        <f t="shared" si="12"/>
        <v>100</v>
      </c>
      <c r="T40" s="705" t="s">
        <v>14</v>
      </c>
      <c r="U40" s="706">
        <f t="shared" si="13"/>
        <v>100</v>
      </c>
      <c r="V40" s="705" t="s">
        <v>14</v>
      </c>
      <c r="W40" s="706">
        <f t="shared" si="14"/>
        <v>100</v>
      </c>
      <c r="X40" s="1355"/>
      <c r="Y40" s="3689"/>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87"/>
      <c r="Q41" s="1352" t="str">
        <f t="shared" si="11"/>
        <v>层高</v>
      </c>
      <c r="R41" s="705" t="s">
        <v>14</v>
      </c>
      <c r="S41" s="706">
        <f t="shared" si="12"/>
        <v>100</v>
      </c>
      <c r="T41" s="705" t="s">
        <v>14</v>
      </c>
      <c r="U41" s="706">
        <f t="shared" si="13"/>
        <v>100</v>
      </c>
      <c r="V41" s="705" t="s">
        <v>14</v>
      </c>
      <c r="W41" s="706">
        <f t="shared" si="14"/>
        <v>100</v>
      </c>
      <c r="X41" s="1355"/>
      <c r="Y41" s="3689"/>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3">
        <f t="shared" si="3"/>
        <v>1</v>
      </c>
      <c r="AB42" s="1353">
        <f t="shared" si="4"/>
        <v>1</v>
      </c>
      <c r="AC42" s="1962">
        <f t="shared" si="5"/>
        <v>1</v>
      </c>
    </row>
    <row r="43" spans="1:29" ht="15">
      <c r="A43" s="423"/>
      <c r="B43" s="375" t="s">
        <v>1791</v>
      </c>
      <c r="C43" s="411" t="s">
        <v>3419</v>
      </c>
      <c r="D43" s="386">
        <v>100</v>
      </c>
      <c r="E43" s="411" t="s">
        <v>3431</v>
      </c>
      <c r="F43" s="412">
        <f>SUMIF(123:123,E43,124:124)-SUMIF(123:123,C43,124:124)+100</f>
        <v>102</v>
      </c>
      <c r="G43" s="411" t="s">
        <v>3431</v>
      </c>
      <c r="H43" s="386">
        <f>SUMIF(123:123,G43,124:124)-SUMIF(123:123,C43,124:124)+100</f>
        <v>102</v>
      </c>
      <c r="I43" s="411" t="s">
        <v>3431</v>
      </c>
      <c r="J43" s="386">
        <f>SUMIF(123:123,I43,124:124)-SUMIF(123:123,C43,124:124)+100</f>
        <v>102</v>
      </c>
      <c r="K43" s="561">
        <v>2</v>
      </c>
      <c r="L43" s="2716"/>
      <c r="M43" s="2710"/>
      <c r="N43" s="2710"/>
      <c r="O43" s="2710"/>
      <c r="P43" s="3687"/>
      <c r="Q43" s="1352" t="str">
        <f t="shared" si="11"/>
        <v>内部装修</v>
      </c>
      <c r="R43" s="705" t="s">
        <v>14</v>
      </c>
      <c r="S43" s="706">
        <f t="shared" si="12"/>
        <v>102</v>
      </c>
      <c r="T43" s="705" t="s">
        <v>14</v>
      </c>
      <c r="U43" s="706">
        <f t="shared" si="13"/>
        <v>102</v>
      </c>
      <c r="V43" s="705" t="s">
        <v>14</v>
      </c>
      <c r="W43" s="706">
        <f t="shared" si="14"/>
        <v>102</v>
      </c>
      <c r="X43" s="1355"/>
      <c r="Y43" s="3689"/>
      <c r="Z43" s="1356" t="str">
        <f t="shared" si="15"/>
        <v>内部装修</v>
      </c>
      <c r="AA43" s="1353">
        <f t="shared" si="3"/>
        <v>0.98039215686274506</v>
      </c>
      <c r="AB43" s="1353">
        <f t="shared" si="4"/>
        <v>0.98039215686274506</v>
      </c>
      <c r="AC43" s="1962">
        <f t="shared" si="5"/>
        <v>0.98039215686274506</v>
      </c>
    </row>
    <row r="44" spans="1:29" ht="15.75" thickBot="1">
      <c r="A44" s="423"/>
      <c r="B44" s="375" t="s">
        <v>1706</v>
      </c>
      <c r="C44" s="411" t="s">
        <v>3399</v>
      </c>
      <c r="D44" s="386">
        <v>100</v>
      </c>
      <c r="E44" s="411" t="s">
        <v>3399</v>
      </c>
      <c r="F44" s="412">
        <f>SUMIF(125:125,E44,126:126)-SUMIF(125:125,C44,126:126)+100</f>
        <v>100</v>
      </c>
      <c r="G44" s="411" t="s">
        <v>3399</v>
      </c>
      <c r="H44" s="386">
        <f>SUMIF(125:125,G44,126:126)-SUMIF(125:125,C44,126:126)+100</f>
        <v>100</v>
      </c>
      <c r="I44" s="411" t="s">
        <v>3399</v>
      </c>
      <c r="J44" s="386">
        <f>SUMIF(125:125,I44,126:126)-SUMIF(125:125,C44,126:126)+100</f>
        <v>100</v>
      </c>
      <c r="K44" s="561">
        <v>2</v>
      </c>
      <c r="L44" s="2716"/>
      <c r="M44" s="2710"/>
      <c r="N44" s="2710"/>
      <c r="O44" s="2710"/>
      <c r="P44" s="3687"/>
      <c r="Q44" s="1352" t="str">
        <f t="shared" si="11"/>
        <v>内部装修维护情况</v>
      </c>
      <c r="R44" s="705" t="s">
        <v>14</v>
      </c>
      <c r="S44" s="706">
        <f t="shared" si="12"/>
        <v>100</v>
      </c>
      <c r="T44" s="705" t="s">
        <v>14</v>
      </c>
      <c r="U44" s="706">
        <f t="shared" si="13"/>
        <v>100</v>
      </c>
      <c r="V44" s="705" t="s">
        <v>14</v>
      </c>
      <c r="W44" s="706">
        <f t="shared" si="14"/>
        <v>100</v>
      </c>
      <c r="X44" s="1355"/>
      <c r="Y44" s="3689"/>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87"/>
      <c r="Q45" s="1343">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88"/>
      <c r="Q47" s="1352">
        <f t="shared" si="11"/>
        <v>111</v>
      </c>
      <c r="R47" s="705" t="s">
        <v>14</v>
      </c>
      <c r="S47" s="706">
        <f t="shared" si="12"/>
        <v>100</v>
      </c>
      <c r="T47" s="705" t="s">
        <v>14</v>
      </c>
      <c r="U47" s="706">
        <f t="shared" si="13"/>
        <v>100</v>
      </c>
      <c r="V47" s="705" t="s">
        <v>14</v>
      </c>
      <c r="W47" s="706">
        <f t="shared" si="14"/>
        <v>100</v>
      </c>
      <c r="X47" s="1355"/>
      <c r="Y47" s="3690"/>
      <c r="Z47" s="1356">
        <f t="shared" si="15"/>
        <v>111</v>
      </c>
      <c r="AA47" s="1353">
        <f t="shared" si="3"/>
        <v>1</v>
      </c>
      <c r="AB47" s="1353">
        <f t="shared" si="4"/>
        <v>1</v>
      </c>
      <c r="AC47" s="1962">
        <f t="shared" si="5"/>
        <v>1</v>
      </c>
    </row>
    <row r="48" spans="1:29" ht="15">
      <c r="A48" s="430" t="s">
        <v>1707</v>
      </c>
      <c r="B48" s="431"/>
      <c r="C48" s="1154" t="s">
        <v>0</v>
      </c>
      <c r="D48" s="1155"/>
      <c r="E48" s="1156">
        <f>案例!F2</f>
        <v>19800</v>
      </c>
      <c r="F48" s="1157"/>
      <c r="G48" s="1158">
        <f>案例!F3</f>
        <v>21000</v>
      </c>
      <c r="H48" s="1159"/>
      <c r="I48" s="1156">
        <f>案例!F4</f>
        <v>22672</v>
      </c>
      <c r="J48" s="436"/>
      <c r="K48" s="714"/>
      <c r="L48" s="2718"/>
      <c r="M48" s="2710"/>
      <c r="N48" s="2710"/>
      <c r="O48" s="2710"/>
      <c r="P48" s="3662" t="str">
        <f>A48</f>
        <v>成交单价（元/平方米）</v>
      </c>
      <c r="Q48" s="3691"/>
      <c r="R48" s="3692">
        <f>E48</f>
        <v>19800</v>
      </c>
      <c r="S48" s="3692"/>
      <c r="T48" s="3692">
        <f>G48</f>
        <v>21000</v>
      </c>
      <c r="U48" s="3692"/>
      <c r="V48" s="3692">
        <f>I48</f>
        <v>22672</v>
      </c>
      <c r="W48" s="3692"/>
      <c r="X48" s="397"/>
      <c r="Y48" s="712"/>
      <c r="Z48" s="397"/>
      <c r="AA48" s="397"/>
      <c r="AB48" s="397"/>
      <c r="AC48" s="578"/>
    </row>
    <row r="49" spans="1:29" ht="15.75" thickBot="1">
      <c r="A49" s="437" t="s">
        <v>1792</v>
      </c>
      <c r="B49" s="438"/>
      <c r="C49" s="1160">
        <f>R50</f>
        <v>20463</v>
      </c>
      <c r="D49" s="2317" t="s">
        <v>2137</v>
      </c>
      <c r="E49" s="1161">
        <f>R49</f>
        <v>19412</v>
      </c>
      <c r="F49" s="2318"/>
      <c r="G49" s="1160">
        <f>T49</f>
        <v>20185</v>
      </c>
      <c r="H49" s="2318"/>
      <c r="I49" s="1161">
        <f>V49</f>
        <v>21792</v>
      </c>
      <c r="J49" s="2318"/>
      <c r="K49" s="2320">
        <f>F49+H49+J49</f>
        <v>0</v>
      </c>
      <c r="L49" s="2718"/>
      <c r="M49" s="2710"/>
      <c r="N49" s="2710"/>
      <c r="O49" s="2710"/>
      <c r="P49" s="3662" t="str">
        <f>A49</f>
        <v>比较价值（元/平方米）</v>
      </c>
      <c r="Q49" s="3691"/>
      <c r="R49" s="3692">
        <f>IF(F1="售价",ROUND(PRODUCT(R48,AA7:AA47),0),ROUND(PRODUCT(R48,AA7:AA47),1))</f>
        <v>19412</v>
      </c>
      <c r="S49" s="3692"/>
      <c r="T49" s="3692">
        <f>IF(F1="售价",ROUND(PRODUCT(T48,AB7:AB47),0),ROUND(PRODUCT(T48,AB7:AB47),1))</f>
        <v>20185</v>
      </c>
      <c r="U49" s="3692"/>
      <c r="V49" s="3692">
        <f>IF(F1="售价",ROUND(PRODUCT(V48,AC7:AC47),0),ROUND(PRODUCT(V48,AC7:AC47),1))</f>
        <v>21792</v>
      </c>
      <c r="W49" s="3692"/>
      <c r="X49" s="397"/>
      <c r="Y49" s="397"/>
      <c r="Z49" s="397"/>
      <c r="AA49" s="397"/>
      <c r="AB49" s="397"/>
      <c r="AC49" s="578"/>
    </row>
    <row r="50" spans="1:29" ht="15.75" thickBot="1">
      <c r="A50" s="441" t="s">
        <v>1793</v>
      </c>
      <c r="B50" s="442"/>
      <c r="C50" s="1163">
        <f>R50</f>
        <v>20463</v>
      </c>
      <c r="D50" s="1163"/>
      <c r="E50" s="1163"/>
      <c r="F50" s="1163"/>
      <c r="G50" s="1163"/>
      <c r="H50" s="1163"/>
      <c r="I50" s="1163"/>
      <c r="J50" s="443"/>
      <c r="K50" s="715"/>
      <c r="L50" s="2718"/>
      <c r="M50" s="2710"/>
      <c r="N50" s="2710"/>
      <c r="O50" s="2710"/>
      <c r="P50" s="3693" t="str">
        <f>A50</f>
        <v>估价对象XX用房的比较价值（楼面单价，元/平方米）</v>
      </c>
      <c r="Q50" s="3694"/>
      <c r="R50" s="3695">
        <f>IF(F1="售价",ROUND(IF(D49="简单平均",AVERAGE(R49:V49),R49*F49+T49*H49+V49*J49),0),ROUND(IF(D49="简单平均",AVERAGE(R49:V49),R49*F49+T49*H49+V49*J49),1))</f>
        <v>20463</v>
      </c>
      <c r="S50" s="3695"/>
      <c r="T50" s="3695"/>
      <c r="U50" s="3695"/>
      <c r="V50" s="3695"/>
      <c r="W50" s="3695"/>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1794</v>
      </c>
      <c r="D53" s="447"/>
      <c r="E53" s="448">
        <f>IF(E48&lt;E49,E49/E48-1,E48/E49-1)</f>
        <v>1.9987636513496776E-2</v>
      </c>
      <c r="F53" s="449" t="str">
        <f>IF(OR(E53&gt;=0.3,E53&lt;=-0.3),"超过30%","")</f>
        <v/>
      </c>
      <c r="G53" s="448">
        <f>IF(G48&lt;G49,G49/G48-1,G48/G49-1)</f>
        <v>4.0376517215754193E-2</v>
      </c>
      <c r="H53" s="449" t="str">
        <f>IF(OR(G53&gt;=0.3,G53&lt;=-0.3),"超过30%","")</f>
        <v/>
      </c>
      <c r="I53" s="448">
        <f>IF(I48&lt;I49,I49/I48-1,I48/I49-1)</f>
        <v>4.038179148311305E-2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1795</v>
      </c>
      <c r="D54" s="450"/>
      <c r="E54" s="448">
        <f>IF(E49&lt;G49,G49/E49-1,E49/G49-1)</f>
        <v>3.9820729445703584E-2</v>
      </c>
      <c r="F54" s="449" t="str">
        <f>IF(OR(E54&gt;=0.2,E54&lt;=-0.2),"超过20%","")</f>
        <v/>
      </c>
      <c r="G54" s="448">
        <f>IF(G49&lt;I49,I49/G49-1,G49/I49-1)</f>
        <v>7.9613574436462775E-2</v>
      </c>
      <c r="H54" s="449" t="str">
        <f>IF(OR(G54&gt;=0.2,G54&lt;=-0.2),"超过20%","")</f>
        <v/>
      </c>
      <c r="I54" s="448">
        <f>IF(I49&lt;E49,E49/I49-1,I49/E49-1)</f>
        <v>0.12260457449000617</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1796</v>
      </c>
      <c r="D55" s="450"/>
      <c r="E55" s="448">
        <f>IF(E48&lt;G48,G48/E48-1,E48/G48-1)</f>
        <v>6.0606060606060552E-2</v>
      </c>
      <c r="F55" s="449" t="str">
        <f>IF(OR(E55&gt;=0.3,E55&lt;=-0.3),"超过30%","")</f>
        <v/>
      </c>
      <c r="G55" s="448">
        <f>IF(G48&lt;I48,I48/G48-1,G48/I48-1)</f>
        <v>7.96190476190477E-2</v>
      </c>
      <c r="H55" s="449" t="str">
        <f>IF(OR(G55&gt;=0.3,G55&lt;=-0.3),"超过30%","")</f>
        <v/>
      </c>
      <c r="I55" s="448">
        <f>IF(I48&lt;E48,E48/I48-1,I48/E48-1)</f>
        <v>0.1450505050505051</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1797</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1718</v>
      </c>
      <c r="B64" s="477" t="s">
        <v>1684</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1687</v>
      </c>
      <c r="C66" s="532" t="s">
        <v>3423</v>
      </c>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v>100</v>
      </c>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1689</v>
      </c>
      <c r="B77" s="477" t="s">
        <v>1820</v>
      </c>
      <c r="C77" s="522" t="s">
        <v>1720</v>
      </c>
      <c r="D77" s="522" t="s">
        <v>1721</v>
      </c>
      <c r="E77" s="522" t="s">
        <v>1722</v>
      </c>
      <c r="F77" s="522" t="s">
        <v>1723</v>
      </c>
      <c r="G77" s="522" t="s">
        <v>1724</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1725</v>
      </c>
      <c r="C79" s="527" t="s">
        <v>1720</v>
      </c>
      <c r="D79" s="527" t="s">
        <v>1721</v>
      </c>
      <c r="E79" s="527" t="s">
        <v>1722</v>
      </c>
      <c r="F79" s="527" t="s">
        <v>1723</v>
      </c>
      <c r="G79" s="527" t="s">
        <v>1724</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1726</v>
      </c>
      <c r="C81" s="527" t="s">
        <v>1720</v>
      </c>
      <c r="D81" s="527" t="s">
        <v>1721</v>
      </c>
      <c r="E81" s="527" t="s">
        <v>1722</v>
      </c>
      <c r="F81" s="527" t="s">
        <v>1723</v>
      </c>
      <c r="G81" s="527" t="s">
        <v>1724</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1812</v>
      </c>
      <c r="C83" s="608" t="s">
        <v>1798</v>
      </c>
      <c r="D83" s="608" t="s">
        <v>1799</v>
      </c>
      <c r="E83" s="608" t="s">
        <v>1800</v>
      </c>
      <c r="F83" s="608" t="s">
        <v>1801</v>
      </c>
      <c r="G83" s="608" t="s">
        <v>1802</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1821</v>
      </c>
      <c r="C85" s="527" t="s">
        <v>1720</v>
      </c>
      <c r="D85" s="527" t="s">
        <v>1721</v>
      </c>
      <c r="E85" s="527" t="s">
        <v>1722</v>
      </c>
      <c r="F85" s="527" t="s">
        <v>1723</v>
      </c>
      <c r="G85" s="527" t="s">
        <v>1724</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1822</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t="str">
        <f>B29</f>
        <v>楼层</v>
      </c>
      <c r="C93" s="3452" t="s">
        <v>3424</v>
      </c>
      <c r="D93" s="3452" t="s">
        <v>3425</v>
      </c>
      <c r="E93" s="3452" t="s">
        <v>3426</v>
      </c>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v>100</v>
      </c>
      <c r="D94" s="485">
        <f>C94-2</f>
        <v>98</v>
      </c>
      <c r="E94" s="485">
        <f>D94-2</f>
        <v>96</v>
      </c>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1693</v>
      </c>
      <c r="B101" s="477" t="s">
        <v>1735</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29.25" thickTop="1">
      <c r="A103" s="483"/>
      <c r="B103" s="487" t="s">
        <v>1736</v>
      </c>
      <c r="C103" s="527" t="str">
        <f>C104&amp;"(含)"&amp;"-"&amp;D104</f>
        <v>0(含)-300</v>
      </c>
      <c r="D103" s="527" t="str">
        <f t="shared" ref="D103:L103" si="23">D104&amp;"(含)"&amp;"-"&amp;E104</f>
        <v>300(含)-500</v>
      </c>
      <c r="E103" s="527" t="str">
        <f t="shared" si="23"/>
        <v>500(含)-1000</v>
      </c>
      <c r="F103" s="527" t="str">
        <f t="shared" si="23"/>
        <v>1000(含)-3000</v>
      </c>
      <c r="G103" s="527" t="str">
        <f t="shared" si="23"/>
        <v>3000(含)-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300</v>
      </c>
      <c r="E104" s="544">
        <v>500</v>
      </c>
      <c r="F104" s="544">
        <v>1000</v>
      </c>
      <c r="G104" s="544">
        <v>3000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f>D105-2</f>
        <v>98</v>
      </c>
      <c r="D105" s="485">
        <v>100</v>
      </c>
      <c r="E105" s="485">
        <f>D105-2</f>
        <v>98</v>
      </c>
      <c r="F105" s="485">
        <f>E105-2</f>
        <v>96</v>
      </c>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1737</v>
      </c>
      <c r="C106" s="3452" t="s">
        <v>3427</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1739</v>
      </c>
      <c r="C108" s="3452" t="s">
        <v>3429</v>
      </c>
      <c r="D108" s="3452" t="s">
        <v>3430</v>
      </c>
      <c r="E108" s="3452" t="s">
        <v>3432</v>
      </c>
      <c r="F108" s="3453" t="s">
        <v>3433</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1823</v>
      </c>
      <c r="C113" s="3452" t="s">
        <v>3434</v>
      </c>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1740</v>
      </c>
      <c r="C115" s="3452" t="s">
        <v>3436</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1824</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1807</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1743</v>
      </c>
      <c r="C123" s="503" t="str">
        <f>C108</f>
        <v>精装修</v>
      </c>
      <c r="D123" s="503" t="str">
        <f>D108</f>
        <v>普通装修</v>
      </c>
      <c r="E123" s="503" t="str">
        <f>E108</f>
        <v>简单装修</v>
      </c>
      <c r="F123" s="503" t="str">
        <f>F108</f>
        <v>毛坯</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41.03</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1403</v>
      </c>
      <c r="C2" s="1387" t="s">
        <v>805</v>
      </c>
      <c r="D2" s="1387"/>
      <c r="E2" s="1388"/>
      <c r="F2" s="1389"/>
      <c r="G2" s="2700"/>
      <c r="H2" s="2689"/>
      <c r="I2" s="2689"/>
      <c r="J2" s="2689"/>
      <c r="K2" s="2690"/>
      <c r="L2" s="2689"/>
      <c r="M2" s="2689"/>
    </row>
    <row r="3" spans="1:37" ht="18" customHeight="1" thickBot="1">
      <c r="A3" s="1390" t="s">
        <v>806</v>
      </c>
      <c r="B3" s="1391">
        <f ca="1">IF(ISERROR(B2*10000/F43),0,ROUND(B2*10000/F43,0))</f>
        <v>12692</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73</v>
      </c>
      <c r="D5" s="1364" t="s">
        <v>693</v>
      </c>
      <c r="E5" s="1071"/>
      <c r="F5" s="1072"/>
      <c r="G5" s="1384"/>
      <c r="H5" s="299">
        <v>1</v>
      </c>
      <c r="I5" s="300" t="s">
        <v>692</v>
      </c>
      <c r="J5" s="1070">
        <f ca="1">J6+J10+J12</f>
        <v>0</v>
      </c>
      <c r="K5" s="1364" t="s">
        <v>693</v>
      </c>
      <c r="L5" s="1071"/>
      <c r="M5" s="1072"/>
    </row>
    <row r="6" spans="1:37" ht="18" customHeight="1">
      <c r="A6" s="1069" t="s">
        <v>398</v>
      </c>
      <c r="B6" s="3698" t="s">
        <v>694</v>
      </c>
      <c r="C6" s="1074">
        <f ca="1">ROUND(F6*F8*F7*(1-F9)/10000,0)</f>
        <v>73</v>
      </c>
      <c r="D6" s="155" t="s">
        <v>2108</v>
      </c>
      <c r="E6" s="302" t="s">
        <v>696</v>
      </c>
      <c r="F6" s="303">
        <f ca="1">INDIRECT("'数据-取费表'!u"&amp;$G$1)</f>
        <v>2</v>
      </c>
      <c r="G6" s="1384"/>
      <c r="H6" s="1069" t="s">
        <v>398</v>
      </c>
      <c r="I6" s="3698" t="s">
        <v>694</v>
      </c>
      <c r="J6" s="301">
        <f ca="1">ROUND(M6*M8*M7*(1-M9)/10000,0)</f>
        <v>0</v>
      </c>
      <c r="K6" s="155" t="s">
        <v>2107</v>
      </c>
      <c r="L6" s="302" t="s">
        <v>696</v>
      </c>
      <c r="M6" s="303">
        <f ca="1">INDIRECT("'数据-取费表'!z"&amp;$G$1)</f>
        <v>0</v>
      </c>
    </row>
    <row r="7" spans="1:37" ht="18" customHeight="1">
      <c r="A7" s="1073"/>
      <c r="B7" s="3699"/>
      <c r="C7" s="1075"/>
      <c r="D7" s="307"/>
      <c r="E7" s="1076" t="s">
        <v>697</v>
      </c>
      <c r="F7" s="303">
        <f ca="1">IF(INDIRECT("'数据-取费表'!ah"&amp;$G$1)="",INDIRECT("'数据-取费表'!k"&amp;$G$1),INDIRECT("'数据-取费表'!ah"&amp;$G$1))</f>
        <v>1105.3800000000001</v>
      </c>
      <c r="G7" s="1384"/>
      <c r="H7" s="304"/>
      <c r="I7" s="3699"/>
      <c r="J7" s="306"/>
      <c r="K7" s="307"/>
      <c r="L7" s="302" t="s">
        <v>697</v>
      </c>
      <c r="M7" s="303">
        <f ca="1">F7</f>
        <v>1105.3800000000001</v>
      </c>
    </row>
    <row r="8" spans="1:37" ht="18" customHeight="1">
      <c r="A8" s="304"/>
      <c r="B8" s="3699"/>
      <c r="C8" s="306"/>
      <c r="D8" s="307"/>
      <c r="E8" s="302" t="s">
        <v>698</v>
      </c>
      <c r="F8" s="303">
        <f ca="1">INDIRECT("'数据-取费表'!ai"&amp;$G$1)</f>
        <v>365</v>
      </c>
      <c r="G8" s="1384"/>
      <c r="H8" s="304"/>
      <c r="I8" s="3699"/>
      <c r="J8" s="306"/>
      <c r="K8" s="307"/>
      <c r="L8" s="302" t="s">
        <v>698</v>
      </c>
      <c r="M8" s="303">
        <f ca="1">INDIRECT("'数据-取费表'!ai"&amp;$G$1)</f>
        <v>365</v>
      </c>
    </row>
    <row r="9" spans="1:37" ht="18" customHeight="1">
      <c r="A9" s="304"/>
      <c r="B9" s="3700"/>
      <c r="C9" s="306"/>
      <c r="D9" s="307"/>
      <c r="E9" s="302" t="s">
        <v>699</v>
      </c>
      <c r="F9" s="312">
        <f ca="1">INDIRECT("'数据-取费表'!w"&amp;$G$1)</f>
        <v>0.1</v>
      </c>
      <c r="G9" s="1384"/>
      <c r="H9" s="304"/>
      <c r="I9" s="370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3407</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460</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332</v>
      </c>
      <c r="D14" s="1345" t="s">
        <v>708</v>
      </c>
      <c r="E14" s="1342"/>
      <c r="F14" s="319"/>
      <c r="G14" s="1384"/>
      <c r="H14" s="982" t="s">
        <v>398</v>
      </c>
      <c r="I14" s="302" t="s">
        <v>709</v>
      </c>
      <c r="J14" s="21">
        <f ca="1">C29</f>
        <v>484</v>
      </c>
      <c r="K14" s="12"/>
      <c r="L14" s="807"/>
      <c r="M14" s="808"/>
    </row>
    <row r="15" spans="1:37" s="1397" customFormat="1" ht="18" customHeight="1" thickBot="1">
      <c r="A15" s="982" t="s">
        <v>399</v>
      </c>
      <c r="B15" s="302" t="s">
        <v>710</v>
      </c>
      <c r="C15" s="21">
        <f ca="1">ROUND(C14*F15,0)</f>
        <v>10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v>
      </c>
      <c r="K16" s="1087" t="s">
        <v>715</v>
      </c>
      <c r="L16" s="1088"/>
      <c r="M16" s="1072"/>
    </row>
    <row r="17" spans="1:37" s="1397" customFormat="1" ht="18" customHeight="1">
      <c r="A17" s="982" t="s">
        <v>681</v>
      </c>
      <c r="B17" s="302" t="s">
        <v>716</v>
      </c>
      <c r="C17" s="21">
        <f ca="1">ROUND(F17*(F43+INDIRECT("'数据-取费表'!S"&amp;$G$1))/10000,0)</f>
        <v>22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369</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7</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3.87</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v>
      </c>
      <c r="K25" s="1095" t="s">
        <v>753</v>
      </c>
      <c r="L25" s="1096"/>
      <c r="M25" s="1097"/>
    </row>
    <row r="26" spans="1:37">
      <c r="A26" s="982" t="s">
        <v>397</v>
      </c>
      <c r="B26" s="302" t="s">
        <v>754</v>
      </c>
      <c r="C26" s="21">
        <f ca="1">ROUND((C19+C20)*F26,0)</f>
        <v>56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484</v>
      </c>
      <c r="D29" s="1092"/>
      <c r="E29" s="1090"/>
      <c r="F29" s="1093"/>
      <c r="G29" s="1396"/>
      <c r="H29" s="334" t="s">
        <v>396</v>
      </c>
      <c r="I29" s="335" t="s">
        <v>768</v>
      </c>
      <c r="J29" s="336">
        <f ca="1">ROUND(J26/(1+F40)^F41,0)</f>
        <v>0</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v>
      </c>
      <c r="D30" s="1087" t="s">
        <v>715</v>
      </c>
      <c r="E30" s="1088"/>
      <c r="F30" s="1072"/>
      <c r="G30" s="1384"/>
      <c r="H30" s="2691"/>
      <c r="I30" s="1398"/>
      <c r="J30" s="1399"/>
      <c r="K30" s="2470"/>
      <c r="L30" s="2692"/>
      <c r="M30" s="2693"/>
    </row>
    <row r="31" spans="1:37" ht="18" customHeight="1">
      <c r="A31" s="982" t="s">
        <v>398</v>
      </c>
      <c r="B31" s="302" t="s">
        <v>719</v>
      </c>
      <c r="C31" s="2316">
        <f ca="1">ROUND(IF(AND(项目基本情况!B11="自然人",项目基本情况!B10="北京市"),C6*F31/(1+'数据-取费表'!C42),C32+C33+C34),2)</f>
        <v>12.23</v>
      </c>
      <c r="D31" s="1345" t="s">
        <v>720</v>
      </c>
      <c r="E31" s="1344" t="s">
        <v>770</v>
      </c>
      <c r="F31" s="2315" t="str">
        <f>IF(项目基本情况!B11="企业","——",IF(M47="住宅",IF(F6*F7*F8/12/(1+'数据-取费表'!F30)&gt;100000,4%,2.5%),IF(F6*F7*F8/12/(1+'数据-取费表'!F30)&gt;100000,12%,7%)))</f>
        <v>——</v>
      </c>
      <c r="G31" s="1384"/>
      <c r="H31" s="2802" t="s">
        <v>2302</v>
      </c>
      <c r="I31" s="1398"/>
      <c r="J31" s="1399"/>
      <c r="K31" s="2470"/>
      <c r="L31" s="2692"/>
      <c r="M31" s="2693"/>
    </row>
    <row r="32" spans="1:37" ht="18" customHeight="1">
      <c r="A32" s="982" t="s">
        <v>397</v>
      </c>
      <c r="B32" s="302" t="s">
        <v>723</v>
      </c>
      <c r="C32" s="21">
        <f ca="1">IF(项目基本情况!B11="自然人","——",ROUND(C6*F32/(1+'数据-取费表'!C42),2))</f>
        <v>3.89</v>
      </c>
      <c r="D32" s="1344" t="s">
        <v>724</v>
      </c>
      <c r="E32" s="302" t="s">
        <v>712</v>
      </c>
      <c r="F32" s="331">
        <f>'数据-取费表'!B41</f>
        <v>5.6000000000000001E-2</v>
      </c>
      <c r="G32" s="1384"/>
      <c r="H32" s="2691"/>
      <c r="I32" s="1398"/>
      <c r="J32" s="1399"/>
      <c r="K32" s="2470"/>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8.34</v>
      </c>
      <c r="D33" s="1370" t="s">
        <v>3335</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3.87</v>
      </c>
      <c r="D36" s="1344" t="s">
        <v>771</v>
      </c>
      <c r="E36" s="302" t="s">
        <v>712</v>
      </c>
      <c r="F36" s="328">
        <f ca="1">INDIRECT("'数据-取费表'!Ak"&amp;$G$1)</f>
        <v>8.0000000000000002E-3</v>
      </c>
      <c r="G36" s="1384"/>
      <c r="H36" s="2694"/>
      <c r="I36" s="1398"/>
      <c r="J36" s="1399"/>
      <c r="K36" s="2539"/>
      <c r="L36" s="2694"/>
      <c r="M36" s="2694"/>
    </row>
    <row r="37" spans="1:18" ht="18" customHeight="1">
      <c r="A37" s="982" t="s">
        <v>437</v>
      </c>
      <c r="B37" s="302" t="s">
        <v>742</v>
      </c>
      <c r="C37" s="21">
        <f ca="1">ROUND(C13*F37,2)</f>
        <v>0.46</v>
      </c>
      <c r="D37" s="1344" t="s">
        <v>743</v>
      </c>
      <c r="E37" s="302" t="s">
        <v>744</v>
      </c>
      <c r="F37" s="330">
        <f ca="1">INDIRECT("'数据-取费表'!Al"&amp;$G$1)</f>
        <v>1E-3</v>
      </c>
      <c r="G37" s="1384"/>
      <c r="H37" s="2694"/>
      <c r="I37" s="1398"/>
      <c r="J37" s="1399"/>
      <c r="K37" s="2539"/>
      <c r="L37" s="2694"/>
      <c r="M37" s="2694"/>
    </row>
    <row r="38" spans="1:18" ht="18" customHeight="1" thickBot="1">
      <c r="A38" s="1089" t="s">
        <v>684</v>
      </c>
      <c r="B38" s="1090" t="s">
        <v>728</v>
      </c>
      <c r="C38" s="1091">
        <f ca="1">ROUND(C5*F38,2)</f>
        <v>0.73</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56</v>
      </c>
      <c r="D39" s="1095" t="s">
        <v>773</v>
      </c>
      <c r="E39" s="1096"/>
      <c r="F39" s="1097"/>
      <c r="G39" s="1384"/>
      <c r="H39" s="2694"/>
      <c r="I39" s="1398"/>
      <c r="J39" s="1399"/>
      <c r="K39" s="2698"/>
      <c r="L39" s="2694"/>
      <c r="M39" s="2694"/>
    </row>
    <row r="40" spans="1:18" ht="18" customHeight="1">
      <c r="A40" s="299" t="s">
        <v>395</v>
      </c>
      <c r="B40" s="300" t="s">
        <v>774</v>
      </c>
      <c r="C40" s="301">
        <f ca="1">ROUND(C39*(1-((1+F42)/(1+F40))^F41)/(F40-F42),0)</f>
        <v>1403</v>
      </c>
      <c r="D40" s="324" t="s">
        <v>758</v>
      </c>
      <c r="E40" s="302" t="s">
        <v>759</v>
      </c>
      <c r="F40" s="312">
        <f ca="1">INDIRECT("'数据-取费表'!I"&amp;$G$1)</f>
        <v>5.5E-2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41.03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ROUND(C40*10000/F43,0)</f>
        <v>12692</v>
      </c>
      <c r="D43" s="337" t="s">
        <v>777</v>
      </c>
      <c r="E43" s="338" t="s">
        <v>778</v>
      </c>
      <c r="F43" s="339">
        <f ca="1">INDIRECT("'数据-取费表'!k"&amp;$G$1)</f>
        <v>1105.3800000000001</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f ca="1">C68-C40</f>
        <v>-1468</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3408</v>
      </c>
      <c r="K47" s="1416" t="s">
        <v>816</v>
      </c>
      <c r="L47" s="1417">
        <f ca="1">INDIRECT("'数据-取费表'!d"&amp;$G$1)</f>
        <v>50</v>
      </c>
      <c r="M47" s="1380" t="str">
        <f>IF(ISNUMBER(FIND("住宅",C1)),"住宅","非住宅")</f>
        <v>非住宅</v>
      </c>
      <c r="O47" s="1418" t="s">
        <v>403</v>
      </c>
      <c r="P47" s="1419" t="s">
        <v>817</v>
      </c>
      <c r="Q47" s="1420">
        <f ca="1">C40+J29</f>
        <v>1403</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41.03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2020</v>
      </c>
      <c r="K49" s="1423" t="s">
        <v>824</v>
      </c>
      <c r="L49" s="1427"/>
      <c r="O49" s="1428" t="s">
        <v>405</v>
      </c>
      <c r="P49" s="1419" t="s">
        <v>825</v>
      </c>
      <c r="Q49" s="1420">
        <f ca="1">C29</f>
        <v>484</v>
      </c>
      <c r="R49" s="1420" t="s">
        <v>818</v>
      </c>
    </row>
    <row r="50" spans="1:18" s="1384" customFormat="1" ht="13.5" thickBot="1">
      <c r="A50" s="976"/>
      <c r="B50" s="979"/>
      <c r="C50" s="1118"/>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486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41.03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41.03</v>
      </c>
      <c r="K53" s="3696" t="s">
        <v>837</v>
      </c>
      <c r="L53" s="3697"/>
      <c r="O53" s="1418" t="s">
        <v>409</v>
      </c>
      <c r="P53" s="1419" t="s">
        <v>838</v>
      </c>
      <c r="Q53" s="1420">
        <f ca="1">Q47+Q48</f>
        <v>1403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460</v>
      </c>
      <c r="D56" s="1447"/>
      <c r="E56" s="1448"/>
      <c r="F56" s="1440"/>
      <c r="I56" s="1449" t="s">
        <v>842</v>
      </c>
      <c r="J56" s="1450" t="s">
        <v>3390</v>
      </c>
      <c r="K56" s="1421" t="s">
        <v>843</v>
      </c>
      <c r="L56" s="1424" t="str">
        <f ca="1">IF(L48&lt;J51,"——",L48-J53)</f>
        <v>——</v>
      </c>
      <c r="O56" s="1418" t="s">
        <v>403</v>
      </c>
      <c r="P56" s="1419" t="s">
        <v>817</v>
      </c>
      <c r="Q56" s="1420">
        <f ca="1">C40+J29</f>
        <v>1403</v>
      </c>
      <c r="R56" s="1420" t="s">
        <v>818</v>
      </c>
    </row>
    <row r="57" spans="1:18" s="1384" customFormat="1" ht="24.75" thickBot="1">
      <c r="A57" s="1451"/>
      <c r="B57" s="950" t="s">
        <v>767</v>
      </c>
      <c r="C57" s="238">
        <f ca="1">C29</f>
        <v>484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1403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3.87</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0.46</v>
      </c>
      <c r="D65" s="964" t="s">
        <v>743</v>
      </c>
      <c r="E65" s="950" t="s">
        <v>744</v>
      </c>
      <c r="F65" s="330">
        <f t="shared" ca="1" si="0"/>
        <v>1E-3</v>
      </c>
      <c r="I65" s="1462" t="s">
        <v>867</v>
      </c>
      <c r="J65" s="1463">
        <v>40</v>
      </c>
      <c r="K65" s="1463">
        <v>30</v>
      </c>
      <c r="L65" s="1463">
        <v>50</v>
      </c>
      <c r="M65" s="1465">
        <v>0.02</v>
      </c>
      <c r="O65" s="1418" t="s">
        <v>403</v>
      </c>
      <c r="P65" s="1419" t="s">
        <v>868</v>
      </c>
      <c r="Q65" s="1420">
        <f ca="1">C40+J29</f>
        <v>1403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486</v>
      </c>
      <c r="R67" s="1420" t="s">
        <v>870</v>
      </c>
    </row>
    <row r="68" spans="1:18" s="1384" customFormat="1" ht="16.5" thickBot="1">
      <c r="A68" s="947" t="s">
        <v>395</v>
      </c>
      <c r="B68" s="948" t="s">
        <v>774</v>
      </c>
      <c r="C68" s="301">
        <f ca="1">ROUND(C67*(1-((1+F70)/(1+F68))^F69)/(F68-F70),0)</f>
        <v>-65</v>
      </c>
      <c r="D68" s="965" t="s">
        <v>758</v>
      </c>
      <c r="E68" s="950" t="s">
        <v>759</v>
      </c>
      <c r="F68" s="312">
        <f ca="1">F40</f>
        <v>5.5E-2</v>
      </c>
      <c r="O68" s="1428" t="s">
        <v>406</v>
      </c>
      <c r="P68" s="1467" t="s">
        <v>871</v>
      </c>
      <c r="Q68" s="1420">
        <f ca="1">ROUND(Q69-Q70*Q71,0)</f>
        <v>24</v>
      </c>
      <c r="R68" s="1420" t="s">
        <v>414</v>
      </c>
    </row>
    <row r="69" spans="1:18" s="1384" customFormat="1" ht="13.5" thickBot="1">
      <c r="A69" s="951"/>
      <c r="B69" s="952"/>
      <c r="C69" s="306"/>
      <c r="D69" s="970" t="s">
        <v>762</v>
      </c>
      <c r="E69" s="950" t="s">
        <v>763</v>
      </c>
      <c r="F69" s="333">
        <f ca="1">F41</f>
        <v>41.03</v>
      </c>
      <c r="O69" s="1428" t="s">
        <v>411</v>
      </c>
      <c r="P69" s="1467" t="s">
        <v>872</v>
      </c>
      <c r="Q69" s="1420">
        <f ca="1">C39</f>
        <v>56</v>
      </c>
      <c r="R69" s="1420" t="s">
        <v>818</v>
      </c>
    </row>
    <row r="70" spans="1:18" s="1384" customFormat="1" ht="13.5" thickBot="1">
      <c r="A70" s="954"/>
      <c r="B70" s="955"/>
      <c r="C70" s="310"/>
      <c r="D70" s="966"/>
      <c r="E70" s="950" t="s">
        <v>766</v>
      </c>
      <c r="F70" s="1054"/>
      <c r="O70" s="1428" t="s">
        <v>412</v>
      </c>
      <c r="P70" s="1467" t="s">
        <v>873</v>
      </c>
      <c r="Q70" s="1420">
        <f ca="1">C13</f>
        <v>460</v>
      </c>
      <c r="R70" s="1420" t="s">
        <v>818</v>
      </c>
    </row>
    <row r="71" spans="1:18" s="1384" customFormat="1" ht="13.5" thickBot="1">
      <c r="A71" s="971" t="s">
        <v>396</v>
      </c>
      <c r="B71" s="972" t="s">
        <v>776</v>
      </c>
      <c r="C71" s="336">
        <f ca="1">ROUND(C68*10000/F71,0)</f>
        <v>-588</v>
      </c>
      <c r="D71" s="973" t="s">
        <v>777</v>
      </c>
      <c r="E71" s="974" t="s">
        <v>778</v>
      </c>
      <c r="F71" s="339">
        <f ca="1">F43</f>
        <v>1105.3800000000001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v>
      </c>
      <c r="D75" s="1384"/>
      <c r="E75" s="1384"/>
      <c r="F75" s="1384"/>
      <c r="K75" s="1402"/>
      <c r="L75" s="1384"/>
      <c r="O75" s="1418" t="s">
        <v>409</v>
      </c>
      <c r="P75" s="1419" t="s">
        <v>838</v>
      </c>
      <c r="Q75" s="1420">
        <f ca="1">Q65+Q66</f>
        <v>1403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0.42900000000000005</v>
      </c>
    </row>
    <row r="80" spans="1:18">
      <c r="B80" s="340" t="s">
        <v>800</v>
      </c>
      <c r="C80" s="274">
        <f ca="1">ROUND(C75/C39,3)</f>
        <v>0.57099999999999995</v>
      </c>
    </row>
    <row r="81" spans="2:3">
      <c r="B81" s="270" t="s">
        <v>801</v>
      </c>
      <c r="C81" s="238"/>
    </row>
    <row r="82" spans="2:3">
      <c r="B82" s="273" t="s">
        <v>802</v>
      </c>
      <c r="C82" s="275">
        <f ca="1">1-C83</f>
        <v>0.67199999999999993</v>
      </c>
    </row>
    <row r="83" spans="2:3">
      <c r="B83" s="273" t="s">
        <v>803</v>
      </c>
      <c r="C83" s="274">
        <f ca="1">ROUND(C13/C40,3)</f>
        <v>0.32800000000000001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H41" sqref="H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41.03</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1389.3498999999999</v>
      </c>
      <c r="C2" s="1387" t="s">
        <v>879</v>
      </c>
      <c r="D2" s="1471">
        <f ca="1">C40+J29+L46</f>
        <v>13893499</v>
      </c>
      <c r="E2" s="1388" t="s">
        <v>880</v>
      </c>
      <c r="F2" s="1389"/>
      <c r="G2" s="2700"/>
      <c r="H2" s="2689"/>
      <c r="I2" s="2689"/>
      <c r="J2" s="2689"/>
      <c r="K2" s="2690"/>
      <c r="L2" s="2689"/>
      <c r="M2" s="2689"/>
    </row>
    <row r="3" spans="1:37" ht="18" customHeight="1" thickBot="1">
      <c r="A3" s="1390" t="s">
        <v>881</v>
      </c>
      <c r="B3" s="1391">
        <f ca="1">IF(ISERROR(D2/F43),0,ROUND(D2/F43,0))</f>
        <v>12569</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727143</v>
      </c>
      <c r="D5" s="1364" t="s">
        <v>889</v>
      </c>
      <c r="E5" s="1071"/>
      <c r="F5" s="1072"/>
      <c r="G5" s="1384"/>
      <c r="H5" s="299">
        <v>1</v>
      </c>
      <c r="I5" s="300" t="s">
        <v>888</v>
      </c>
      <c r="J5" s="1070">
        <f ca="1">J6+J10+J12</f>
        <v>0</v>
      </c>
      <c r="K5" s="1364" t="s">
        <v>889</v>
      </c>
      <c r="L5" s="1071"/>
      <c r="M5" s="1072"/>
    </row>
    <row r="6" spans="1:37" ht="18" customHeight="1">
      <c r="A6" s="1069" t="s">
        <v>398</v>
      </c>
      <c r="B6" s="3698" t="s">
        <v>694</v>
      </c>
      <c r="C6" s="1074">
        <f ca="1">ROUND(F6*F8*F7*(1-F9),0)</f>
        <v>726235</v>
      </c>
      <c r="D6" s="155" t="s">
        <v>2105</v>
      </c>
      <c r="E6" s="302" t="s">
        <v>696</v>
      </c>
      <c r="F6" s="303">
        <f ca="1">INDIRECT("'数据-取费表'!u"&amp;$G$1)</f>
        <v>2</v>
      </c>
      <c r="G6" s="1384"/>
      <c r="H6" s="1069" t="s">
        <v>398</v>
      </c>
      <c r="I6" s="3698" t="s">
        <v>694</v>
      </c>
      <c r="J6" s="301">
        <f ca="1">ROUND(M6*M8*M7*(1-M9),0)</f>
        <v>0</v>
      </c>
      <c r="K6" s="1376" t="s">
        <v>2106</v>
      </c>
      <c r="L6" s="302" t="s">
        <v>696</v>
      </c>
      <c r="M6" s="303">
        <f ca="1">INDIRECT("'数据-取费表'!z"&amp;$G$1)</f>
        <v>0</v>
      </c>
    </row>
    <row r="7" spans="1:37" ht="18" customHeight="1">
      <c r="A7" s="1073"/>
      <c r="B7" s="3699"/>
      <c r="C7" s="1075"/>
      <c r="D7" s="307"/>
      <c r="E7" s="1076" t="s">
        <v>697</v>
      </c>
      <c r="F7" s="303">
        <f ca="1">IF(INDIRECT("'数据-取费表'!ah"&amp;$G$1)="",INDIRECT("'数据-取费表'!k"&amp;$G$1),INDIRECT("'数据-取费表'!ah"&amp;$G$1))</f>
        <v>1105.3800000000001</v>
      </c>
      <c r="G7" s="1384"/>
      <c r="H7" s="304"/>
      <c r="I7" s="3699"/>
      <c r="J7" s="306"/>
      <c r="K7" s="307"/>
      <c r="L7" s="302" t="s">
        <v>697</v>
      </c>
      <c r="M7" s="303">
        <f ca="1">F7</f>
        <v>1105.3800000000001</v>
      </c>
    </row>
    <row r="8" spans="1:37" ht="18" customHeight="1">
      <c r="A8" s="304"/>
      <c r="B8" s="3699"/>
      <c r="C8" s="306"/>
      <c r="D8" s="307"/>
      <c r="E8" s="302" t="s">
        <v>698</v>
      </c>
      <c r="F8" s="303">
        <f ca="1">INDIRECT("'数据-取费表'!ai"&amp;$G$1)</f>
        <v>365</v>
      </c>
      <c r="G8" s="1384"/>
      <c r="H8" s="304"/>
      <c r="I8" s="3699"/>
      <c r="J8" s="306"/>
      <c r="K8" s="307"/>
      <c r="L8" s="302" t="s">
        <v>698</v>
      </c>
      <c r="M8" s="303">
        <f ca="1">INDIRECT("'数据-取费表'!ai"&amp;$G$1)</f>
        <v>365</v>
      </c>
    </row>
    <row r="9" spans="1:37" ht="18" customHeight="1">
      <c r="A9" s="304"/>
      <c r="B9" s="3700"/>
      <c r="C9" s="306"/>
      <c r="D9" s="307"/>
      <c r="E9" s="302" t="s">
        <v>699</v>
      </c>
      <c r="F9" s="312">
        <f ca="1">INDIRECT("'数据-取费表'!w"&amp;$G$1)</f>
        <v>0.1</v>
      </c>
      <c r="G9" s="1384"/>
      <c r="H9" s="304"/>
      <c r="I9" s="3700"/>
      <c r="J9" s="306"/>
      <c r="K9" s="307"/>
      <c r="L9" s="313" t="s">
        <v>699</v>
      </c>
      <c r="M9" s="314">
        <f ca="1">INDIRECT("'数据-取费表'!ab"&amp;$G$1)</f>
        <v>0</v>
      </c>
    </row>
    <row r="10" spans="1:37" ht="18" customHeight="1">
      <c r="A10" s="1069" t="s">
        <v>402</v>
      </c>
      <c r="B10" s="1365" t="s">
        <v>700</v>
      </c>
      <c r="C10" s="316">
        <f ca="1">ROUND(IF(F10="押一",C6/12*F11,IF(F10="押二",C6/12*2*F11,IF(F10="押三",C6/12*3*F11,C11*F11))),0)</f>
        <v>908</v>
      </c>
      <c r="D10" s="1366" t="s">
        <v>2115</v>
      </c>
      <c r="E10" s="313" t="s">
        <v>701</v>
      </c>
      <c r="F10" s="1116" t="s">
        <v>3407</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4611802</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3316140</v>
      </c>
      <c r="D14" s="1345" t="s">
        <v>708</v>
      </c>
      <c r="E14" s="1342"/>
      <c r="F14" s="319"/>
      <c r="G14" s="1384"/>
      <c r="H14" s="982" t="s">
        <v>398</v>
      </c>
      <c r="I14" s="302" t="s">
        <v>709</v>
      </c>
      <c r="J14" s="21">
        <f ca="1">C29</f>
        <v>4854528</v>
      </c>
      <c r="K14" s="12"/>
      <c r="L14" s="807"/>
      <c r="M14" s="808"/>
    </row>
    <row r="15" spans="1:37" s="1397" customFormat="1" ht="18" customHeight="1" thickBot="1">
      <c r="A15" s="982" t="s">
        <v>399</v>
      </c>
      <c r="B15" s="302" t="s">
        <v>710</v>
      </c>
      <c r="C15" s="21">
        <f ca="1">ROUND(C14*F15,0)</f>
        <v>99484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38836</v>
      </c>
      <c r="K16" s="1087" t="s">
        <v>715</v>
      </c>
      <c r="L16" s="1088"/>
      <c r="M16" s="1072"/>
    </row>
    <row r="17" spans="1:37" s="1397" customFormat="1" ht="18" customHeight="1">
      <c r="A17" s="982" t="s">
        <v>681</v>
      </c>
      <c r="B17" s="302" t="s">
        <v>716</v>
      </c>
      <c r="C17" s="21">
        <f ca="1">ROUND(F17*(F43+INDIRECT("'数据-取费表'!S"&amp;$G$1)),0)</f>
        <v>221076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49742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3686442</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73729</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38836</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156047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-38836</v>
      </c>
      <c r="K25" s="1095" t="s">
        <v>753</v>
      </c>
      <c r="L25" s="1096"/>
      <c r="M25" s="1097"/>
    </row>
    <row r="26" spans="1:37" ht="18" customHeight="1">
      <c r="A26" s="982" t="s">
        <v>397</v>
      </c>
      <c r="B26" s="302" t="s">
        <v>754</v>
      </c>
      <c r="C26" s="21">
        <f ca="1">ROUND((C19+C20)*F26,0)</f>
        <v>564026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4854528</v>
      </c>
      <c r="D29" s="1092"/>
      <c r="E29" s="1090"/>
      <c r="F29" s="1093"/>
      <c r="G29" s="1396"/>
      <c r="H29" s="334" t="s">
        <v>396</v>
      </c>
      <c r="I29" s="335" t="s">
        <v>768</v>
      </c>
      <c r="J29" s="336">
        <f ca="1">ROUND(J26/(1+F40)^F41,0)</f>
        <v>0</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172450</v>
      </c>
      <c r="D30" s="1087" t="s">
        <v>715</v>
      </c>
      <c r="E30" s="1088"/>
      <c r="F30" s="1072"/>
      <c r="G30" s="1384"/>
      <c r="H30" s="2691"/>
      <c r="I30" s="1398"/>
      <c r="J30" s="1399"/>
      <c r="K30" s="2470"/>
      <c r="L30" s="2692"/>
      <c r="M30" s="2693"/>
    </row>
    <row r="31" spans="1:37" ht="18" customHeight="1">
      <c r="A31" s="982" t="s">
        <v>398</v>
      </c>
      <c r="B31" s="302" t="s">
        <v>719</v>
      </c>
      <c r="C31" s="2316">
        <f ca="1">ROUND(IF(AND(项目基本情况!B11="自然人",项目基本情况!B10="北京市"),C6*F31/(1+'数据-取费表'!C42),C32+C33+C34),0)</f>
        <v>121731</v>
      </c>
      <c r="D31" s="1345" t="s">
        <v>720</v>
      </c>
      <c r="E31" s="1344" t="s">
        <v>770</v>
      </c>
      <c r="F31" s="2315" t="str">
        <f>IF(项目基本情况!B11="企业","——",IF(M47="住宅",IF(F6*F7*F8/12/(1+'数据-取费表'!F30)&gt;100000,4%,2.5%),IF(F6*F7*F8/12/(1+'数据-取费表'!F30)&gt;100000,12%,7%)))</f>
        <v>——</v>
      </c>
      <c r="G31" s="1384"/>
      <c r="H31" s="2802" t="s">
        <v>2302</v>
      </c>
      <c r="I31" s="1398"/>
      <c r="J31" s="1399"/>
      <c r="K31" s="2470"/>
      <c r="L31" s="2692"/>
      <c r="M31" s="2693"/>
    </row>
    <row r="32" spans="1:37" ht="18" customHeight="1">
      <c r="A32" s="982" t="s">
        <v>397</v>
      </c>
      <c r="B32" s="302" t="s">
        <v>723</v>
      </c>
      <c r="C32" s="21">
        <f ca="1">IF(项目基本情况!B11="自然人","——",ROUND(C6*F32/(1+'数据-取费表'!C42),0))</f>
        <v>38733</v>
      </c>
      <c r="D32" s="1344" t="s">
        <v>724</v>
      </c>
      <c r="E32" s="302" t="s">
        <v>712</v>
      </c>
      <c r="F32" s="331">
        <f>'数据-取费表'!B41</f>
        <v>5.6000000000000001E-2</v>
      </c>
      <c r="G32" s="1384"/>
      <c r="H32" s="2691"/>
      <c r="I32" s="1398"/>
      <c r="J32" s="1399"/>
      <c r="K32" s="2470"/>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82998</v>
      </c>
      <c r="D33" s="1370" t="s">
        <v>3335</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38836</v>
      </c>
      <c r="D36" s="1344" t="s">
        <v>771</v>
      </c>
      <c r="E36" s="302" t="s">
        <v>712</v>
      </c>
      <c r="F36" s="328">
        <f ca="1">INDIRECT("'数据-取费表'!Ak"&amp;$G$1)</f>
        <v>8.0000000000000002E-3</v>
      </c>
      <c r="G36" s="1384"/>
      <c r="H36" s="2694"/>
      <c r="I36" s="1398"/>
      <c r="J36" s="1399"/>
      <c r="K36" s="2539"/>
      <c r="L36" s="2694"/>
      <c r="M36" s="2694"/>
    </row>
    <row r="37" spans="1:18" ht="18" customHeight="1">
      <c r="A37" s="982" t="s">
        <v>437</v>
      </c>
      <c r="B37" s="302" t="s">
        <v>742</v>
      </c>
      <c r="C37" s="21">
        <f ca="1">ROUND(C13*F37,0)</f>
        <v>4612</v>
      </c>
      <c r="D37" s="1344" t="s">
        <v>743</v>
      </c>
      <c r="E37" s="302" t="s">
        <v>744</v>
      </c>
      <c r="F37" s="330">
        <f ca="1">INDIRECT("'数据-取费表'!Al"&amp;$G$1)</f>
        <v>1E-3</v>
      </c>
      <c r="G37" s="1384"/>
      <c r="H37" s="2694"/>
      <c r="I37" s="1398"/>
      <c r="J37" s="1399"/>
      <c r="K37" s="2539"/>
      <c r="L37" s="2694"/>
      <c r="M37" s="2694"/>
    </row>
    <row r="38" spans="1:18" ht="18" customHeight="1" thickBot="1">
      <c r="A38" s="1089" t="s">
        <v>684</v>
      </c>
      <c r="B38" s="1090" t="s">
        <v>728</v>
      </c>
      <c r="C38" s="1091">
        <f ca="1">ROUND(C5*F38,0)</f>
        <v>7271</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554693</v>
      </c>
      <c r="D39" s="1095" t="s">
        <v>773</v>
      </c>
      <c r="E39" s="1096"/>
      <c r="F39" s="1097"/>
      <c r="G39" s="1384"/>
      <c r="H39" s="2694"/>
      <c r="I39" s="1398"/>
      <c r="J39" s="1399"/>
      <c r="K39" s="2698"/>
      <c r="L39" s="2694"/>
      <c r="M39" s="2694"/>
    </row>
    <row r="40" spans="1:18" ht="18" customHeight="1">
      <c r="A40" s="299" t="s">
        <v>395</v>
      </c>
      <c r="B40" s="300" t="s">
        <v>774</v>
      </c>
      <c r="C40" s="301">
        <f ca="1">ROUND(C39*(1-((1+F42)/(1+F40))^F41)/(F40-F42),0)</f>
        <v>13893499</v>
      </c>
      <c r="D40" s="324" t="s">
        <v>758</v>
      </c>
      <c r="E40" s="302" t="s">
        <v>759</v>
      </c>
      <c r="F40" s="312">
        <f ca="1">INDIRECT("'数据-取费表'!I"&amp;$G$1)</f>
        <v>5.5E-2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41.03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ROUND(C40/F43,0)</f>
        <v>12569</v>
      </c>
      <c r="D43" s="337" t="s">
        <v>777</v>
      </c>
      <c r="E43" s="338" t="s">
        <v>778</v>
      </c>
      <c r="F43" s="339">
        <f ca="1">INDIRECT("'数据-取费表'!k"&amp;$G$1)</f>
        <v>1105.3800000000001</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5" t="s">
        <v>3351</v>
      </c>
      <c r="B45" s="1400"/>
      <c r="C45" s="1472">
        <f ca="1">ROUND((C68-C40)/10000,4)</f>
        <v>-1459.5650000000001</v>
      </c>
      <c r="D45" s="3426" t="s">
        <v>3352</v>
      </c>
      <c r="E45" s="1400"/>
      <c r="F45" s="1400"/>
      <c r="O45" s="1403" t="s">
        <v>808</v>
      </c>
      <c r="P45" s="1461"/>
      <c r="Q45" s="1461"/>
      <c r="R45" s="1461"/>
    </row>
    <row r="46" spans="1:18" s="1384" customFormat="1" ht="13.5" thickBot="1">
      <c r="A46" s="1404" t="s">
        <v>809</v>
      </c>
      <c r="C46" s="1405">
        <f ca="1">ROUND(C45,0)</f>
        <v>-1460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3408</v>
      </c>
      <c r="K47" s="1416" t="s">
        <v>816</v>
      </c>
      <c r="L47" s="1417">
        <f ca="1">INDIRECT("'数据-取费表'!d"&amp;$G$1)</f>
        <v>50</v>
      </c>
      <c r="M47" s="1380" t="str">
        <f>IF(ISNUMBER(FIND("住宅",C1)),"住宅","非住宅")</f>
        <v>非住宅</v>
      </c>
      <c r="O47" s="1418" t="s">
        <v>403</v>
      </c>
      <c r="P47" s="1419" t="s">
        <v>817</v>
      </c>
      <c r="Q47" s="1420">
        <f ca="1">C40+J29</f>
        <v>13893499</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41.03</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2020</v>
      </c>
      <c r="K49" s="1423" t="s">
        <v>824</v>
      </c>
      <c r="L49" s="1427"/>
      <c r="O49" s="1428" t="s">
        <v>405</v>
      </c>
      <c r="P49" s="1419" t="s">
        <v>825</v>
      </c>
      <c r="Q49" s="1420">
        <f ca="1">C29</f>
        <v>4854528</v>
      </c>
      <c r="R49" s="1420" t="s">
        <v>818</v>
      </c>
    </row>
    <row r="50" spans="1:18" s="1384" customFormat="1" ht="13.5" thickBot="1">
      <c r="A50" s="976"/>
      <c r="B50" s="979"/>
      <c r="C50" s="980"/>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4733420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41.03</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41.03</v>
      </c>
      <c r="K53" s="3696" t="s">
        <v>837</v>
      </c>
      <c r="L53" s="3697"/>
      <c r="O53" s="1418" t="s">
        <v>409</v>
      </c>
      <c r="P53" s="1419" t="s">
        <v>838</v>
      </c>
      <c r="Q53" s="1420">
        <f ca="1">Q47+Q48</f>
        <v>13893499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4611802</v>
      </c>
      <c r="D56" s="1447"/>
      <c r="E56" s="1448"/>
      <c r="F56" s="1440"/>
      <c r="I56" s="1449" t="s">
        <v>842</v>
      </c>
      <c r="J56" s="1450" t="s">
        <v>3390</v>
      </c>
      <c r="K56" s="1421" t="s">
        <v>843</v>
      </c>
      <c r="L56" s="1424" t="str">
        <f ca="1">IF(L48&lt;J51,"——",L48-J51)</f>
        <v>——</v>
      </c>
      <c r="O56" s="1418" t="s">
        <v>403</v>
      </c>
      <c r="P56" s="1419" t="s">
        <v>817</v>
      </c>
      <c r="Q56" s="1420">
        <f ca="1">C40+J29</f>
        <v>13893499</v>
      </c>
      <c r="R56" s="1420" t="s">
        <v>818</v>
      </c>
    </row>
    <row r="57" spans="1:18" s="1384" customFormat="1" ht="24.75" thickBot="1">
      <c r="A57" s="1451"/>
      <c r="B57" s="950" t="s">
        <v>767</v>
      </c>
      <c r="C57" s="238">
        <f ca="1">C29</f>
        <v>4854528</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43448</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13893499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38836</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4612</v>
      </c>
      <c r="D65" s="964" t="s">
        <v>743</v>
      </c>
      <c r="E65" s="950" t="s">
        <v>744</v>
      </c>
      <c r="F65" s="330">
        <f t="shared" ca="1" si="0"/>
        <v>1E-3</v>
      </c>
      <c r="I65" s="1462" t="s">
        <v>867</v>
      </c>
      <c r="J65" s="1463">
        <v>40</v>
      </c>
      <c r="K65" s="1463">
        <v>30</v>
      </c>
      <c r="L65" s="1463">
        <v>50</v>
      </c>
      <c r="M65" s="1465">
        <v>0.02</v>
      </c>
      <c r="O65" s="1418" t="s">
        <v>403</v>
      </c>
      <c r="P65" s="1419" t="s">
        <v>868</v>
      </c>
      <c r="Q65" s="1420">
        <f ca="1">C40+J29</f>
        <v>13893499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-43448</v>
      </c>
      <c r="D67" s="963" t="s">
        <v>753</v>
      </c>
      <c r="E67" s="968"/>
      <c r="F67" s="969"/>
      <c r="O67" s="1428" t="s">
        <v>405</v>
      </c>
      <c r="P67" s="1419" t="s">
        <v>850</v>
      </c>
      <c r="Q67" s="1466">
        <f ca="1">L51</f>
        <v>4733420</v>
      </c>
      <c r="R67" s="1420" t="s">
        <v>870</v>
      </c>
    </row>
    <row r="68" spans="1:18" s="1384" customFormat="1" ht="16.5" thickBot="1">
      <c r="A68" s="947" t="s">
        <v>395</v>
      </c>
      <c r="B68" s="948" t="s">
        <v>774</v>
      </c>
      <c r="C68" s="301">
        <f ca="1">ROUND(C67*(1-((1+F70)/(1+F68))^F69)/(F68-F70),0)</f>
        <v>-702151</v>
      </c>
      <c r="D68" s="965" t="s">
        <v>758</v>
      </c>
      <c r="E68" s="950" t="s">
        <v>759</v>
      </c>
      <c r="F68" s="312">
        <f ca="1">F40</f>
        <v>5.5E-2</v>
      </c>
      <c r="O68" s="1428" t="s">
        <v>406</v>
      </c>
      <c r="P68" s="1467" t="s">
        <v>871</v>
      </c>
      <c r="Q68" s="1420">
        <f ca="1">ROUND(Q69-Q70*Q71,0)</f>
        <v>231867</v>
      </c>
      <c r="R68" s="1420" t="s">
        <v>414</v>
      </c>
    </row>
    <row r="69" spans="1:18" s="1384" customFormat="1" ht="13.5" thickBot="1">
      <c r="A69" s="951"/>
      <c r="B69" s="952"/>
      <c r="C69" s="306"/>
      <c r="D69" s="970" t="s">
        <v>762</v>
      </c>
      <c r="E69" s="950" t="s">
        <v>763</v>
      </c>
      <c r="F69" s="333">
        <f ca="1">F41</f>
        <v>41.03</v>
      </c>
      <c r="O69" s="1428" t="s">
        <v>411</v>
      </c>
      <c r="P69" s="1467" t="s">
        <v>872</v>
      </c>
      <c r="Q69" s="1420">
        <f ca="1">C39</f>
        <v>554693</v>
      </c>
      <c r="R69" s="1420" t="s">
        <v>818</v>
      </c>
    </row>
    <row r="70" spans="1:18" s="1384" customFormat="1" ht="13.5" thickBot="1">
      <c r="A70" s="954"/>
      <c r="B70" s="955"/>
      <c r="C70" s="310"/>
      <c r="D70" s="966"/>
      <c r="E70" s="950" t="s">
        <v>766</v>
      </c>
      <c r="F70" s="1054"/>
      <c r="O70" s="1428" t="s">
        <v>412</v>
      </c>
      <c r="P70" s="1467" t="s">
        <v>873</v>
      </c>
      <c r="Q70" s="1420">
        <f ca="1">C13</f>
        <v>4611802</v>
      </c>
      <c r="R70" s="1420" t="s">
        <v>818</v>
      </c>
    </row>
    <row r="71" spans="1:18" s="1384" customFormat="1" ht="13.5" thickBot="1">
      <c r="A71" s="971" t="s">
        <v>396</v>
      </c>
      <c r="B71" s="972" t="s">
        <v>776</v>
      </c>
      <c r="C71" s="336">
        <f ca="1">ROUND(C68/F71,0)</f>
        <v>-635</v>
      </c>
      <c r="D71" s="973" t="s">
        <v>777</v>
      </c>
      <c r="E71" s="974" t="s">
        <v>778</v>
      </c>
      <c r="F71" s="339">
        <f ca="1">F43</f>
        <v>1105.3800000000001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322826</v>
      </c>
      <c r="D75" s="1384"/>
      <c r="E75" s="1384"/>
      <c r="F75" s="1384"/>
      <c r="K75" s="1402"/>
      <c r="L75" s="1384"/>
      <c r="O75" s="1418" t="s">
        <v>409</v>
      </c>
      <c r="P75" s="1419" t="s">
        <v>838</v>
      </c>
      <c r="Q75" s="1420">
        <f ca="1">Q65+Q66</f>
        <v>13893499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0.41800000000000004</v>
      </c>
    </row>
    <row r="80" spans="1:18">
      <c r="B80" s="340" t="s">
        <v>800</v>
      </c>
      <c r="C80" s="274">
        <f ca="1">ROUND(C75/C39,3)</f>
        <v>0.58199999999999996</v>
      </c>
    </row>
    <row r="81" spans="2:3">
      <c r="B81" s="270" t="s">
        <v>801</v>
      </c>
      <c r="C81" s="238"/>
    </row>
    <row r="82" spans="2:3">
      <c r="B82" s="273" t="s">
        <v>802</v>
      </c>
      <c r="C82" s="275">
        <f ca="1">1-C83</f>
        <v>0.66799999999999993</v>
      </c>
    </row>
    <row r="83" spans="2:3">
      <c r="B83" s="273" t="s">
        <v>803</v>
      </c>
      <c r="C83" s="274">
        <f ca="1">ROUND(C13/C40,3)</f>
        <v>0.33200000000000002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2430</v>
      </c>
      <c r="B1" s="2826"/>
      <c r="C1" s="2838"/>
      <c r="D1" s="2838"/>
      <c r="E1" s="2827"/>
      <c r="F1" s="2828"/>
      <c r="G1" s="2829"/>
      <c r="J1" s="2832" t="s">
        <v>2309</v>
      </c>
      <c r="K1" s="2833"/>
      <c r="L1" s="2833"/>
      <c r="M1" s="2833"/>
      <c r="N1" s="2833"/>
      <c r="O1" s="2833"/>
      <c r="P1" s="2833"/>
      <c r="Q1" s="2833"/>
      <c r="R1" s="2834"/>
      <c r="S1" s="2835"/>
      <c r="T1" s="2835"/>
      <c r="U1" s="2835"/>
    </row>
    <row r="2" spans="1:22" s="2847" customFormat="1" ht="13.15" customHeight="1">
      <c r="A2" s="1385" t="s">
        <v>2310</v>
      </c>
      <c r="B2" s="2837" t="e">
        <f>IF(D2="——",C40,C40+E2)</f>
        <v>#DIV/0!</v>
      </c>
      <c r="C2" s="2838" t="s">
        <v>2311</v>
      </c>
      <c r="D2" s="3437" t="s">
        <v>3358</v>
      </c>
      <c r="E2" s="3438"/>
      <c r="F2" s="2840"/>
      <c r="G2" s="2841"/>
      <c r="H2" s="2842"/>
      <c r="I2" s="2843"/>
      <c r="J2" s="3701" t="s">
        <v>2312</v>
      </c>
      <c r="K2" s="3702"/>
      <c r="L2" s="2844" t="s">
        <v>2313</v>
      </c>
      <c r="M2" s="2844" t="s">
        <v>2314</v>
      </c>
      <c r="N2" s="2844" t="s">
        <v>2315</v>
      </c>
      <c r="O2" s="2844" t="s">
        <v>2316</v>
      </c>
      <c r="P2" s="2844" t="s">
        <v>2317</v>
      </c>
      <c r="Q2" s="2845" t="s">
        <v>2318</v>
      </c>
      <c r="R2" s="2846" t="s">
        <v>2319</v>
      </c>
      <c r="S2" s="2835"/>
      <c r="T2" s="2835"/>
      <c r="U2" s="2835"/>
      <c r="V2" s="2843"/>
    </row>
    <row r="3" spans="1:22" s="2847" customFormat="1" ht="13.15" customHeight="1">
      <c r="A3" s="2848" t="s">
        <v>2320</v>
      </c>
      <c r="B3" s="2849" t="e">
        <f>ROUND(B2*10000/B4,0)</f>
        <v>#DIV/0!</v>
      </c>
      <c r="C3" s="2838" t="s">
        <v>2321</v>
      </c>
      <c r="D3" s="2838"/>
      <c r="E3" s="2839"/>
      <c r="F3" s="2840"/>
      <c r="G3" s="2841"/>
      <c r="H3" s="2842"/>
      <c r="I3" s="2843"/>
      <c r="J3" s="3703" t="s">
        <v>2322</v>
      </c>
      <c r="K3" s="3704"/>
      <c r="L3" s="2850"/>
      <c r="M3" s="2850"/>
      <c r="N3" s="2850"/>
      <c r="O3" s="2850"/>
      <c r="P3" s="2850"/>
      <c r="Q3" s="2851"/>
      <c r="R3" s="2852">
        <f>SUM(L3:Q3)</f>
        <v>0</v>
      </c>
      <c r="S3" s="2835"/>
      <c r="T3" s="2835"/>
      <c r="U3" s="2835"/>
      <c r="V3" s="2843"/>
    </row>
    <row r="4" spans="1:22" s="2847" customFormat="1" ht="13.15" customHeight="1">
      <c r="A4" s="2853" t="s">
        <v>2323</v>
      </c>
      <c r="B4" s="2854"/>
      <c r="C4" s="2838"/>
      <c r="D4" s="2838"/>
      <c r="E4" s="2839"/>
      <c r="F4" s="2840"/>
      <c r="G4" s="2841"/>
      <c r="H4" s="2842"/>
      <c r="I4" s="2843"/>
      <c r="J4" s="3703" t="s">
        <v>2324</v>
      </c>
      <c r="K4" s="3704"/>
      <c r="L4" s="2855"/>
      <c r="M4" s="2855"/>
      <c r="N4" s="2855"/>
      <c r="O4" s="2855"/>
      <c r="P4" s="2855"/>
      <c r="Q4" s="2856"/>
      <c r="R4" s="2857">
        <f>SUM(L4:Q4)</f>
        <v>0</v>
      </c>
      <c r="S4" s="2835"/>
      <c r="T4" s="2835"/>
      <c r="U4" s="2835"/>
      <c r="V4" s="2843"/>
    </row>
    <row r="5" spans="1:22" s="2847" customFormat="1" ht="13.15" customHeight="1" thickBot="1">
      <c r="A5" s="2858" t="s">
        <v>2325</v>
      </c>
      <c r="B5" s="2859"/>
      <c r="C5" s="2838"/>
      <c r="D5" s="2860"/>
      <c r="E5" s="2840"/>
      <c r="F5" s="2840"/>
      <c r="G5" s="2841"/>
      <c r="H5" s="2842"/>
      <c r="I5" s="2843"/>
      <c r="J5" s="2861" t="s">
        <v>2326</v>
      </c>
      <c r="K5" s="2862"/>
      <c r="L5" s="2862"/>
      <c r="M5" s="2863"/>
      <c r="N5" s="2863"/>
      <c r="O5" s="2863"/>
      <c r="P5" s="2863"/>
      <c r="Q5" s="2863"/>
      <c r="R5" s="2846">
        <f>SUM(R14,R19,R24,R25,R27,R28)</f>
        <v>0</v>
      </c>
      <c r="S5" s="2835"/>
      <c r="T5" s="2835" t="s">
        <v>2327</v>
      </c>
      <c r="U5" s="2835" t="e">
        <f>ROUND(R5*10000/365/R3,1)</f>
        <v>#DIV/0!</v>
      </c>
      <c r="V5" s="2843"/>
    </row>
    <row r="6" spans="1:22" s="2847" customFormat="1" ht="13.15" customHeight="1" thickBot="1">
      <c r="A6" s="3705" t="s">
        <v>2328</v>
      </c>
      <c r="B6" s="3706"/>
      <c r="C6" s="3707"/>
      <c r="D6" s="2864"/>
      <c r="E6" s="2865"/>
      <c r="F6" s="2866"/>
      <c r="G6" s="2867"/>
      <c r="H6" s="2842"/>
      <c r="I6" s="2843"/>
      <c r="J6" s="3708">
        <v>1</v>
      </c>
      <c r="K6" s="3709" t="s">
        <v>2329</v>
      </c>
      <c r="L6" s="2868" t="s">
        <v>2330</v>
      </c>
      <c r="M6" s="2869" t="s">
        <v>2331</v>
      </c>
      <c r="N6" s="2869" t="s">
        <v>2332</v>
      </c>
      <c r="O6" s="2869" t="s">
        <v>2333</v>
      </c>
      <c r="P6" s="2869" t="s">
        <v>2334</v>
      </c>
      <c r="Q6" s="2869" t="s">
        <v>2335</v>
      </c>
      <c r="R6" s="2852" t="s">
        <v>2336</v>
      </c>
      <c r="S6" s="2835"/>
      <c r="T6" s="2835" t="s">
        <v>2337</v>
      </c>
      <c r="U6" s="2835"/>
      <c r="V6" s="2843"/>
    </row>
    <row r="7" spans="1:22" s="2847" customFormat="1" ht="13.15" customHeight="1">
      <c r="A7" s="2870" t="s">
        <v>2338</v>
      </c>
      <c r="B7" s="2871"/>
      <c r="C7" s="2872"/>
      <c r="D7" s="2873">
        <f>SUM(D9,D10,D11,D17,0)</f>
        <v>0</v>
      </c>
      <c r="E7" s="2874" t="e">
        <f>E9+E10+E11+E17</f>
        <v>#DIV/0!</v>
      </c>
      <c r="F7" s="2875"/>
      <c r="G7" s="2876"/>
      <c r="H7" s="2842"/>
      <c r="I7" s="2843"/>
      <c r="J7" s="3708"/>
      <c r="K7" s="3710"/>
      <c r="L7" s="2877" t="s">
        <v>2339</v>
      </c>
      <c r="M7" s="2878"/>
      <c r="N7" s="2854"/>
      <c r="O7" s="2879"/>
      <c r="P7" s="2879"/>
      <c r="Q7" s="2880">
        <v>365</v>
      </c>
      <c r="R7" s="2881">
        <f>ROUND(M7*N7*O7*P7*Q7/10000,0)</f>
        <v>0</v>
      </c>
      <c r="S7" s="2835"/>
      <c r="T7" s="2835" t="s">
        <v>2340</v>
      </c>
      <c r="U7" s="2835"/>
      <c r="V7" s="2843"/>
    </row>
    <row r="8" spans="1:22" s="2847" customFormat="1" ht="13.15" customHeight="1">
      <c r="A8" s="2882" t="s">
        <v>2341</v>
      </c>
      <c r="B8" s="3712" t="s">
        <v>2342</v>
      </c>
      <c r="C8" s="3713"/>
      <c r="D8" s="2883" t="s">
        <v>2343</v>
      </c>
      <c r="E8" s="2884" t="s">
        <v>2344</v>
      </c>
      <c r="F8" s="2885" t="s">
        <v>2345</v>
      </c>
      <c r="G8" s="2886"/>
      <c r="H8" s="2842"/>
      <c r="I8" s="2843"/>
      <c r="J8" s="3708"/>
      <c r="K8" s="3710"/>
      <c r="L8" s="2877" t="s">
        <v>2346</v>
      </c>
      <c r="M8" s="2878"/>
      <c r="N8" s="2854"/>
      <c r="O8" s="2879"/>
      <c r="P8" s="2879"/>
      <c r="Q8" s="2880">
        <v>365</v>
      </c>
      <c r="R8" s="2881">
        <f t="shared" ref="R8:R13" si="0">ROUND(M8*N8*O8*P8*Q8/10000,0)</f>
        <v>0</v>
      </c>
      <c r="S8" s="2835"/>
      <c r="T8" s="2835" t="s">
        <v>2347</v>
      </c>
      <c r="U8" s="2835"/>
      <c r="V8" s="2843"/>
    </row>
    <row r="9" spans="1:22" s="2847" customFormat="1" ht="13.15" customHeight="1">
      <c r="A9" s="2882">
        <v>1</v>
      </c>
      <c r="B9" s="3712" t="s">
        <v>2348</v>
      </c>
      <c r="C9" s="3713"/>
      <c r="D9" s="2883">
        <f>ROUND(D6*E9,0)</f>
        <v>0</v>
      </c>
      <c r="E9" s="2887"/>
      <c r="F9" s="2888" t="s">
        <v>2349</v>
      </c>
      <c r="G9" s="2867"/>
      <c r="H9" s="2842"/>
      <c r="I9" s="2843"/>
      <c r="J9" s="3708"/>
      <c r="K9" s="3710"/>
      <c r="L9" s="2877" t="s">
        <v>2350</v>
      </c>
      <c r="M9" s="2878"/>
      <c r="N9" s="2854"/>
      <c r="O9" s="2879"/>
      <c r="P9" s="2879"/>
      <c r="Q9" s="2880">
        <v>365</v>
      </c>
      <c r="R9" s="2881">
        <f t="shared" si="0"/>
        <v>0</v>
      </c>
      <c r="S9" s="2835"/>
      <c r="T9" s="2835"/>
      <c r="U9" s="2835"/>
      <c r="V9" s="2843"/>
    </row>
    <row r="10" spans="1:22" s="2847" customFormat="1" ht="13.15" customHeight="1">
      <c r="A10" s="2882">
        <v>2</v>
      </c>
      <c r="B10" s="3712" t="s">
        <v>2351</v>
      </c>
      <c r="C10" s="3713"/>
      <c r="D10" s="2883">
        <f>ROUND(D6*E10,0)</f>
        <v>0</v>
      </c>
      <c r="E10" s="2887"/>
      <c r="F10" s="2888" t="s">
        <v>2352</v>
      </c>
      <c r="G10" s="2867"/>
      <c r="H10" s="2842"/>
      <c r="I10" s="2843"/>
      <c r="J10" s="3708"/>
      <c r="K10" s="3710"/>
      <c r="L10" s="2877" t="s">
        <v>2353</v>
      </c>
      <c r="M10" s="2878"/>
      <c r="N10" s="2854"/>
      <c r="O10" s="2879"/>
      <c r="P10" s="2879"/>
      <c r="Q10" s="2880">
        <v>365</v>
      </c>
      <c r="R10" s="2881">
        <f t="shared" si="0"/>
        <v>0</v>
      </c>
      <c r="S10" s="2835"/>
      <c r="T10" s="2835"/>
      <c r="U10" s="2835"/>
      <c r="V10" s="2843"/>
    </row>
    <row r="11" spans="1:22" s="2847" customFormat="1" ht="13.15" customHeight="1">
      <c r="A11" s="2882">
        <v>3</v>
      </c>
      <c r="B11" s="3712" t="s">
        <v>2354</v>
      </c>
      <c r="C11" s="3713"/>
      <c r="D11" s="2883">
        <f>D12+D14+D15+D16</f>
        <v>0</v>
      </c>
      <c r="E11" s="2889" t="e">
        <f>D11/D6</f>
        <v>#DIV/0!</v>
      </c>
      <c r="F11" s="2885"/>
      <c r="G11" s="2886"/>
      <c r="H11" s="2842"/>
      <c r="I11" s="2843"/>
      <c r="J11" s="3708"/>
      <c r="K11" s="3710"/>
      <c r="L11" s="2877" t="s">
        <v>2355</v>
      </c>
      <c r="M11" s="2878"/>
      <c r="N11" s="2854"/>
      <c r="O11" s="2879"/>
      <c r="P11" s="2879"/>
      <c r="Q11" s="2880">
        <v>365</v>
      </c>
      <c r="R11" s="2881">
        <f t="shared" si="0"/>
        <v>0</v>
      </c>
      <c r="S11" s="2835"/>
      <c r="T11" s="2835"/>
      <c r="U11" s="2835"/>
      <c r="V11" s="2843"/>
    </row>
    <row r="12" spans="1:22" s="2847" customFormat="1" ht="13.15" customHeight="1">
      <c r="A12" s="2890" t="s">
        <v>2356</v>
      </c>
      <c r="B12" s="3714" t="s">
        <v>2357</v>
      </c>
      <c r="C12" s="3715"/>
      <c r="D12" s="2891">
        <f>ROUND(D13*1.2%*(1-30%),0)</f>
        <v>0</v>
      </c>
      <c r="E12" s="2892">
        <v>1.2E-2</v>
      </c>
      <c r="F12" s="2885" t="s">
        <v>2358</v>
      </c>
      <c r="G12" s="2886"/>
      <c r="H12" s="2842"/>
      <c r="I12" s="2843"/>
      <c r="J12" s="3708"/>
      <c r="K12" s="3710"/>
      <c r="L12" s="2877" t="s">
        <v>2359</v>
      </c>
      <c r="M12" s="2878"/>
      <c r="N12" s="2854"/>
      <c r="O12" s="2879"/>
      <c r="P12" s="2879"/>
      <c r="Q12" s="2880">
        <v>365</v>
      </c>
      <c r="R12" s="2881">
        <f t="shared" si="0"/>
        <v>0</v>
      </c>
      <c r="S12" s="2835"/>
      <c r="T12" s="2835"/>
      <c r="U12" s="2835"/>
      <c r="V12" s="2843"/>
    </row>
    <row r="13" spans="1:22" s="2847" customFormat="1" ht="13.15" customHeight="1">
      <c r="A13" s="2890"/>
      <c r="B13" s="2893"/>
      <c r="C13" s="2894" t="s">
        <v>2360</v>
      </c>
      <c r="D13" s="2895"/>
      <c r="E13" s="2896"/>
      <c r="F13" s="2885"/>
      <c r="G13" s="2886"/>
      <c r="H13" s="2842"/>
      <c r="I13" s="2843"/>
      <c r="J13" s="3708"/>
      <c r="K13" s="3710"/>
      <c r="L13" s="2877" t="s">
        <v>2361</v>
      </c>
      <c r="M13" s="2878"/>
      <c r="N13" s="2854"/>
      <c r="O13" s="2879"/>
      <c r="P13" s="2879"/>
      <c r="Q13" s="2880">
        <v>365</v>
      </c>
      <c r="R13" s="2881">
        <f t="shared" si="0"/>
        <v>0</v>
      </c>
      <c r="S13" s="2835"/>
      <c r="T13" s="2835"/>
      <c r="U13" s="2835"/>
      <c r="V13" s="2843"/>
    </row>
    <row r="14" spans="1:22" s="2847" customFormat="1" ht="13.15" customHeight="1">
      <c r="A14" s="2890" t="s">
        <v>2362</v>
      </c>
      <c r="B14" s="3714" t="s">
        <v>2363</v>
      </c>
      <c r="C14" s="3715"/>
      <c r="D14" s="2891">
        <f>ROUND(E14*B5/10000,0)</f>
        <v>0</v>
      </c>
      <c r="E14" s="2880"/>
      <c r="F14" s="2885" t="s">
        <v>2364</v>
      </c>
      <c r="G14" s="2886"/>
      <c r="H14" s="2842"/>
      <c r="I14" s="2843"/>
      <c r="J14" s="3708"/>
      <c r="K14" s="3711"/>
      <c r="L14" s="2897" t="s">
        <v>2365</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2366</v>
      </c>
      <c r="B15" s="3714" t="s">
        <v>2367</v>
      </c>
      <c r="C15" s="3715"/>
      <c r="D15" s="2891">
        <f>ROUND(D6*E15,0)</f>
        <v>0</v>
      </c>
      <c r="E15" s="2892">
        <v>5.5E-2</v>
      </c>
      <c r="F15" s="2885" t="s">
        <v>2368</v>
      </c>
      <c r="G15" s="2867"/>
      <c r="H15" s="2842"/>
      <c r="I15" s="2843"/>
      <c r="J15" s="3708">
        <v>2</v>
      </c>
      <c r="K15" s="3709" t="s">
        <v>2369</v>
      </c>
      <c r="L15" s="2877" t="s">
        <v>2370</v>
      </c>
      <c r="M15" s="2878" t="s">
        <v>2371</v>
      </c>
      <c r="N15" s="2878" t="s">
        <v>2372</v>
      </c>
      <c r="O15" s="2879" t="s">
        <v>2373</v>
      </c>
      <c r="P15" s="2879" t="s">
        <v>2335</v>
      </c>
      <c r="Q15" s="2854" t="s">
        <v>2374</v>
      </c>
      <c r="R15" s="2901" t="s">
        <v>2336</v>
      </c>
      <c r="S15" s="2835"/>
      <c r="T15" s="2835"/>
      <c r="U15" s="2835"/>
      <c r="V15" s="2843"/>
    </row>
    <row r="16" spans="1:22" s="2847" customFormat="1" ht="13.15" customHeight="1">
      <c r="A16" s="2890" t="s">
        <v>2375</v>
      </c>
      <c r="B16" s="3714" t="s">
        <v>2376</v>
      </c>
      <c r="C16" s="3715"/>
      <c r="D16" s="2902">
        <f>D6*E16</f>
        <v>0</v>
      </c>
      <c r="E16" s="2903"/>
      <c r="F16" s="2888" t="s">
        <v>2377</v>
      </c>
      <c r="G16" s="2867"/>
      <c r="H16" s="2842"/>
      <c r="I16" s="2843"/>
      <c r="J16" s="3708"/>
      <c r="K16" s="3710"/>
      <c r="L16" s="2877" t="s">
        <v>2378</v>
      </c>
      <c r="M16" s="2878"/>
      <c r="N16" s="2878"/>
      <c r="O16" s="2879"/>
      <c r="P16" s="2880">
        <v>365</v>
      </c>
      <c r="Q16" s="2854"/>
      <c r="R16" s="2901">
        <f>ROUND(M16*N16*O16*P16/10000,0)</f>
        <v>0</v>
      </c>
      <c r="S16" s="2835"/>
      <c r="T16" s="2835"/>
      <c r="U16" s="2835"/>
      <c r="V16" s="2843"/>
    </row>
    <row r="17" spans="1:22" s="2847" customFormat="1" ht="13.15" customHeight="1" thickBot="1">
      <c r="A17" s="2904">
        <v>4</v>
      </c>
      <c r="B17" s="3716" t="s">
        <v>2379</v>
      </c>
      <c r="C17" s="3717"/>
      <c r="D17" s="2905">
        <f>ROUND(D6*E17,0)</f>
        <v>0</v>
      </c>
      <c r="E17" s="2906"/>
      <c r="F17" s="2907" t="s">
        <v>2380</v>
      </c>
      <c r="G17" s="2867"/>
      <c r="H17" s="2842"/>
      <c r="I17" s="2843"/>
      <c r="J17" s="3708"/>
      <c r="K17" s="3710"/>
      <c r="L17" s="2877" t="s">
        <v>2381</v>
      </c>
      <c r="M17" s="2878"/>
      <c r="N17" s="2878"/>
      <c r="O17" s="2879"/>
      <c r="P17" s="2880">
        <v>365</v>
      </c>
      <c r="Q17" s="2854"/>
      <c r="R17" s="2901">
        <f>ROUND(M17*N17*O17*P17/10000,0)</f>
        <v>0</v>
      </c>
      <c r="S17" s="2835"/>
      <c r="T17" s="2835"/>
      <c r="U17" s="2835"/>
      <c r="V17" s="2843"/>
    </row>
    <row r="18" spans="1:22" s="2847" customFormat="1" ht="13.15" customHeight="1" thickBot="1">
      <c r="A18" s="2870" t="s">
        <v>2382</v>
      </c>
      <c r="B18" s="2871"/>
      <c r="C18" s="2871"/>
      <c r="D18" s="2908">
        <f>ROUND(D6*E18,0)</f>
        <v>0</v>
      </c>
      <c r="E18" s="2909"/>
      <c r="F18" s="2910" t="s">
        <v>2383</v>
      </c>
      <c r="G18" s="2867"/>
      <c r="H18" s="2842"/>
      <c r="I18" s="2843"/>
      <c r="J18" s="3708"/>
      <c r="K18" s="3710"/>
      <c r="L18" s="2877" t="s">
        <v>2384</v>
      </c>
      <c r="M18" s="2878"/>
      <c r="N18" s="2878"/>
      <c r="O18" s="2879"/>
      <c r="P18" s="2880">
        <v>365</v>
      </c>
      <c r="Q18" s="2854"/>
      <c r="R18" s="2901">
        <f>ROUND(M18*N18*O18*P18/10000,0)</f>
        <v>0</v>
      </c>
      <c r="S18" s="2835"/>
      <c r="T18" s="2835"/>
      <c r="U18" s="2835"/>
      <c r="V18" s="2843"/>
    </row>
    <row r="19" spans="1:22" s="2847" customFormat="1" ht="13.15" customHeight="1" thickBot="1">
      <c r="A19" s="2911" t="s">
        <v>2385</v>
      </c>
      <c r="B19" s="2865"/>
      <c r="C19" s="2865"/>
      <c r="D19" s="2865"/>
      <c r="E19" s="2865"/>
      <c r="F19" s="2866"/>
      <c r="G19" s="2886"/>
      <c r="H19" s="2842"/>
      <c r="I19" s="2843"/>
      <c r="J19" s="3708"/>
      <c r="K19" s="3711"/>
      <c r="L19" s="2897" t="s">
        <v>2365</v>
      </c>
      <c r="M19" s="2898"/>
      <c r="N19" s="2898">
        <f>SUM(N16:N18)</f>
        <v>0</v>
      </c>
      <c r="O19" s="2899"/>
      <c r="P19" s="2912" t="s">
        <v>2429</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08">
        <v>3</v>
      </c>
      <c r="K20" s="3709" t="s">
        <v>2386</v>
      </c>
      <c r="L20" s="2877" t="s">
        <v>2387</v>
      </c>
      <c r="M20" s="2878" t="s">
        <v>2388</v>
      </c>
      <c r="N20" s="2915" t="s">
        <v>2389</v>
      </c>
      <c r="O20" s="2879" t="s">
        <v>2390</v>
      </c>
      <c r="P20" s="2880" t="s">
        <v>2391</v>
      </c>
      <c r="Q20" s="2854" t="s">
        <v>2392</v>
      </c>
      <c r="R20" s="2901" t="s">
        <v>2393</v>
      </c>
      <c r="S20" s="2916"/>
      <c r="T20" s="2916"/>
      <c r="U20" s="2916"/>
      <c r="V20" s="2843"/>
    </row>
    <row r="21" spans="1:22" s="2847" customFormat="1" ht="13.15" customHeight="1">
      <c r="A21" s="2870"/>
      <c r="B21" s="2871"/>
      <c r="C21" s="2917" t="s">
        <v>2394</v>
      </c>
      <c r="D21" s="2918" t="s">
        <v>2395</v>
      </c>
      <c r="E21" s="2919" t="s">
        <v>2396</v>
      </c>
      <c r="F21" s="2914"/>
      <c r="G21" s="2886"/>
      <c r="H21" s="2842"/>
      <c r="I21" s="2843"/>
      <c r="J21" s="3708"/>
      <c r="K21" s="3710"/>
      <c r="L21" s="2877" t="s">
        <v>2397</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2398</v>
      </c>
      <c r="D22" s="2922" t="s">
        <v>2399</v>
      </c>
      <c r="E22" s="2923" t="s">
        <v>2400</v>
      </c>
      <c r="F22" s="2914"/>
      <c r="G22" s="2924"/>
      <c r="H22" s="2842"/>
      <c r="I22" s="2843"/>
      <c r="J22" s="3708"/>
      <c r="K22" s="3710"/>
      <c r="L22" s="2877" t="s">
        <v>2401</v>
      </c>
      <c r="M22" s="2878"/>
      <c r="N22" s="2878"/>
      <c r="O22" s="2879"/>
      <c r="P22" s="2880">
        <v>365</v>
      </c>
      <c r="Q22" s="2854"/>
      <c r="R22" s="2920">
        <f>ROUND(M22*N22*O22*P22/10000,0)</f>
        <v>0</v>
      </c>
      <c r="S22" s="2916"/>
      <c r="T22" s="2916"/>
      <c r="U22" s="2916"/>
      <c r="V22" s="2843"/>
    </row>
    <row r="23" spans="1:22" s="2847" customFormat="1" ht="13.15" customHeight="1">
      <c r="A23" s="2925">
        <v>1</v>
      </c>
      <c r="B23" s="2926" t="s">
        <v>2402</v>
      </c>
      <c r="C23" s="2927">
        <f>D6</f>
        <v>0</v>
      </c>
      <c r="D23" s="2928">
        <f>C23*(1+D24)</f>
        <v>0</v>
      </c>
      <c r="E23" s="2929">
        <f>D23*(1+E24)</f>
        <v>0</v>
      </c>
      <c r="F23" s="2930"/>
      <c r="G23" s="2931"/>
      <c r="H23" s="2842"/>
      <c r="I23" s="2843"/>
      <c r="J23" s="3708"/>
      <c r="K23" s="3710"/>
      <c r="L23" s="2877" t="s">
        <v>2403</v>
      </c>
      <c r="M23" s="2878"/>
      <c r="N23" s="2878"/>
      <c r="O23" s="2879"/>
      <c r="P23" s="2880">
        <v>365</v>
      </c>
      <c r="Q23" s="2854"/>
      <c r="R23" s="2920">
        <f>ROUND(M23*N23*O23*P23/10000,0)</f>
        <v>0</v>
      </c>
      <c r="S23" s="2835"/>
      <c r="T23" s="2835"/>
      <c r="U23" s="2835"/>
      <c r="V23" s="2843"/>
    </row>
    <row r="24" spans="1:22" s="2847" customFormat="1" ht="13.15" customHeight="1">
      <c r="A24" s="2932"/>
      <c r="B24" s="2933" t="s">
        <v>2404</v>
      </c>
      <c r="C24" s="2934"/>
      <c r="D24" s="2935"/>
      <c r="E24" s="2936"/>
      <c r="F24" s="2937"/>
      <c r="G24" s="2931"/>
      <c r="H24" s="2842"/>
      <c r="I24" s="2843"/>
      <c r="J24" s="3708"/>
      <c r="K24" s="3711"/>
      <c r="L24" s="2897" t="s">
        <v>2365</v>
      </c>
      <c r="M24" s="2898">
        <f>SUM(M21:M23)</f>
        <v>0</v>
      </c>
      <c r="N24" s="2898"/>
      <c r="O24" s="2899"/>
      <c r="P24" s="2912" t="s">
        <v>2429</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2405</v>
      </c>
      <c r="L25" s="2940"/>
      <c r="M25" s="2940"/>
      <c r="N25" s="2940"/>
      <c r="O25" s="2940"/>
      <c r="P25" s="2941"/>
      <c r="Q25" s="2942">
        <v>0</v>
      </c>
      <c r="R25" s="2913">
        <f>ROUND(R14*Q25,0)</f>
        <v>0</v>
      </c>
      <c r="S25" s="2835"/>
      <c r="T25" s="2835"/>
      <c r="U25" s="2835"/>
      <c r="V25" s="2943"/>
    </row>
    <row r="26" spans="1:22" s="2944" customFormat="1" ht="13.15" customHeight="1">
      <c r="A26" s="2925">
        <v>2</v>
      </c>
      <c r="B26" s="2926" t="s">
        <v>2406</v>
      </c>
      <c r="C26" s="2927">
        <f>D7</f>
        <v>0</v>
      </c>
      <c r="D26" s="2928">
        <f>D23*D27</f>
        <v>0</v>
      </c>
      <c r="E26" s="2929">
        <f>E23*E27</f>
        <v>0</v>
      </c>
      <c r="F26" s="2930"/>
      <c r="G26" s="2931"/>
      <c r="H26" s="2842"/>
      <c r="I26" s="2843"/>
      <c r="J26" s="3718">
        <v>5</v>
      </c>
      <c r="K26" s="2945" t="s">
        <v>2407</v>
      </c>
      <c r="L26" s="2946"/>
      <c r="M26" s="2947"/>
      <c r="N26" s="2948" t="s">
        <v>2408</v>
      </c>
      <c r="O26" s="2948" t="s">
        <v>2409</v>
      </c>
      <c r="P26" s="2949" t="s">
        <v>2410</v>
      </c>
      <c r="Q26" s="2949" t="s">
        <v>2411</v>
      </c>
      <c r="R26" s="2852" t="s">
        <v>2336</v>
      </c>
      <c r="S26" s="2950"/>
      <c r="T26" s="2950"/>
      <c r="U26" s="2950"/>
      <c r="V26" s="2943"/>
    </row>
    <row r="27" spans="1:22" s="2847" customFormat="1" ht="13.15" customHeight="1">
      <c r="A27" s="2932"/>
      <c r="B27" s="2933" t="s">
        <v>2412</v>
      </c>
      <c r="C27" s="2951" t="e">
        <f>E7</f>
        <v>#DIV/0!</v>
      </c>
      <c r="D27" s="2935"/>
      <c r="E27" s="2936"/>
      <c r="F27" s="2937"/>
      <c r="G27" s="2931"/>
      <c r="H27" s="2952"/>
      <c r="I27" s="2943"/>
      <c r="J27" s="371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2413</v>
      </c>
      <c r="F28" s="2937"/>
      <c r="G28" s="2924"/>
      <c r="H28" s="2952"/>
      <c r="I28" s="2943"/>
      <c r="J28" s="2958">
        <v>6</v>
      </c>
      <c r="K28" s="2959" t="s">
        <v>2414</v>
      </c>
      <c r="L28" s="2960" t="s">
        <v>2415</v>
      </c>
      <c r="M28" s="2961"/>
      <c r="N28" s="2960" t="s">
        <v>2416</v>
      </c>
      <c r="O28" s="2962"/>
      <c r="P28" s="2960" t="s">
        <v>2417</v>
      </c>
      <c r="Q28" s="2963">
        <v>1.4999999999999999E-2</v>
      </c>
      <c r="R28" s="2964"/>
      <c r="S28" s="2916"/>
      <c r="T28" s="2916"/>
      <c r="U28" s="2916"/>
      <c r="V28" s="2943"/>
    </row>
    <row r="29" spans="1:22" s="2944" customFormat="1" ht="13.15" customHeight="1">
      <c r="A29" s="2925">
        <v>3</v>
      </c>
      <c r="B29" s="2926" t="s">
        <v>2418</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2412</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2419</v>
      </c>
      <c r="K31" s="2833"/>
      <c r="L31" s="2833"/>
      <c r="M31" s="2833"/>
      <c r="N31" s="2833"/>
      <c r="O31" s="2833"/>
      <c r="P31" s="2833"/>
      <c r="Q31" s="2833"/>
      <c r="R31" s="2834"/>
      <c r="S31" s="2916"/>
      <c r="T31" s="2835"/>
      <c r="U31" s="2835"/>
      <c r="V31" s="2943"/>
    </row>
    <row r="32" spans="1:22" s="2944" customFormat="1" ht="13.15" customHeight="1">
      <c r="A32" s="2925">
        <v>4</v>
      </c>
      <c r="B32" s="2926" t="s">
        <v>2420</v>
      </c>
      <c r="C32" s="2927">
        <f>C23-C26-C29</f>
        <v>0</v>
      </c>
      <c r="D32" s="2928">
        <f>D23-D26-D29</f>
        <v>0</v>
      </c>
      <c r="E32" s="2929">
        <f>E23-E26-E29</f>
        <v>0</v>
      </c>
      <c r="F32" s="2930"/>
      <c r="G32" s="2924"/>
      <c r="H32" s="2842"/>
      <c r="I32" s="2843"/>
      <c r="J32" s="3701" t="s">
        <v>2312</v>
      </c>
      <c r="K32" s="3702"/>
      <c r="L32" s="2844" t="s">
        <v>2313</v>
      </c>
      <c r="M32" s="2844" t="s">
        <v>2314</v>
      </c>
      <c r="N32" s="2844" t="s">
        <v>2315</v>
      </c>
      <c r="O32" s="2844" t="s">
        <v>2316</v>
      </c>
      <c r="P32" s="2844" t="s">
        <v>2317</v>
      </c>
      <c r="Q32" s="2845" t="s">
        <v>2318</v>
      </c>
      <c r="R32" s="2967" t="s">
        <v>2319</v>
      </c>
      <c r="S32" s="2916"/>
      <c r="T32" s="2835"/>
      <c r="U32" s="2835"/>
      <c r="V32" s="2943"/>
    </row>
    <row r="33" spans="1:23" s="2847" customFormat="1" ht="13.15" customHeight="1">
      <c r="A33" s="2925"/>
      <c r="B33" s="2926"/>
      <c r="C33" s="2927"/>
      <c r="D33" s="2968"/>
      <c r="E33" s="2969"/>
      <c r="F33" s="2930"/>
      <c r="G33" s="2924"/>
      <c r="H33" s="2952"/>
      <c r="I33" s="2943"/>
      <c r="J33" s="3703" t="s">
        <v>2322</v>
      </c>
      <c r="K33" s="3704"/>
      <c r="L33" s="2850"/>
      <c r="M33" s="2850"/>
      <c r="N33" s="2850"/>
      <c r="O33" s="2850"/>
      <c r="P33" s="2850"/>
      <c r="Q33" s="2851"/>
      <c r="R33" s="2970">
        <f>SUM(L33:Q33)</f>
        <v>0</v>
      </c>
      <c r="S33" s="2916"/>
      <c r="T33" s="2835"/>
      <c r="U33" s="2835"/>
      <c r="V33" s="2843"/>
    </row>
    <row r="34" spans="1:23" s="2847" customFormat="1" ht="13.15" customHeight="1">
      <c r="A34" s="2925">
        <v>5</v>
      </c>
      <c r="B34" s="2926" t="s">
        <v>2421</v>
      </c>
      <c r="C34" s="2971"/>
      <c r="D34" s="2972"/>
      <c r="E34" s="2973"/>
      <c r="F34" s="2930"/>
      <c r="G34" s="2924"/>
      <c r="H34" s="2952"/>
      <c r="I34" s="2943"/>
      <c r="J34" s="3703" t="s">
        <v>2324</v>
      </c>
      <c r="K34" s="370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2422</v>
      </c>
      <c r="C35" s="2975"/>
      <c r="D35" s="2976"/>
      <c r="E35" s="2977"/>
      <c r="F35" s="2930"/>
      <c r="G35" s="2978"/>
      <c r="H35" s="2842"/>
      <c r="I35" s="2943"/>
      <c r="J35" s="2861" t="s">
        <v>2326</v>
      </c>
      <c r="K35" s="2862"/>
      <c r="L35" s="2862"/>
      <c r="M35" s="2863"/>
      <c r="N35" s="2863"/>
      <c r="O35" s="2863"/>
      <c r="P35" s="2863"/>
      <c r="Q35" s="2863"/>
      <c r="R35" s="2979">
        <f>R40+R41+R43</f>
        <v>0</v>
      </c>
      <c r="S35" s="2916"/>
      <c r="T35" s="2835" t="s">
        <v>2327</v>
      </c>
      <c r="U35" s="2835"/>
      <c r="V35" s="2843"/>
    </row>
    <row r="36" spans="1:23" s="2847" customFormat="1" ht="13.15" customHeight="1" thickBot="1">
      <c r="A36" s="2925">
        <v>7</v>
      </c>
      <c r="B36" s="2980" t="s">
        <v>2423</v>
      </c>
      <c r="C36" s="2981"/>
      <c r="D36" s="2982"/>
      <c r="E36" s="2983"/>
      <c r="F36" s="2984">
        <f>C36+D36+E36</f>
        <v>0</v>
      </c>
      <c r="G36" s="2924"/>
      <c r="H36" s="2842"/>
      <c r="I36" s="2843"/>
      <c r="J36" s="3708">
        <v>1</v>
      </c>
      <c r="K36" s="3709" t="s">
        <v>2424</v>
      </c>
      <c r="L36" s="2868"/>
      <c r="M36" s="2869"/>
      <c r="N36" s="2869"/>
      <c r="O36" s="2869"/>
      <c r="P36" s="2869"/>
      <c r="Q36" s="2869"/>
      <c r="R36" s="2852" t="s">
        <v>2336</v>
      </c>
      <c r="S36" s="2916"/>
      <c r="T36" s="2835" t="s">
        <v>2337</v>
      </c>
      <c r="U36" s="2835"/>
      <c r="V36" s="2843"/>
    </row>
    <row r="37" spans="1:23" s="2847" customFormat="1" ht="13.15" customHeight="1">
      <c r="A37" s="2925"/>
      <c r="B37" s="2926"/>
      <c r="C37" s="2926"/>
      <c r="D37" s="2926"/>
      <c r="E37" s="2926"/>
      <c r="F37" s="2930"/>
      <c r="G37" s="2924"/>
      <c r="H37" s="2842"/>
      <c r="I37" s="2843"/>
      <c r="J37" s="3708"/>
      <c r="K37" s="3710"/>
      <c r="L37" s="2877"/>
      <c r="M37" s="2878"/>
      <c r="N37" s="2854"/>
      <c r="O37" s="2879"/>
      <c r="P37" s="2879"/>
      <c r="Q37" s="2880"/>
      <c r="R37" s="2881"/>
      <c r="S37" s="2916"/>
      <c r="T37" s="2835" t="s">
        <v>2340</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08"/>
      <c r="K38" s="3710"/>
      <c r="L38" s="2877"/>
      <c r="M38" s="2878"/>
      <c r="N38" s="2854"/>
      <c r="O38" s="2879"/>
      <c r="P38" s="2879"/>
      <c r="Q38" s="2880"/>
      <c r="R38" s="2881"/>
      <c r="S38" s="2916"/>
      <c r="T38" s="2835" t="s">
        <v>2347</v>
      </c>
      <c r="U38" s="2835"/>
      <c r="V38" s="2843"/>
    </row>
    <row r="39" spans="1:23" s="2847" customFormat="1" ht="13.15" customHeight="1">
      <c r="A39" s="2925">
        <v>9</v>
      </c>
      <c r="B39" s="2926" t="s">
        <v>2425</v>
      </c>
      <c r="C39" s="2891" t="e">
        <f>C38</f>
        <v>#DIV/0!</v>
      </c>
      <c r="D39" s="2926">
        <f>D38/(1+D34)^C36</f>
        <v>0</v>
      </c>
      <c r="E39" s="2926">
        <f>E38/(1+E34)^(C36+D36)</f>
        <v>0</v>
      </c>
      <c r="F39" s="2930"/>
      <c r="G39" s="2985"/>
      <c r="H39" s="2842"/>
      <c r="I39" s="2843"/>
      <c r="J39" s="3708"/>
      <c r="K39" s="3710"/>
      <c r="L39" s="2877"/>
      <c r="M39" s="2878"/>
      <c r="N39" s="2854"/>
      <c r="O39" s="2879"/>
      <c r="P39" s="2879"/>
      <c r="Q39" s="2880"/>
      <c r="R39" s="2881"/>
      <c r="S39" s="2916"/>
      <c r="T39" s="2835"/>
      <c r="U39" s="2835"/>
      <c r="V39" s="2843"/>
    </row>
    <row r="40" spans="1:23" s="2847" customFormat="1" ht="13.15" customHeight="1">
      <c r="A40" s="2986">
        <v>10</v>
      </c>
      <c r="B40" s="2926" t="s">
        <v>2426</v>
      </c>
      <c r="C40" s="2987" t="e">
        <f>C39+D39+E39</f>
        <v>#DIV/0!</v>
      </c>
      <c r="D40" s="2988"/>
      <c r="E40" s="2988"/>
      <c r="F40" s="2989"/>
      <c r="G40" s="2924"/>
      <c r="H40" s="2842"/>
      <c r="I40" s="2843"/>
      <c r="J40" s="3708"/>
      <c r="K40" s="3711"/>
      <c r="L40" s="2897" t="s">
        <v>2365</v>
      </c>
      <c r="M40" s="2898"/>
      <c r="N40" s="2898"/>
      <c r="O40" s="2899"/>
      <c r="P40" s="2899"/>
      <c r="Q40" s="2900"/>
      <c r="R40" s="2846">
        <f>SUM(R37:R39)</f>
        <v>0</v>
      </c>
      <c r="S40" s="2916"/>
      <c r="T40" s="2835"/>
      <c r="U40" s="2835"/>
      <c r="V40" s="2843"/>
    </row>
    <row r="41" spans="1:23" s="2847" customFormat="1" ht="13.15" customHeight="1" thickBot="1">
      <c r="A41" s="2990">
        <v>11</v>
      </c>
      <c r="B41" s="2991" t="s">
        <v>2427</v>
      </c>
      <c r="C41" s="2991" t="e">
        <f>ROUND(C40*10000/B4,0)</f>
        <v>#DIV/0!</v>
      </c>
      <c r="D41" s="2992"/>
      <c r="E41" s="2992"/>
      <c r="F41" s="2993"/>
      <c r="G41" s="2994"/>
      <c r="H41" s="2842"/>
      <c r="I41" s="2843"/>
      <c r="J41" s="2938">
        <v>2</v>
      </c>
      <c r="K41" s="2939" t="s">
        <v>2405</v>
      </c>
      <c r="L41" s="2940"/>
      <c r="M41" s="2940"/>
      <c r="N41" s="2940"/>
      <c r="O41" s="2940"/>
      <c r="P41" s="2941"/>
      <c r="Q41" s="2942"/>
      <c r="R41" s="2913">
        <f>ROUND(R40*Q41,0)</f>
        <v>0</v>
      </c>
      <c r="S41" s="2916"/>
      <c r="T41" s="2835"/>
      <c r="U41" s="2950"/>
      <c r="V41" s="2843"/>
    </row>
    <row r="42" spans="1:23" s="2847" customFormat="1" ht="13.15" customHeight="1">
      <c r="G42" s="2994"/>
      <c r="H42" s="2842"/>
      <c r="I42" s="2843"/>
      <c r="J42" s="3718">
        <v>3</v>
      </c>
      <c r="K42" s="2945" t="s">
        <v>2407</v>
      </c>
      <c r="L42" s="2946"/>
      <c r="M42" s="2947"/>
      <c r="N42" s="2948" t="s">
        <v>2408</v>
      </c>
      <c r="O42" s="2948" t="s">
        <v>2409</v>
      </c>
      <c r="P42" s="2949" t="s">
        <v>2410</v>
      </c>
      <c r="Q42" s="2949" t="s">
        <v>2411</v>
      </c>
      <c r="R42" s="2852" t="s">
        <v>2336</v>
      </c>
      <c r="S42" s="2950"/>
      <c r="T42" s="2950"/>
      <c r="U42" s="2835"/>
      <c r="V42" s="2843"/>
    </row>
    <row r="43" spans="1:23" ht="13.15" customHeight="1">
      <c r="A43" s="2847"/>
      <c r="B43" s="2847"/>
      <c r="C43" s="2847"/>
      <c r="D43" s="2847"/>
      <c r="E43" s="2847"/>
      <c r="F43" s="2847"/>
      <c r="I43" s="2830"/>
      <c r="J43" s="371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2414</v>
      </c>
      <c r="L44" s="2998" t="s">
        <v>2415</v>
      </c>
      <c r="M44" s="2961"/>
      <c r="N44" s="2998" t="s">
        <v>2416</v>
      </c>
      <c r="O44" s="2961"/>
      <c r="P44" s="2998" t="s">
        <v>2417</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1"/>
      <c r="G1" s="1489"/>
      <c r="H1" s="1489"/>
      <c r="I1" s="1489"/>
      <c r="J1" s="1489"/>
      <c r="K1" s="1489"/>
      <c r="L1" s="1489"/>
      <c r="M1" s="1489"/>
      <c r="N1" s="1489"/>
      <c r="O1" s="1489"/>
      <c r="P1" s="1489"/>
      <c r="Q1" s="1489"/>
      <c r="R1" s="1489"/>
      <c r="S1" s="1489"/>
    </row>
    <row r="2" spans="1:22" ht="15.75">
      <c r="A2" s="1870" t="s">
        <v>1461</v>
      </c>
      <c r="B2" s="1871">
        <f ca="1">SUMIF(B6:B13,"&lt;&gt;#ref!",B6:B13)</f>
        <v>1389.3498999999999</v>
      </c>
      <c r="C2" s="1872" t="s">
        <v>1650</v>
      </c>
      <c r="D2" s="1873" t="s">
        <v>1651</v>
      </c>
      <c r="E2" s="2602">
        <f>SUM(E6:E13)</f>
        <v>1105.3800000000001</v>
      </c>
      <c r="F2" s="2701"/>
      <c r="G2" s="1489"/>
      <c r="H2" s="1489"/>
      <c r="I2" s="1489"/>
      <c r="J2" s="1489"/>
      <c r="K2" s="1489"/>
      <c r="L2" s="1489"/>
      <c r="M2" s="1489"/>
      <c r="N2" s="1489"/>
      <c r="O2" s="1489"/>
      <c r="P2" s="1489"/>
      <c r="Q2" s="1489"/>
      <c r="R2" s="1489"/>
      <c r="S2" s="1489"/>
    </row>
    <row r="3" spans="1:22" ht="15.75">
      <c r="A3" s="1870" t="s">
        <v>686</v>
      </c>
      <c r="B3" s="2596">
        <f ca="1">ROUND(B2*10000/E2,0)</f>
        <v>12569</v>
      </c>
      <c r="C3" s="1872" t="s">
        <v>1658</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8" t="s">
        <v>1652</v>
      </c>
      <c r="B5" s="3720" t="s">
        <v>1653</v>
      </c>
      <c r="C5" s="3721"/>
      <c r="D5" s="2702"/>
      <c r="E5" s="1874" t="s">
        <v>1654</v>
      </c>
      <c r="F5" s="1875" t="s">
        <v>1655</v>
      </c>
      <c r="G5" s="1489"/>
      <c r="H5" s="1489"/>
      <c r="I5" s="1489"/>
      <c r="J5" s="1489"/>
      <c r="K5" s="1489"/>
      <c r="L5" s="1489"/>
      <c r="M5" s="1489"/>
      <c r="N5" s="1489"/>
      <c r="O5" s="1489"/>
      <c r="P5" s="1489"/>
      <c r="Q5" s="1489"/>
      <c r="R5" s="1489"/>
      <c r="S5" s="1489"/>
    </row>
    <row r="6" spans="1:22">
      <c r="A6" s="2599" t="str">
        <f>'数据-取费表'!AN6</f>
        <v>收益法 (元)</v>
      </c>
      <c r="B6" s="2597">
        <f ca="1">IF(F6="是",'数据-取费表'!AO6,0)</f>
        <v>1389.3498999999999</v>
      </c>
      <c r="C6" s="1872" t="s">
        <v>1650</v>
      </c>
      <c r="D6" s="2703"/>
      <c r="E6" s="2601">
        <f>IF(OR(A6=0,F6="否"),0,'数据-取费表'!K6+'数据-取费表'!S6)</f>
        <v>1105.3800000000001</v>
      </c>
      <c r="F6" s="1876" t="s">
        <v>1656</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1650</v>
      </c>
      <c r="D7" s="2703"/>
      <c r="E7" s="2601">
        <f>IF(OR(A7=0,F7="否"),0,'数据-取费表'!K7+'数据-取费表'!S7)</f>
        <v>0</v>
      </c>
      <c r="F7" s="1876" t="s">
        <v>1656</v>
      </c>
      <c r="G7" s="1489"/>
      <c r="H7" s="1489"/>
      <c r="I7" s="1489"/>
      <c r="J7" s="1489"/>
      <c r="K7" s="1489"/>
      <c r="L7" s="1489"/>
      <c r="M7" s="1489"/>
      <c r="N7" s="1489"/>
      <c r="O7" s="1489"/>
      <c r="P7" s="1489"/>
      <c r="Q7" s="1489"/>
      <c r="R7" s="1489"/>
      <c r="S7" s="1489"/>
    </row>
    <row r="8" spans="1:22">
      <c r="A8" s="2599">
        <f>'数据-取费表'!AN8</f>
        <v>0</v>
      </c>
      <c r="B8" s="2597" t="e">
        <f ca="1">IF(F8="是",'数据-取费表'!AO8,0)</f>
        <v>#REF!</v>
      </c>
      <c r="C8" s="1872" t="s">
        <v>1650</v>
      </c>
      <c r="D8" s="2703"/>
      <c r="E8" s="2601">
        <f>IF(OR(A8=0,F8="否"),0,'数据-取费表'!K8+'数据-取费表'!S8)</f>
        <v>0</v>
      </c>
      <c r="F8" s="1876" t="s">
        <v>1656</v>
      </c>
      <c r="G8" s="1489"/>
      <c r="H8" s="1489"/>
      <c r="I8" s="1489"/>
      <c r="J8" s="1489"/>
      <c r="K8" s="1489"/>
      <c r="L8" s="1489"/>
      <c r="M8" s="1489"/>
      <c r="N8" s="1489"/>
      <c r="O8" s="1489"/>
      <c r="P8" s="1489"/>
      <c r="Q8" s="1489"/>
      <c r="R8" s="1489"/>
      <c r="S8" s="1489"/>
    </row>
    <row r="9" spans="1:22">
      <c r="A9" s="2599">
        <f>'数据-取费表'!AN9</f>
        <v>0</v>
      </c>
      <c r="B9" s="2597" t="e">
        <f ca="1">IF(F9="是",'数据-取费表'!AO9,0)</f>
        <v>#REF!</v>
      </c>
      <c r="C9" s="1872" t="s">
        <v>1650</v>
      </c>
      <c r="D9" s="2703"/>
      <c r="E9" s="2601">
        <f>IF(OR(A9=0,F9="否"),0,'数据-取费表'!K9+'数据-取费表'!S9)</f>
        <v>0</v>
      </c>
      <c r="F9" s="1876" t="s">
        <v>1656</v>
      </c>
      <c r="G9" s="1489"/>
      <c r="H9" s="1489"/>
      <c r="I9" s="1489"/>
      <c r="J9" s="1489"/>
      <c r="K9" s="1489"/>
      <c r="L9" s="1489"/>
      <c r="M9" s="1489"/>
      <c r="N9" s="1489"/>
      <c r="O9" s="1489"/>
      <c r="P9" s="1489"/>
      <c r="Q9" s="1489"/>
      <c r="R9" s="1489"/>
      <c r="S9" s="1489"/>
    </row>
    <row r="10" spans="1:22">
      <c r="A10" s="2599">
        <f>'数据-取费表'!AN10</f>
        <v>0</v>
      </c>
      <c r="B10" s="2597" t="e">
        <f ca="1">IF(F10="是",'数据-取费表'!AO10,0)</f>
        <v>#REF!</v>
      </c>
      <c r="C10" s="1872" t="s">
        <v>1650</v>
      </c>
      <c r="D10" s="2703"/>
      <c r="E10" s="2601">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9">
        <f>'数据-取费表'!AN11</f>
        <v>0</v>
      </c>
      <c r="B11" s="2597" t="e">
        <f ca="1">IF(F11="是",'数据-取费表'!AO11,0)</f>
        <v>#REF!</v>
      </c>
      <c r="C11" s="1872" t="s">
        <v>1650</v>
      </c>
      <c r="D11" s="2703"/>
      <c r="E11" s="2601">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9">
        <f>'数据-取费表'!AN12</f>
        <v>0</v>
      </c>
      <c r="B12" s="2597" t="e">
        <f ca="1">IF(F12="是",'数据-取费表'!AO12,0)</f>
        <v>#REF!</v>
      </c>
      <c r="C12" s="1872" t="s">
        <v>1650</v>
      </c>
      <c r="D12" s="2703"/>
      <c r="E12" s="2601">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0">
        <f>'数据-取费表'!AN13</f>
        <v>0</v>
      </c>
      <c r="B13" s="2597" t="e">
        <f ca="1">IF(F13="是",'数据-取费表'!AO13,0)</f>
        <v>#REF!</v>
      </c>
      <c r="C13" s="1877" t="s">
        <v>1650</v>
      </c>
      <c r="D13" s="2704"/>
      <c r="E13" s="2601">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0"/>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1105.3800000000001</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1665</v>
      </c>
      <c r="B4" s="356"/>
      <c r="C4" s="3666" t="s">
        <v>1666</v>
      </c>
      <c r="D4" s="3667"/>
      <c r="E4" s="3668" t="s">
        <v>1667</v>
      </c>
      <c r="F4" s="3669"/>
      <c r="G4" s="3666" t="s">
        <v>1668</v>
      </c>
      <c r="H4" s="3667"/>
      <c r="I4" s="3666" t="s">
        <v>1669</v>
      </c>
      <c r="J4" s="3667"/>
      <c r="K4" s="1889" t="s">
        <v>1670</v>
      </c>
      <c r="L4" s="2709"/>
      <c r="M4" s="2710"/>
      <c r="N4" s="2710"/>
      <c r="O4" s="2710"/>
      <c r="P4" s="3725" t="s">
        <v>1671</v>
      </c>
      <c r="Q4" s="3726"/>
      <c r="R4" s="3723" t="s">
        <v>1667</v>
      </c>
      <c r="S4" s="3724"/>
      <c r="T4" s="3723" t="s">
        <v>1668</v>
      </c>
      <c r="U4" s="3724"/>
      <c r="V4" s="3679" t="s">
        <v>1669</v>
      </c>
      <c r="W4" s="3679"/>
      <c r="X4" s="1355"/>
      <c r="Y4" s="3723" t="s">
        <v>1671</v>
      </c>
      <c r="Z4" s="3724"/>
      <c r="AA4" s="3722" t="s">
        <v>1667</v>
      </c>
      <c r="AB4" s="3722" t="s">
        <v>1668</v>
      </c>
      <c r="AC4" s="3722" t="s">
        <v>1669</v>
      </c>
    </row>
    <row r="5" spans="1:29" ht="15">
      <c r="A5" s="358"/>
      <c r="B5" s="359"/>
      <c r="C5" s="3659" t="s">
        <v>1672</v>
      </c>
      <c r="D5" s="3656"/>
      <c r="E5" s="3653" t="s">
        <v>1673</v>
      </c>
      <c r="F5" s="3654"/>
      <c r="G5" s="3659" t="s">
        <v>1674</v>
      </c>
      <c r="H5" s="3656"/>
      <c r="I5" s="3659" t="s">
        <v>1675</v>
      </c>
      <c r="J5" s="3656"/>
      <c r="K5" s="1890"/>
      <c r="L5" s="2709"/>
      <c r="M5" s="2710"/>
      <c r="N5" s="2710"/>
      <c r="O5" s="2710"/>
      <c r="P5" s="3727"/>
      <c r="Q5" s="3673"/>
      <c r="R5" s="3651"/>
      <c r="S5" s="3652"/>
      <c r="T5" s="3651"/>
      <c r="U5" s="3652"/>
      <c r="V5" s="3679"/>
      <c r="W5" s="3679"/>
      <c r="X5" s="1355"/>
      <c r="Y5" s="3651"/>
      <c r="Z5" s="3652"/>
      <c r="AA5" s="3645"/>
      <c r="AB5" s="3645"/>
      <c r="AC5" s="3645"/>
    </row>
    <row r="6" spans="1:29" ht="15.75" thickBot="1">
      <c r="A6" s="360"/>
      <c r="B6" s="361"/>
      <c r="C6" s="3657" t="s">
        <v>1676</v>
      </c>
      <c r="D6" s="3658"/>
      <c r="E6" s="3660" t="s">
        <v>1676</v>
      </c>
      <c r="F6" s="3661"/>
      <c r="G6" s="3657" t="s">
        <v>1676</v>
      </c>
      <c r="H6" s="3658"/>
      <c r="I6" s="3657" t="s">
        <v>1676</v>
      </c>
      <c r="J6" s="3658"/>
      <c r="K6" s="1890" t="s">
        <v>1677</v>
      </c>
      <c r="L6" s="2709"/>
      <c r="M6" s="2710"/>
      <c r="N6" s="2710"/>
      <c r="O6" s="2710"/>
      <c r="P6" s="3728"/>
      <c r="Q6" s="3675"/>
      <c r="R6" s="3651"/>
      <c r="S6" s="3652"/>
      <c r="T6" s="3676"/>
      <c r="U6" s="3677"/>
      <c r="V6" s="3679"/>
      <c r="W6" s="3679"/>
      <c r="X6" s="1355"/>
      <c r="Y6" s="3676"/>
      <c r="Z6" s="3677"/>
      <c r="AA6" s="3646"/>
      <c r="AB6" s="3646"/>
      <c r="AC6" s="3646"/>
    </row>
    <row r="7" spans="1:29" s="108" customFormat="1" ht="15.75" thickBot="1">
      <c r="A7" s="362" t="s">
        <v>1678</v>
      </c>
      <c r="B7" s="363"/>
      <c r="C7" s="364">
        <f>'数据-取费表'!B2</f>
        <v>44978</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47" t="s">
        <v>1679</v>
      </c>
      <c r="Q7" s="3681"/>
      <c r="R7" s="701" t="s">
        <v>20</v>
      </c>
      <c r="S7" s="702">
        <f t="shared" ref="S7:S15" si="0">F7</f>
        <v>0</v>
      </c>
      <c r="T7" s="701" t="s">
        <v>20</v>
      </c>
      <c r="U7" s="702">
        <f t="shared" ref="U7:U15" si="1">H7</f>
        <v>0</v>
      </c>
      <c r="V7" s="701" t="s">
        <v>20</v>
      </c>
      <c r="W7" s="702">
        <f t="shared" ref="W7:W15" si="2">J7</f>
        <v>0</v>
      </c>
      <c r="X7" s="703"/>
      <c r="Y7" s="3647" t="s">
        <v>1679</v>
      </c>
      <c r="Z7" s="3648"/>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47" t="s">
        <v>1682</v>
      </c>
      <c r="Q8" s="3648"/>
      <c r="R8" s="701" t="s">
        <v>20</v>
      </c>
      <c r="S8" s="702">
        <f t="shared" si="0"/>
        <v>100</v>
      </c>
      <c r="T8" s="701" t="s">
        <v>20</v>
      </c>
      <c r="U8" s="702">
        <f t="shared" si="1"/>
        <v>100</v>
      </c>
      <c r="V8" s="701" t="s">
        <v>20</v>
      </c>
      <c r="W8" s="702">
        <f t="shared" si="2"/>
        <v>100</v>
      </c>
      <c r="X8" s="703"/>
      <c r="Y8" s="3647" t="s">
        <v>1682</v>
      </c>
      <c r="Z8" s="3648"/>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62" t="s">
        <v>1685</v>
      </c>
      <c r="Q9" s="1343" t="str">
        <f t="shared" ref="Q9:Q15" si="6">B9</f>
        <v>用途</v>
      </c>
      <c r="R9" s="701" t="s">
        <v>14</v>
      </c>
      <c r="S9" s="702">
        <f t="shared" si="0"/>
        <v>100</v>
      </c>
      <c r="T9" s="701" t="s">
        <v>14</v>
      </c>
      <c r="U9" s="702">
        <f t="shared" si="1"/>
        <v>100</v>
      </c>
      <c r="V9" s="701" t="s">
        <v>14</v>
      </c>
      <c r="W9" s="702">
        <f t="shared" si="2"/>
        <v>100</v>
      </c>
      <c r="X9" s="703"/>
      <c r="Y9" s="3617" t="s">
        <v>1686</v>
      </c>
      <c r="Z9" s="52" t="str">
        <f t="shared" ref="Z9:Z15" si="7">Q9</f>
        <v>用途</v>
      </c>
      <c r="AA9" s="704">
        <f t="shared" si="3"/>
        <v>1</v>
      </c>
      <c r="AB9" s="704">
        <f t="shared" si="4"/>
        <v>1</v>
      </c>
      <c r="AC9" s="704">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662"/>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62"/>
      <c r="Q11" s="1343" t="str">
        <f t="shared" si="6"/>
        <v>容积率</v>
      </c>
      <c r="R11" s="701" t="s">
        <v>18</v>
      </c>
      <c r="S11" s="702" t="e">
        <f t="shared" si="0"/>
        <v>#N/A</v>
      </c>
      <c r="T11" s="701" t="s">
        <v>18</v>
      </c>
      <c r="U11" s="702" t="e">
        <f t="shared" si="1"/>
        <v>#N/A</v>
      </c>
      <c r="V11" s="701" t="s">
        <v>18</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62"/>
      <c r="Q12" s="1343">
        <f t="shared" si="6"/>
        <v>111</v>
      </c>
      <c r="R12" s="701" t="s">
        <v>18</v>
      </c>
      <c r="S12" s="702">
        <f t="shared" si="0"/>
        <v>100</v>
      </c>
      <c r="T12" s="701" t="s">
        <v>18</v>
      </c>
      <c r="U12" s="702">
        <f t="shared" si="1"/>
        <v>100</v>
      </c>
      <c r="V12" s="701" t="s">
        <v>18</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62"/>
      <c r="Q13" s="1343">
        <f t="shared" si="6"/>
        <v>111</v>
      </c>
      <c r="R13" s="701" t="s">
        <v>18</v>
      </c>
      <c r="S13" s="702">
        <f t="shared" si="0"/>
        <v>100</v>
      </c>
      <c r="T13" s="701" t="s">
        <v>18</v>
      </c>
      <c r="U13" s="702">
        <f t="shared" si="1"/>
        <v>100</v>
      </c>
      <c r="V13" s="701" t="s">
        <v>18</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62"/>
      <c r="Q14" s="1343">
        <f t="shared" si="6"/>
        <v>111</v>
      </c>
      <c r="R14" s="701" t="s">
        <v>18</v>
      </c>
      <c r="S14" s="702">
        <f t="shared" si="0"/>
        <v>100</v>
      </c>
      <c r="T14" s="701" t="s">
        <v>18</v>
      </c>
      <c r="U14" s="702">
        <f t="shared" si="1"/>
        <v>100</v>
      </c>
      <c r="V14" s="701" t="s">
        <v>18</v>
      </c>
      <c r="W14" s="702">
        <f t="shared" si="2"/>
        <v>100</v>
      </c>
      <c r="X14" s="703"/>
      <c r="Y14" s="3617"/>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82" t="s">
        <v>1690</v>
      </c>
      <c r="Q15" s="1352" t="str">
        <f t="shared" si="6"/>
        <v>居住社区成熟度</v>
      </c>
      <c r="R15" s="705" t="s">
        <v>18</v>
      </c>
      <c r="S15" s="706">
        <f t="shared" si="0"/>
        <v>100</v>
      </c>
      <c r="T15" s="705" t="s">
        <v>18</v>
      </c>
      <c r="U15" s="706">
        <f t="shared" si="1"/>
        <v>100</v>
      </c>
      <c r="V15" s="705" t="s">
        <v>18</v>
      </c>
      <c r="W15" s="706">
        <f t="shared" si="2"/>
        <v>100</v>
      </c>
      <c r="X15" s="1355"/>
      <c r="Y15" s="3684"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683"/>
      <c r="Q16" s="1352"/>
      <c r="R16" s="705"/>
      <c r="S16" s="706"/>
      <c r="T16" s="705"/>
      <c r="U16" s="706"/>
      <c r="V16" s="705"/>
      <c r="W16" s="706"/>
      <c r="X16" s="1355"/>
      <c r="Y16" s="3685"/>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83"/>
      <c r="Q17" s="1352" t="str">
        <f>B17</f>
        <v>交通便捷度</v>
      </c>
      <c r="R17" s="705" t="s">
        <v>18</v>
      </c>
      <c r="S17" s="706">
        <f>F17</f>
        <v>100</v>
      </c>
      <c r="T17" s="705" t="s">
        <v>18</v>
      </c>
      <c r="U17" s="706">
        <f>H17</f>
        <v>100</v>
      </c>
      <c r="V17" s="705" t="s">
        <v>18</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683"/>
      <c r="Q18" s="1352"/>
      <c r="R18" s="705"/>
      <c r="S18" s="706"/>
      <c r="T18" s="705"/>
      <c r="U18" s="706"/>
      <c r="V18" s="705"/>
      <c r="W18" s="706"/>
      <c r="X18" s="1355"/>
      <c r="Y18" s="3685"/>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83"/>
      <c r="Q19" s="1352" t="str">
        <f>B19</f>
        <v>公共配套设施</v>
      </c>
      <c r="R19" s="705" t="s">
        <v>18</v>
      </c>
      <c r="S19" s="706">
        <f>F19</f>
        <v>100</v>
      </c>
      <c r="T19" s="705" t="s">
        <v>18</v>
      </c>
      <c r="U19" s="706">
        <f>H19</f>
        <v>100</v>
      </c>
      <c r="V19" s="705" t="s">
        <v>18</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683"/>
      <c r="Q20" s="1352"/>
      <c r="R20" s="705"/>
      <c r="S20" s="706"/>
      <c r="T20" s="705"/>
      <c r="U20" s="706"/>
      <c r="V20" s="705"/>
      <c r="W20" s="706"/>
      <c r="X20" s="1355"/>
      <c r="Y20" s="3685"/>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683"/>
      <c r="Q22" s="1352"/>
      <c r="R22" s="705"/>
      <c r="S22" s="706"/>
      <c r="T22" s="705"/>
      <c r="U22" s="706"/>
      <c r="V22" s="705"/>
      <c r="W22" s="706"/>
      <c r="X22" s="1355"/>
      <c r="Y22" s="3685"/>
      <c r="Z22" s="1356"/>
      <c r="AA22" s="1353">
        <v>1</v>
      </c>
      <c r="AB22" s="1353">
        <v>1</v>
      </c>
      <c r="AC22" s="1353">
        <v>1</v>
      </c>
    </row>
    <row r="23" spans="1:29" ht="15">
      <c r="A23" s="379"/>
      <c r="B23" s="402" t="s">
        <v>1260</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83"/>
      <c r="Q23" s="1352" t="str">
        <f>B23</f>
        <v>自然及人文环境</v>
      </c>
      <c r="R23" s="705" t="s">
        <v>18</v>
      </c>
      <c r="S23" s="706">
        <f>F23</f>
        <v>100</v>
      </c>
      <c r="T23" s="705" t="s">
        <v>18</v>
      </c>
      <c r="U23" s="706">
        <f>H23</f>
        <v>100</v>
      </c>
      <c r="V23" s="705" t="s">
        <v>18</v>
      </c>
      <c r="W23" s="706">
        <f>J23</f>
        <v>100</v>
      </c>
      <c r="X23" s="1355"/>
      <c r="Y23" s="36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683"/>
      <c r="Q24" s="1352"/>
      <c r="R24" s="705"/>
      <c r="S24" s="706"/>
      <c r="T24" s="705"/>
      <c r="U24" s="706"/>
      <c r="V24" s="705"/>
      <c r="W24" s="706"/>
      <c r="X24" s="1355"/>
      <c r="Y24" s="3685"/>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5"/>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683"/>
      <c r="Q26" s="1352" t="str">
        <f t="shared" si="11"/>
        <v>朝向</v>
      </c>
      <c r="R26" s="705" t="s">
        <v>18</v>
      </c>
      <c r="S26" s="706">
        <f t="shared" si="12"/>
        <v>100</v>
      </c>
      <c r="T26" s="705" t="s">
        <v>18</v>
      </c>
      <c r="U26" s="706">
        <f t="shared" si="13"/>
        <v>100</v>
      </c>
      <c r="V26" s="705" t="s">
        <v>18</v>
      </c>
      <c r="W26" s="706">
        <f t="shared" si="14"/>
        <v>100</v>
      </c>
      <c r="X26" s="1355"/>
      <c r="Y26" s="368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683"/>
      <c r="Q27" s="1343">
        <f t="shared" si="11"/>
        <v>111</v>
      </c>
      <c r="R27" s="701" t="s">
        <v>18</v>
      </c>
      <c r="S27" s="702">
        <f t="shared" si="12"/>
        <v>100</v>
      </c>
      <c r="T27" s="701" t="s">
        <v>18</v>
      </c>
      <c r="U27" s="702">
        <f t="shared" si="13"/>
        <v>100</v>
      </c>
      <c r="V27" s="701" t="s">
        <v>18</v>
      </c>
      <c r="W27" s="702">
        <f t="shared" si="14"/>
        <v>100</v>
      </c>
      <c r="X27" s="703"/>
      <c r="Y27" s="368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683"/>
      <c r="Q28" s="1352">
        <f t="shared" si="11"/>
        <v>111</v>
      </c>
      <c r="R28" s="705" t="s">
        <v>18</v>
      </c>
      <c r="S28" s="706">
        <f t="shared" si="12"/>
        <v>100</v>
      </c>
      <c r="T28" s="705" t="s">
        <v>18</v>
      </c>
      <c r="U28" s="706">
        <f t="shared" si="13"/>
        <v>100</v>
      </c>
      <c r="V28" s="705" t="s">
        <v>18</v>
      </c>
      <c r="W28" s="706">
        <f t="shared" si="14"/>
        <v>100</v>
      </c>
      <c r="X28" s="1355"/>
      <c r="Y28" s="36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683"/>
      <c r="Q29" s="1352">
        <f t="shared" si="11"/>
        <v>111</v>
      </c>
      <c r="R29" s="705" t="s">
        <v>18</v>
      </c>
      <c r="S29" s="706">
        <f t="shared" si="12"/>
        <v>100</v>
      </c>
      <c r="T29" s="705" t="s">
        <v>18</v>
      </c>
      <c r="U29" s="706">
        <f t="shared" si="13"/>
        <v>100</v>
      </c>
      <c r="V29" s="705" t="s">
        <v>18</v>
      </c>
      <c r="W29" s="706">
        <f t="shared" si="14"/>
        <v>100</v>
      </c>
      <c r="X29" s="1355"/>
      <c r="Y29" s="36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683"/>
      <c r="Q30" s="1352">
        <f t="shared" si="11"/>
        <v>111</v>
      </c>
      <c r="R30" s="705" t="s">
        <v>18</v>
      </c>
      <c r="S30" s="706">
        <f t="shared" si="12"/>
        <v>100</v>
      </c>
      <c r="T30" s="705" t="s">
        <v>18</v>
      </c>
      <c r="U30" s="706">
        <f t="shared" si="13"/>
        <v>100</v>
      </c>
      <c r="V30" s="705" t="s">
        <v>18</v>
      </c>
      <c r="W30" s="706">
        <f t="shared" si="14"/>
        <v>100</v>
      </c>
      <c r="X30" s="1355"/>
      <c r="Y30" s="368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683"/>
      <c r="Q31" s="1352">
        <f t="shared" si="11"/>
        <v>111</v>
      </c>
      <c r="R31" s="705" t="s">
        <v>18</v>
      </c>
      <c r="S31" s="706">
        <f t="shared" si="12"/>
        <v>100</v>
      </c>
      <c r="T31" s="705" t="s">
        <v>18</v>
      </c>
      <c r="U31" s="706">
        <f t="shared" si="13"/>
        <v>100</v>
      </c>
      <c r="V31" s="705" t="s">
        <v>18</v>
      </c>
      <c r="W31" s="706">
        <f t="shared" si="14"/>
        <v>100</v>
      </c>
      <c r="X31" s="1355"/>
      <c r="Y31" s="3685"/>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86" t="s">
        <v>1695</v>
      </c>
      <c r="Q32" s="1352" t="str">
        <f t="shared" si="11"/>
        <v>建筑类型</v>
      </c>
      <c r="R32" s="705" t="s">
        <v>18</v>
      </c>
      <c r="S32" s="706">
        <f t="shared" si="12"/>
        <v>100</v>
      </c>
      <c r="T32" s="705" t="s">
        <v>18</v>
      </c>
      <c r="U32" s="706">
        <f t="shared" si="13"/>
        <v>100</v>
      </c>
      <c r="V32" s="705" t="s">
        <v>18</v>
      </c>
      <c r="W32" s="706">
        <f t="shared" si="14"/>
        <v>100</v>
      </c>
      <c r="X32" s="1355"/>
      <c r="Y32" s="3689"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87"/>
      <c r="Q34" s="1352" t="str">
        <f t="shared" si="11"/>
        <v>建筑结构</v>
      </c>
      <c r="R34" s="705" t="s">
        <v>18</v>
      </c>
      <c r="S34" s="706">
        <f t="shared" si="12"/>
        <v>100</v>
      </c>
      <c r="T34" s="705" t="s">
        <v>18</v>
      </c>
      <c r="U34" s="706">
        <f t="shared" si="13"/>
        <v>100</v>
      </c>
      <c r="V34" s="705" t="s">
        <v>18</v>
      </c>
      <c r="W34" s="706">
        <f t="shared" si="14"/>
        <v>100</v>
      </c>
      <c r="X34" s="1355"/>
      <c r="Y34" s="3689"/>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87"/>
      <c r="Q35" s="1352" t="str">
        <f t="shared" si="11"/>
        <v>建筑品质</v>
      </c>
      <c r="R35" s="705" t="s">
        <v>18</v>
      </c>
      <c r="S35" s="706">
        <f t="shared" si="12"/>
        <v>100</v>
      </c>
      <c r="T35" s="705" t="s">
        <v>18</v>
      </c>
      <c r="U35" s="706">
        <f t="shared" si="13"/>
        <v>100</v>
      </c>
      <c r="V35" s="705" t="s">
        <v>18</v>
      </c>
      <c r="W35" s="706">
        <f t="shared" si="14"/>
        <v>100</v>
      </c>
      <c r="X35" s="1355"/>
      <c r="Y35" s="3689"/>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87"/>
      <c r="Q36" s="1352" t="str">
        <f t="shared" si="11"/>
        <v>公共部分装修</v>
      </c>
      <c r="R36" s="705" t="s">
        <v>18</v>
      </c>
      <c r="S36" s="706">
        <f t="shared" si="12"/>
        <v>100</v>
      </c>
      <c r="T36" s="705" t="s">
        <v>18</v>
      </c>
      <c r="U36" s="706">
        <f t="shared" si="13"/>
        <v>100</v>
      </c>
      <c r="V36" s="705" t="s">
        <v>18</v>
      </c>
      <c r="W36" s="706">
        <f t="shared" si="14"/>
        <v>100</v>
      </c>
      <c r="X36" s="1355"/>
      <c r="Y36" s="3689"/>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87"/>
      <c r="Q37" s="1343"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87" t="s">
        <v>1695</v>
      </c>
      <c r="Q38" s="1352" t="str">
        <f t="shared" si="11"/>
        <v>物业管理</v>
      </c>
      <c r="R38" s="705" t="s">
        <v>18</v>
      </c>
      <c r="S38" s="706">
        <f t="shared" si="12"/>
        <v>100</v>
      </c>
      <c r="T38" s="705" t="s">
        <v>18</v>
      </c>
      <c r="U38" s="706">
        <f t="shared" si="13"/>
        <v>100</v>
      </c>
      <c r="V38" s="705" t="s">
        <v>18</v>
      </c>
      <c r="W38" s="706">
        <f t="shared" si="14"/>
        <v>100</v>
      </c>
      <c r="X38" s="1355"/>
      <c r="Y38" s="3689"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87"/>
      <c r="Q39" s="1352" t="str">
        <f t="shared" si="11"/>
        <v>市政基础设施</v>
      </c>
      <c r="R39" s="705" t="s">
        <v>18</v>
      </c>
      <c r="S39" s="706">
        <f t="shared" si="12"/>
        <v>100</v>
      </c>
      <c r="T39" s="705" t="s">
        <v>18</v>
      </c>
      <c r="U39" s="706">
        <f t="shared" si="13"/>
        <v>100</v>
      </c>
      <c r="V39" s="705" t="s">
        <v>18</v>
      </c>
      <c r="W39" s="706">
        <f t="shared" si="14"/>
        <v>100</v>
      </c>
      <c r="X39" s="1355"/>
      <c r="Y39" s="3689"/>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87"/>
      <c r="Q40" s="1352" t="str">
        <f t="shared" si="11"/>
        <v>房型</v>
      </c>
      <c r="R40" s="705" t="s">
        <v>18</v>
      </c>
      <c r="S40" s="706">
        <f t="shared" si="12"/>
        <v>100</v>
      </c>
      <c r="T40" s="705" t="s">
        <v>18</v>
      </c>
      <c r="U40" s="706">
        <f t="shared" si="13"/>
        <v>100</v>
      </c>
      <c r="V40" s="705" t="s">
        <v>18</v>
      </c>
      <c r="W40" s="706">
        <f t="shared" si="14"/>
        <v>100</v>
      </c>
      <c r="X40" s="1355"/>
      <c r="Y40" s="3689"/>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87"/>
      <c r="Q42" s="1352" t="str">
        <f t="shared" si="11"/>
        <v>内部装修</v>
      </c>
      <c r="R42" s="705" t="s">
        <v>18</v>
      </c>
      <c r="S42" s="706">
        <f t="shared" si="12"/>
        <v>100</v>
      </c>
      <c r="T42" s="705" t="s">
        <v>18</v>
      </c>
      <c r="U42" s="706">
        <f t="shared" si="13"/>
        <v>100</v>
      </c>
      <c r="V42" s="705" t="s">
        <v>18</v>
      </c>
      <c r="W42" s="706">
        <f t="shared" si="14"/>
        <v>100</v>
      </c>
      <c r="X42" s="1355"/>
      <c r="Y42" s="3689"/>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87"/>
      <c r="Q43" s="1352" t="str">
        <f t="shared" si="11"/>
        <v>内部装修维护情况</v>
      </c>
      <c r="R43" s="705" t="s">
        <v>18</v>
      </c>
      <c r="S43" s="706">
        <f t="shared" si="12"/>
        <v>100</v>
      </c>
      <c r="T43" s="705" t="s">
        <v>18</v>
      </c>
      <c r="U43" s="706">
        <f t="shared" si="13"/>
        <v>100</v>
      </c>
      <c r="V43" s="705" t="s">
        <v>18</v>
      </c>
      <c r="W43" s="706">
        <f t="shared" si="14"/>
        <v>100</v>
      </c>
      <c r="X43" s="1355"/>
      <c r="Y43" s="368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87"/>
      <c r="Q44" s="1343">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87"/>
      <c r="Q45" s="1352">
        <f t="shared" si="11"/>
        <v>111</v>
      </c>
      <c r="R45" s="705" t="s">
        <v>18</v>
      </c>
      <c r="S45" s="706">
        <f t="shared" si="12"/>
        <v>100</v>
      </c>
      <c r="T45" s="705" t="s">
        <v>18</v>
      </c>
      <c r="U45" s="706">
        <f t="shared" si="13"/>
        <v>100</v>
      </c>
      <c r="V45" s="705" t="s">
        <v>18</v>
      </c>
      <c r="W45" s="706">
        <f t="shared" si="14"/>
        <v>100</v>
      </c>
      <c r="X45" s="1355"/>
      <c r="Y45" s="368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88"/>
      <c r="Q46" s="1352">
        <f t="shared" si="11"/>
        <v>111</v>
      </c>
      <c r="R46" s="705" t="s">
        <v>17</v>
      </c>
      <c r="S46" s="706">
        <f t="shared" si="12"/>
        <v>100</v>
      </c>
      <c r="T46" s="705" t="s">
        <v>17</v>
      </c>
      <c r="U46" s="706">
        <f t="shared" si="13"/>
        <v>100</v>
      </c>
      <c r="V46" s="705" t="s">
        <v>17</v>
      </c>
      <c r="W46" s="706">
        <f t="shared" si="14"/>
        <v>100</v>
      </c>
      <c r="X46" s="1355"/>
      <c r="Y46" s="3690"/>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8"/>
      <c r="M47" s="2719"/>
      <c r="N47" s="2710"/>
      <c r="O47" s="2719"/>
      <c r="P47" s="3691" t="str">
        <f>A47</f>
        <v>成交单价（元/平方米）</v>
      </c>
      <c r="Q47" s="3691"/>
      <c r="R47" s="3692">
        <f>E47</f>
        <v>0</v>
      </c>
      <c r="S47" s="3692"/>
      <c r="T47" s="3692">
        <f>G47</f>
        <v>0</v>
      </c>
      <c r="U47" s="3692"/>
      <c r="V47" s="3692">
        <f>I47</f>
        <v>0</v>
      </c>
      <c r="W47" s="3692"/>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8"/>
      <c r="M48" s="2719"/>
      <c r="N48" s="2719"/>
      <c r="O48" s="2719"/>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8"/>
      <c r="M49" s="2719"/>
      <c r="N49" s="2719"/>
      <c r="O49" s="2719"/>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0"/>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1105.3800000000001</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1768</v>
      </c>
      <c r="B4" s="356"/>
      <c r="C4" s="3666" t="s">
        <v>1769</v>
      </c>
      <c r="D4" s="3667"/>
      <c r="E4" s="3668" t="s">
        <v>1770</v>
      </c>
      <c r="F4" s="3669"/>
      <c r="G4" s="3666" t="s">
        <v>1771</v>
      </c>
      <c r="H4" s="3667"/>
      <c r="I4" s="3666" t="s">
        <v>1772</v>
      </c>
      <c r="J4" s="3667"/>
      <c r="K4" s="559" t="s">
        <v>1773</v>
      </c>
      <c r="L4" s="2709"/>
      <c r="M4" s="2710"/>
      <c r="N4" s="2710"/>
      <c r="O4" s="2710"/>
      <c r="P4" s="3725" t="s">
        <v>1774</v>
      </c>
      <c r="Q4" s="3726"/>
      <c r="R4" s="3723" t="s">
        <v>1770</v>
      </c>
      <c r="S4" s="3724"/>
      <c r="T4" s="3723" t="s">
        <v>1771</v>
      </c>
      <c r="U4" s="3724"/>
      <c r="V4" s="3679" t="s">
        <v>1772</v>
      </c>
      <c r="W4" s="3679"/>
      <c r="X4" s="1355"/>
      <c r="Y4" s="3723" t="s">
        <v>1774</v>
      </c>
      <c r="Z4" s="3724"/>
      <c r="AA4" s="3722" t="s">
        <v>1770</v>
      </c>
      <c r="AB4" s="3679" t="s">
        <v>1771</v>
      </c>
      <c r="AC4" s="3722" t="s">
        <v>1772</v>
      </c>
    </row>
    <row r="5" spans="1:29" ht="15">
      <c r="A5" s="358"/>
      <c r="B5" s="359"/>
      <c r="C5" s="3659" t="s">
        <v>1672</v>
      </c>
      <c r="D5" s="3656"/>
      <c r="E5" s="3653" t="s">
        <v>1673</v>
      </c>
      <c r="F5" s="3654"/>
      <c r="G5" s="3659" t="s">
        <v>1674</v>
      </c>
      <c r="H5" s="3656"/>
      <c r="I5" s="3659" t="s">
        <v>1675</v>
      </c>
      <c r="J5" s="3656"/>
      <c r="K5" s="559"/>
      <c r="L5" s="2709"/>
      <c r="M5" s="2710"/>
      <c r="N5" s="2710"/>
      <c r="O5" s="2710"/>
      <c r="P5" s="3727"/>
      <c r="Q5" s="3673"/>
      <c r="R5" s="3651"/>
      <c r="S5" s="3652"/>
      <c r="T5" s="3651"/>
      <c r="U5" s="3652"/>
      <c r="V5" s="3679"/>
      <c r="W5" s="3679"/>
      <c r="X5" s="1355"/>
      <c r="Y5" s="3651"/>
      <c r="Z5" s="3652"/>
      <c r="AA5" s="3645"/>
      <c r="AB5" s="3679"/>
      <c r="AC5" s="3645"/>
    </row>
    <row r="6" spans="1:29" ht="15.75" thickBot="1">
      <c r="A6" s="360"/>
      <c r="B6" s="361"/>
      <c r="C6" s="3657" t="s">
        <v>1676</v>
      </c>
      <c r="D6" s="3658"/>
      <c r="E6" s="3660" t="s">
        <v>1676</v>
      </c>
      <c r="F6" s="3661"/>
      <c r="G6" s="3657" t="s">
        <v>1676</v>
      </c>
      <c r="H6" s="3658"/>
      <c r="I6" s="3657" t="s">
        <v>1676</v>
      </c>
      <c r="J6" s="3658"/>
      <c r="K6" s="559" t="s">
        <v>1677</v>
      </c>
      <c r="L6" s="2709"/>
      <c r="M6" s="2710"/>
      <c r="N6" s="2710"/>
      <c r="O6" s="2710"/>
      <c r="P6" s="3728"/>
      <c r="Q6" s="3675"/>
      <c r="R6" s="3651"/>
      <c r="S6" s="3652"/>
      <c r="T6" s="3676"/>
      <c r="U6" s="3677"/>
      <c r="V6" s="3679"/>
      <c r="W6" s="3679"/>
      <c r="X6" s="1355"/>
      <c r="Y6" s="3676"/>
      <c r="Z6" s="3677"/>
      <c r="AA6" s="3646"/>
      <c r="AB6" s="3679"/>
      <c r="AC6" s="3646"/>
    </row>
    <row r="7" spans="1:29" s="108" customFormat="1" ht="15.75" thickBot="1">
      <c r="A7" s="362" t="s">
        <v>1678</v>
      </c>
      <c r="B7" s="363"/>
      <c r="C7" s="364">
        <f>'数据-取费表'!B2</f>
        <v>44978</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47" t="s">
        <v>1679</v>
      </c>
      <c r="Q7" s="3681"/>
      <c r="R7" s="701" t="s">
        <v>14</v>
      </c>
      <c r="S7" s="702">
        <f t="shared" ref="S7:S15" si="0">F7</f>
        <v>0</v>
      </c>
      <c r="T7" s="701" t="s">
        <v>14</v>
      </c>
      <c r="U7" s="702">
        <f t="shared" ref="U7:U15" si="1">H7</f>
        <v>0</v>
      </c>
      <c r="V7" s="701" t="s">
        <v>14</v>
      </c>
      <c r="W7" s="702">
        <f t="shared" ref="W7:W15" si="2">J7</f>
        <v>0</v>
      </c>
      <c r="X7" s="703"/>
      <c r="Y7" s="3647" t="s">
        <v>1679</v>
      </c>
      <c r="Z7" s="3648"/>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47" t="s">
        <v>1682</v>
      </c>
      <c r="Q8" s="3648"/>
      <c r="R8" s="701" t="s">
        <v>14</v>
      </c>
      <c r="S8" s="702">
        <f t="shared" si="0"/>
        <v>100</v>
      </c>
      <c r="T8" s="701" t="s">
        <v>14</v>
      </c>
      <c r="U8" s="702">
        <f t="shared" si="1"/>
        <v>100</v>
      </c>
      <c r="V8" s="701" t="s">
        <v>14</v>
      </c>
      <c r="W8" s="702">
        <f t="shared" si="2"/>
        <v>100</v>
      </c>
      <c r="X8" s="703"/>
      <c r="Y8" s="3647" t="s">
        <v>1682</v>
      </c>
      <c r="Z8" s="3648"/>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62" t="s">
        <v>1685</v>
      </c>
      <c r="Q9" s="1343" t="str">
        <f t="shared" ref="Q9:Q15" si="6">B9</f>
        <v>用途</v>
      </c>
      <c r="R9" s="701" t="s">
        <v>14</v>
      </c>
      <c r="S9" s="702">
        <f t="shared" si="0"/>
        <v>100</v>
      </c>
      <c r="T9" s="701" t="s">
        <v>14</v>
      </c>
      <c r="U9" s="702">
        <f t="shared" si="1"/>
        <v>100</v>
      </c>
      <c r="V9" s="701" t="s">
        <v>14</v>
      </c>
      <c r="W9" s="702">
        <f t="shared" si="2"/>
        <v>100</v>
      </c>
      <c r="X9" s="703"/>
      <c r="Y9" s="3617" t="s">
        <v>1686</v>
      </c>
      <c r="Z9" s="52" t="str">
        <f t="shared" ref="Z9:Z15" si="7">Q9</f>
        <v>用途</v>
      </c>
      <c r="AA9" s="704">
        <f t="shared" si="3"/>
        <v>1</v>
      </c>
      <c r="AB9" s="704">
        <f t="shared" si="4"/>
        <v>1</v>
      </c>
      <c r="AC9" s="704">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62"/>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62"/>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2"/>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2"/>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2"/>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1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82" t="s">
        <v>1690</v>
      </c>
      <c r="Q15" s="1352" t="str">
        <f t="shared" si="6"/>
        <v>商业繁华度</v>
      </c>
      <c r="R15" s="705" t="s">
        <v>14</v>
      </c>
      <c r="S15" s="706">
        <f t="shared" si="0"/>
        <v>100</v>
      </c>
      <c r="T15" s="705" t="s">
        <v>14</v>
      </c>
      <c r="U15" s="706">
        <f t="shared" si="1"/>
        <v>100</v>
      </c>
      <c r="V15" s="705" t="s">
        <v>14</v>
      </c>
      <c r="W15" s="706">
        <f t="shared" si="2"/>
        <v>100</v>
      </c>
      <c r="X15" s="1355"/>
      <c r="Y15" s="3684"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683"/>
      <c r="Q16" s="1352"/>
      <c r="R16" s="705"/>
      <c r="S16" s="706"/>
      <c r="T16" s="705"/>
      <c r="U16" s="706"/>
      <c r="V16" s="705"/>
      <c r="W16" s="706"/>
      <c r="X16" s="1355"/>
      <c r="Y16" s="3685"/>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83"/>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683"/>
      <c r="Q18" s="1352"/>
      <c r="R18" s="705"/>
      <c r="S18" s="706"/>
      <c r="T18" s="705"/>
      <c r="U18" s="706"/>
      <c r="V18" s="705"/>
      <c r="W18" s="706"/>
      <c r="X18" s="1355"/>
      <c r="Y18" s="3685"/>
      <c r="Z18" s="1356"/>
      <c r="AA18" s="1353">
        <v>1</v>
      </c>
      <c r="AB18" s="1353">
        <v>1</v>
      </c>
      <c r="AC18" s="1353">
        <v>1</v>
      </c>
    </row>
    <row r="19" spans="1:29" ht="15">
      <c r="A19" s="379"/>
      <c r="B19" s="402" t="s">
        <v>1777</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83"/>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683"/>
      <c r="Q20" s="1352"/>
      <c r="R20" s="705"/>
      <c r="S20" s="706"/>
      <c r="T20" s="705"/>
      <c r="U20" s="706"/>
      <c r="V20" s="705"/>
      <c r="W20" s="706"/>
      <c r="X20" s="1355"/>
      <c r="Y20" s="3685"/>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683"/>
      <c r="Q22" s="1352"/>
      <c r="R22" s="705"/>
      <c r="S22" s="706"/>
      <c r="T22" s="705"/>
      <c r="U22" s="706"/>
      <c r="V22" s="705"/>
      <c r="W22" s="706"/>
      <c r="X22" s="1355"/>
      <c r="Y22" s="3685"/>
      <c r="Z22" s="1356"/>
      <c r="AA22" s="1353">
        <v>1</v>
      </c>
      <c r="AB22" s="1353">
        <v>1</v>
      </c>
      <c r="AC22" s="1353">
        <v>1</v>
      </c>
    </row>
    <row r="23" spans="1:29" ht="15">
      <c r="A23" s="379"/>
      <c r="B23" s="402" t="s">
        <v>1260</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83"/>
      <c r="Q23" s="1352" t="str">
        <f>B23</f>
        <v>自然及人文环境</v>
      </c>
      <c r="R23" s="705" t="s">
        <v>14</v>
      </c>
      <c r="S23" s="706">
        <f>F23</f>
        <v>100</v>
      </c>
      <c r="T23" s="705" t="s">
        <v>14</v>
      </c>
      <c r="U23" s="706">
        <f>H23</f>
        <v>100</v>
      </c>
      <c r="V23" s="705" t="s">
        <v>14</v>
      </c>
      <c r="W23" s="706">
        <f>J23</f>
        <v>100</v>
      </c>
      <c r="X23" s="1355"/>
      <c r="Y23" s="368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683"/>
      <c r="Q24" s="1352"/>
      <c r="R24" s="705"/>
      <c r="S24" s="706"/>
      <c r="T24" s="705"/>
      <c r="U24" s="706"/>
      <c r="V24" s="705"/>
      <c r="W24" s="706"/>
      <c r="X24" s="1355"/>
      <c r="Y24" s="3685"/>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83"/>
      <c r="Q25" s="1352" t="str">
        <f t="shared" ref="Q25:Q46" si="11">B25</f>
        <v>临街状况</v>
      </c>
      <c r="R25" s="705" t="s">
        <v>14</v>
      </c>
      <c r="S25" s="706">
        <f>F25</f>
        <v>100</v>
      </c>
      <c r="T25" s="705" t="s">
        <v>14</v>
      </c>
      <c r="U25" s="706">
        <f>H25</f>
        <v>100</v>
      </c>
      <c r="V25" s="705" t="s">
        <v>14</v>
      </c>
      <c r="W25" s="706">
        <f>J25</f>
        <v>100</v>
      </c>
      <c r="X25" s="1355"/>
      <c r="Y25" s="3685"/>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83"/>
      <c r="Q26" s="1352" t="str">
        <f t="shared" si="11"/>
        <v>平面位置/可视性</v>
      </c>
      <c r="R26" s="705" t="s">
        <v>14</v>
      </c>
      <c r="S26" s="706">
        <f>F26</f>
        <v>100</v>
      </c>
      <c r="T26" s="705" t="s">
        <v>14</v>
      </c>
      <c r="U26" s="706">
        <f>H26</f>
        <v>100</v>
      </c>
      <c r="V26" s="705" t="s">
        <v>14</v>
      </c>
      <c r="W26" s="706">
        <f>J26</f>
        <v>100</v>
      </c>
      <c r="X26" s="1355"/>
      <c r="Y26" s="3685"/>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683"/>
      <c r="Q27" s="1343" t="str">
        <f t="shared" si="11"/>
        <v>人流量</v>
      </c>
      <c r="R27" s="701" t="s">
        <v>14</v>
      </c>
      <c r="S27" s="702">
        <f>F27</f>
        <v>100</v>
      </c>
      <c r="T27" s="701" t="s">
        <v>14</v>
      </c>
      <c r="U27" s="702">
        <f>H27</f>
        <v>100</v>
      </c>
      <c r="V27" s="701" t="s">
        <v>14</v>
      </c>
      <c r="W27" s="702">
        <f>J27</f>
        <v>100</v>
      </c>
      <c r="X27" s="703"/>
      <c r="Y27" s="3685"/>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83"/>
      <c r="Q29" s="1352">
        <f t="shared" si="11"/>
        <v>111</v>
      </c>
      <c r="R29" s="705" t="s">
        <v>14</v>
      </c>
      <c r="S29" s="706">
        <f t="shared" si="12"/>
        <v>100</v>
      </c>
      <c r="T29" s="705" t="s">
        <v>14</v>
      </c>
      <c r="U29" s="706">
        <f t="shared" si="13"/>
        <v>100</v>
      </c>
      <c r="V29" s="705" t="s">
        <v>14</v>
      </c>
      <c r="W29" s="706">
        <f t="shared" si="14"/>
        <v>100</v>
      </c>
      <c r="X29" s="1355"/>
      <c r="Y29" s="368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83"/>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83"/>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686" t="s">
        <v>1695</v>
      </c>
      <c r="Q32" s="1352" t="str">
        <f t="shared" si="11"/>
        <v>商业类型</v>
      </c>
      <c r="R32" s="705" t="s">
        <v>14</v>
      </c>
      <c r="S32" s="706">
        <f t="shared" si="12"/>
        <v>100</v>
      </c>
      <c r="T32" s="705" t="s">
        <v>14</v>
      </c>
      <c r="U32" s="706">
        <f t="shared" si="13"/>
        <v>100</v>
      </c>
      <c r="V32" s="705" t="s">
        <v>14</v>
      </c>
      <c r="W32" s="706">
        <f t="shared" si="14"/>
        <v>100</v>
      </c>
      <c r="X32" s="1355"/>
      <c r="Y32" s="3689"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87"/>
      <c r="Q33" s="707" t="str">
        <f t="shared" si="11"/>
        <v>项目建筑规模</v>
      </c>
      <c r="R33" s="708" t="s">
        <v>14</v>
      </c>
      <c r="S33" s="709" t="e">
        <f t="shared" si="12"/>
        <v>#N/A</v>
      </c>
      <c r="T33" s="708" t="s">
        <v>14</v>
      </c>
      <c r="U33" s="709" t="e">
        <f t="shared" si="13"/>
        <v>#N/A</v>
      </c>
      <c r="V33" s="708" t="s">
        <v>14</v>
      </c>
      <c r="W33" s="709" t="e">
        <f t="shared" si="14"/>
        <v>#N/A</v>
      </c>
      <c r="X33" s="710"/>
      <c r="Y33" s="3689"/>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687"/>
      <c r="Q34" s="1352" t="str">
        <f t="shared" si="11"/>
        <v>建筑结构</v>
      </c>
      <c r="R34" s="705" t="s">
        <v>14</v>
      </c>
      <c r="S34" s="706">
        <f t="shared" si="12"/>
        <v>100</v>
      </c>
      <c r="T34" s="705" t="s">
        <v>14</v>
      </c>
      <c r="U34" s="706">
        <f t="shared" si="13"/>
        <v>100</v>
      </c>
      <c r="V34" s="705" t="s">
        <v>14</v>
      </c>
      <c r="W34" s="706">
        <f t="shared" si="14"/>
        <v>100</v>
      </c>
      <c r="X34" s="1355"/>
      <c r="Y34" s="3689"/>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87"/>
      <c r="Q35" s="1352" t="str">
        <f t="shared" si="11"/>
        <v>公共部分装修</v>
      </c>
      <c r="R35" s="705" t="s">
        <v>14</v>
      </c>
      <c r="S35" s="706">
        <f t="shared" si="12"/>
        <v>100</v>
      </c>
      <c r="T35" s="705" t="s">
        <v>14</v>
      </c>
      <c r="U35" s="706">
        <f t="shared" si="13"/>
        <v>100</v>
      </c>
      <c r="V35" s="705" t="s">
        <v>14</v>
      </c>
      <c r="W35" s="706">
        <f t="shared" si="14"/>
        <v>100</v>
      </c>
      <c r="X35" s="1355"/>
      <c r="Y35" s="3689"/>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87"/>
      <c r="Q36" s="1352" t="str">
        <f t="shared" si="11"/>
        <v>成新度</v>
      </c>
      <c r="R36" s="705" t="s">
        <v>14</v>
      </c>
      <c r="S36" s="706" t="e">
        <f t="shared" si="12"/>
        <v>#N/A</v>
      </c>
      <c r="T36" s="705" t="s">
        <v>14</v>
      </c>
      <c r="U36" s="706" t="e">
        <f t="shared" si="13"/>
        <v>#N/A</v>
      </c>
      <c r="V36" s="705" t="s">
        <v>14</v>
      </c>
      <c r="W36" s="706" t="e">
        <f t="shared" si="14"/>
        <v>#N/A</v>
      </c>
      <c r="X36" s="1355"/>
      <c r="Y36" s="3689"/>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687"/>
      <c r="Q37" s="1343"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687" t="s">
        <v>1695</v>
      </c>
      <c r="Q38" s="1352" t="str">
        <f t="shared" si="11"/>
        <v>业态</v>
      </c>
      <c r="R38" s="705" t="s">
        <v>14</v>
      </c>
      <c r="S38" s="706">
        <f t="shared" si="12"/>
        <v>100</v>
      </c>
      <c r="T38" s="705" t="s">
        <v>14</v>
      </c>
      <c r="U38" s="706">
        <f t="shared" si="13"/>
        <v>100</v>
      </c>
      <c r="V38" s="705" t="s">
        <v>14</v>
      </c>
      <c r="W38" s="706">
        <f t="shared" si="14"/>
        <v>100</v>
      </c>
      <c r="X38" s="1355"/>
      <c r="Y38" s="3689"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687"/>
      <c r="Q39" s="1352" t="str">
        <f t="shared" si="11"/>
        <v>层高</v>
      </c>
      <c r="R39" s="705" t="s">
        <v>14</v>
      </c>
      <c r="S39" s="706">
        <f t="shared" si="12"/>
        <v>100</v>
      </c>
      <c r="T39" s="705" t="s">
        <v>14</v>
      </c>
      <c r="U39" s="706">
        <f t="shared" si="13"/>
        <v>100</v>
      </c>
      <c r="V39" s="705" t="s">
        <v>14</v>
      </c>
      <c r="W39" s="706">
        <f t="shared" si="14"/>
        <v>100</v>
      </c>
      <c r="X39" s="1355"/>
      <c r="Y39" s="3689"/>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87"/>
      <c r="Q40" s="1352" t="str">
        <f t="shared" si="11"/>
        <v>单套建筑面积</v>
      </c>
      <c r="R40" s="705" t="s">
        <v>14</v>
      </c>
      <c r="S40" s="706">
        <f t="shared" si="12"/>
        <v>100</v>
      </c>
      <c r="T40" s="705" t="s">
        <v>14</v>
      </c>
      <c r="U40" s="706">
        <f t="shared" si="13"/>
        <v>100</v>
      </c>
      <c r="V40" s="705" t="s">
        <v>14</v>
      </c>
      <c r="W40" s="706">
        <f t="shared" si="14"/>
        <v>100</v>
      </c>
      <c r="X40" s="1355"/>
      <c r="Y40" s="3689"/>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687"/>
      <c r="Q42" s="1352" t="str">
        <f t="shared" si="11"/>
        <v>内部装修</v>
      </c>
      <c r="R42" s="705" t="s">
        <v>14</v>
      </c>
      <c r="S42" s="706">
        <f t="shared" si="12"/>
        <v>100</v>
      </c>
      <c r="T42" s="705" t="s">
        <v>14</v>
      </c>
      <c r="U42" s="706">
        <f t="shared" si="13"/>
        <v>100</v>
      </c>
      <c r="V42" s="705" t="s">
        <v>14</v>
      </c>
      <c r="W42" s="706">
        <f t="shared" si="14"/>
        <v>100</v>
      </c>
      <c r="X42" s="1355"/>
      <c r="Y42" s="3689"/>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687"/>
      <c r="Q43" s="1352" t="str">
        <f t="shared" si="11"/>
        <v>内部装修维护情况</v>
      </c>
      <c r="R43" s="705" t="s">
        <v>14</v>
      </c>
      <c r="S43" s="706">
        <f t="shared" si="12"/>
        <v>100</v>
      </c>
      <c r="T43" s="705" t="s">
        <v>14</v>
      </c>
      <c r="U43" s="706">
        <f t="shared" si="13"/>
        <v>100</v>
      </c>
      <c r="V43" s="705" t="s">
        <v>14</v>
      </c>
      <c r="W43" s="706">
        <f t="shared" si="14"/>
        <v>100</v>
      </c>
      <c r="X43" s="1355"/>
      <c r="Y43" s="368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87"/>
      <c r="Q44" s="1343">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87"/>
      <c r="Q45" s="1352">
        <f t="shared" si="11"/>
        <v>111</v>
      </c>
      <c r="R45" s="705" t="s">
        <v>14</v>
      </c>
      <c r="S45" s="706">
        <f t="shared" si="12"/>
        <v>100</v>
      </c>
      <c r="T45" s="705" t="s">
        <v>14</v>
      </c>
      <c r="U45" s="706">
        <f t="shared" si="13"/>
        <v>100</v>
      </c>
      <c r="V45" s="705" t="s">
        <v>14</v>
      </c>
      <c r="W45" s="706">
        <f t="shared" si="14"/>
        <v>100</v>
      </c>
      <c r="X45" s="1355"/>
      <c r="Y45" s="368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18"/>
      <c r="M47" s="2719"/>
      <c r="N47" s="2710"/>
      <c r="O47" s="2719"/>
      <c r="P47" s="3691" t="str">
        <f>A47</f>
        <v>成交单价（元/平方米）</v>
      </c>
      <c r="Q47" s="3691"/>
      <c r="R47" s="3679">
        <f>E47</f>
        <v>0</v>
      </c>
      <c r="S47" s="3679"/>
      <c r="T47" s="3679">
        <f>G47</f>
        <v>0</v>
      </c>
      <c r="U47" s="3679"/>
      <c r="V47" s="3679">
        <f>I47</f>
        <v>0</v>
      </c>
      <c r="W47" s="3679"/>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18"/>
      <c r="M48" s="2719"/>
      <c r="N48" s="2710"/>
      <c r="O48" s="2719"/>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8"/>
      <c r="M49" s="2719"/>
      <c r="N49" s="2710"/>
      <c r="O49" s="2719"/>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1797</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1718</v>
      </c>
      <c r="B63" s="477" t="s">
        <v>1684</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1687</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1689</v>
      </c>
      <c r="B76" s="477" t="s">
        <v>1719</v>
      </c>
      <c r="C76" s="522" t="s">
        <v>1720</v>
      </c>
      <c r="D76" s="522" t="s">
        <v>1721</v>
      </c>
      <c r="E76" s="522" t="s">
        <v>1722</v>
      </c>
      <c r="F76" s="522" t="s">
        <v>1723</v>
      </c>
      <c r="G76" s="522" t="s">
        <v>1724</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1725</v>
      </c>
      <c r="C78" s="527" t="s">
        <v>1720</v>
      </c>
      <c r="D78" s="527" t="s">
        <v>1721</v>
      </c>
      <c r="E78" s="527" t="s">
        <v>1722</v>
      </c>
      <c r="F78" s="527" t="s">
        <v>1723</v>
      </c>
      <c r="G78" s="527" t="s">
        <v>1724</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1726</v>
      </c>
      <c r="C80" s="527" t="s">
        <v>1720</v>
      </c>
      <c r="D80" s="527" t="s">
        <v>1721</v>
      </c>
      <c r="E80" s="527" t="s">
        <v>1722</v>
      </c>
      <c r="F80" s="527" t="s">
        <v>1723</v>
      </c>
      <c r="G80" s="527" t="s">
        <v>1724</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1778</v>
      </c>
      <c r="C82" s="608" t="s">
        <v>1798</v>
      </c>
      <c r="D82" s="608" t="s">
        <v>1799</v>
      </c>
      <c r="E82" s="608" t="s">
        <v>1800</v>
      </c>
      <c r="F82" s="608" t="s">
        <v>1801</v>
      </c>
      <c r="G82" s="608" t="s">
        <v>1802</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1732</v>
      </c>
      <c r="C84" s="527" t="s">
        <v>1720</v>
      </c>
      <c r="D84" s="527" t="s">
        <v>1721</v>
      </c>
      <c r="E84" s="527" t="s">
        <v>1722</v>
      </c>
      <c r="F84" s="527" t="s">
        <v>1723</v>
      </c>
      <c r="G84" s="527" t="s">
        <v>1724</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1803</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1693</v>
      </c>
      <c r="B100" s="477" t="s">
        <v>1804</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1737</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1739</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1741</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1805</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1806</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1807</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1808</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1743</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7"/>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1105.3800000000001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66" t="s">
        <v>1769</v>
      </c>
      <c r="D4" s="3667"/>
      <c r="E4" s="3668" t="s">
        <v>1770</v>
      </c>
      <c r="F4" s="3669"/>
      <c r="G4" s="3666" t="s">
        <v>1771</v>
      </c>
      <c r="H4" s="3667"/>
      <c r="I4" s="3666" t="s">
        <v>1772</v>
      </c>
      <c r="J4" s="3667"/>
      <c r="K4" s="559" t="s">
        <v>1773</v>
      </c>
      <c r="L4" s="913"/>
      <c r="M4" s="914"/>
      <c r="N4" s="914"/>
      <c r="O4" s="914"/>
      <c r="P4" s="3725" t="s">
        <v>1774</v>
      </c>
      <c r="Q4" s="3726"/>
      <c r="R4" s="3723" t="s">
        <v>1770</v>
      </c>
      <c r="S4" s="3724"/>
      <c r="T4" s="3723" t="s">
        <v>1771</v>
      </c>
      <c r="U4" s="3724"/>
      <c r="V4" s="3679" t="s">
        <v>1772</v>
      </c>
      <c r="W4" s="3679"/>
      <c r="X4" s="1355"/>
      <c r="Y4" s="3723" t="s">
        <v>1774</v>
      </c>
      <c r="Z4" s="3724"/>
      <c r="AA4" s="3722" t="s">
        <v>1770</v>
      </c>
      <c r="AB4" s="3645" t="s">
        <v>1771</v>
      </c>
      <c r="AC4" s="3722" t="s">
        <v>1772</v>
      </c>
    </row>
    <row r="5" spans="1:29" ht="15">
      <c r="A5" s="358"/>
      <c r="B5" s="359"/>
      <c r="C5" s="3659" t="s">
        <v>1672</v>
      </c>
      <c r="D5" s="3656"/>
      <c r="E5" s="3653" t="s">
        <v>1673</v>
      </c>
      <c r="F5" s="3654"/>
      <c r="G5" s="3659" t="s">
        <v>1674</v>
      </c>
      <c r="H5" s="3656"/>
      <c r="I5" s="3659" t="s">
        <v>1675</v>
      </c>
      <c r="J5" s="3656"/>
      <c r="K5" s="559"/>
      <c r="L5" s="913"/>
      <c r="M5" s="914"/>
      <c r="N5" s="914"/>
      <c r="O5" s="914"/>
      <c r="P5" s="3727"/>
      <c r="Q5" s="3673"/>
      <c r="R5" s="3651"/>
      <c r="S5" s="3652"/>
      <c r="T5" s="3651"/>
      <c r="U5" s="3652"/>
      <c r="V5" s="3679"/>
      <c r="W5" s="3679"/>
      <c r="X5" s="1355"/>
      <c r="Y5" s="3651"/>
      <c r="Z5" s="3652"/>
      <c r="AA5" s="3645"/>
      <c r="AB5" s="3645"/>
      <c r="AC5" s="3645"/>
    </row>
    <row r="6" spans="1:29" ht="15.75" thickBot="1">
      <c r="A6" s="360"/>
      <c r="B6" s="361"/>
      <c r="C6" s="3657" t="s">
        <v>1676</v>
      </c>
      <c r="D6" s="3658"/>
      <c r="E6" s="3660" t="s">
        <v>1676</v>
      </c>
      <c r="F6" s="3661"/>
      <c r="G6" s="3657" t="s">
        <v>1676</v>
      </c>
      <c r="H6" s="3658"/>
      <c r="I6" s="3657" t="s">
        <v>1676</v>
      </c>
      <c r="J6" s="3658"/>
      <c r="K6" s="559" t="s">
        <v>1677</v>
      </c>
      <c r="L6" s="913"/>
      <c r="M6" s="914"/>
      <c r="N6" s="914"/>
      <c r="O6" s="914"/>
      <c r="P6" s="3728"/>
      <c r="Q6" s="3675"/>
      <c r="R6" s="3651"/>
      <c r="S6" s="3652"/>
      <c r="T6" s="3676"/>
      <c r="U6" s="3677"/>
      <c r="V6" s="3679"/>
      <c r="W6" s="3679"/>
      <c r="X6" s="1355"/>
      <c r="Y6" s="3676"/>
      <c r="Z6" s="3677"/>
      <c r="AA6" s="3646"/>
      <c r="AB6" s="3646"/>
      <c r="AC6" s="3646"/>
    </row>
    <row r="7" spans="1:29" s="108" customFormat="1" ht="15.75" thickBot="1">
      <c r="A7" s="362" t="s">
        <v>1678</v>
      </c>
      <c r="B7" s="363"/>
      <c r="C7" s="364">
        <f>'数据-取费表'!B2</f>
        <v>44978</v>
      </c>
      <c r="D7" s="365">
        <v>100</v>
      </c>
      <c r="E7" s="366"/>
      <c r="F7" s="367">
        <f>SUMIF(52:52,YEAR(E7)&amp;"-"&amp;MONTH(E7),53:53)</f>
        <v>0</v>
      </c>
      <c r="G7" s="366"/>
      <c r="H7" s="365">
        <f>SUMIF(52:52,YEAR(G7)&amp;"-"&amp;MONTH(G7),53:53)</f>
        <v>0</v>
      </c>
      <c r="I7" s="366"/>
      <c r="J7" s="365">
        <f>SUMIF(52:52,YEAR(I7)&amp;"-"&amp;MONTH(I7),53:53)</f>
        <v>0</v>
      </c>
      <c r="K7" s="560"/>
      <c r="L7" s="915"/>
      <c r="M7" s="916"/>
      <c r="N7" s="916"/>
      <c r="O7" s="916"/>
      <c r="P7" s="3647" t="s">
        <v>1679</v>
      </c>
      <c r="Q7" s="3681"/>
      <c r="R7" s="701" t="s">
        <v>14</v>
      </c>
      <c r="S7" s="702">
        <f t="shared" ref="S7:S15" si="0">F7</f>
        <v>0</v>
      </c>
      <c r="T7" s="701" t="s">
        <v>14</v>
      </c>
      <c r="U7" s="702">
        <f t="shared" ref="U7:U15" si="1">H7</f>
        <v>0</v>
      </c>
      <c r="V7" s="701" t="s">
        <v>14</v>
      </c>
      <c r="W7" s="702">
        <f t="shared" ref="W7:W15" si="2">J7</f>
        <v>0</v>
      </c>
      <c r="X7" s="703"/>
      <c r="Y7" s="3647" t="s">
        <v>1679</v>
      </c>
      <c r="Z7" s="3648"/>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7" t="s">
        <v>1682</v>
      </c>
      <c r="Q8" s="3648"/>
      <c r="R8" s="701" t="s">
        <v>14</v>
      </c>
      <c r="S8" s="702">
        <f t="shared" si="0"/>
        <v>100</v>
      </c>
      <c r="T8" s="701" t="s">
        <v>14</v>
      </c>
      <c r="U8" s="702">
        <f t="shared" si="1"/>
        <v>100</v>
      </c>
      <c r="V8" s="701" t="s">
        <v>14</v>
      </c>
      <c r="W8" s="702">
        <f t="shared" si="2"/>
        <v>100</v>
      </c>
      <c r="X8" s="703"/>
      <c r="Y8" s="3647" t="s">
        <v>1682</v>
      </c>
      <c r="Z8" s="3648"/>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1685</v>
      </c>
      <c r="Q9" s="1343" t="str">
        <f t="shared" ref="Q9:Q15" si="6">B9</f>
        <v>用途</v>
      </c>
      <c r="R9" s="701" t="s">
        <v>14</v>
      </c>
      <c r="S9" s="702">
        <f t="shared" si="0"/>
        <v>100</v>
      </c>
      <c r="T9" s="701" t="s">
        <v>14</v>
      </c>
      <c r="U9" s="702">
        <f t="shared" si="1"/>
        <v>100</v>
      </c>
      <c r="V9" s="701" t="s">
        <v>14</v>
      </c>
      <c r="W9" s="702">
        <f t="shared" si="2"/>
        <v>100</v>
      </c>
      <c r="X9" s="703"/>
      <c r="Y9" s="3617" t="s">
        <v>1686</v>
      </c>
      <c r="Z9" s="52" t="str">
        <f t="shared" ref="Z9:Z15" si="7">Q9</f>
        <v>用途</v>
      </c>
      <c r="AA9" s="704">
        <f t="shared" si="3"/>
        <v>1</v>
      </c>
      <c r="AB9" s="704">
        <f t="shared" si="4"/>
        <v>1</v>
      </c>
      <c r="AC9" s="704">
        <f t="shared" si="5"/>
        <v>1</v>
      </c>
    </row>
    <row r="10" spans="1:29" s="378" customFormat="1" ht="27">
      <c r="A10" s="374"/>
      <c r="B10" s="375" t="s">
        <v>1687</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691"/>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1"/>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1"/>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1"/>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1690</v>
      </c>
      <c r="Q15" s="1352" t="str">
        <f t="shared" si="6"/>
        <v>产业集聚程度</v>
      </c>
      <c r="R15" s="705" t="s">
        <v>14</v>
      </c>
      <c r="S15" s="706">
        <f t="shared" si="0"/>
        <v>100</v>
      </c>
      <c r="T15" s="705" t="s">
        <v>14</v>
      </c>
      <c r="U15" s="706">
        <f t="shared" si="1"/>
        <v>100</v>
      </c>
      <c r="V15" s="705" t="s">
        <v>14</v>
      </c>
      <c r="W15" s="706">
        <f t="shared" si="2"/>
        <v>100</v>
      </c>
      <c r="X15" s="1355"/>
      <c r="Y15" s="3684"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5"/>
      <c r="Q16" s="1352"/>
      <c r="R16" s="705"/>
      <c r="S16" s="706"/>
      <c r="T16" s="705"/>
      <c r="U16" s="706"/>
      <c r="V16" s="705"/>
      <c r="W16" s="706"/>
      <c r="X16" s="1355"/>
      <c r="Y16" s="3685"/>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5"/>
      <c r="Q18" s="1352"/>
      <c r="R18" s="705"/>
      <c r="S18" s="706"/>
      <c r="T18" s="705"/>
      <c r="U18" s="706"/>
      <c r="V18" s="705"/>
      <c r="W18" s="706"/>
      <c r="X18" s="1355"/>
      <c r="Y18" s="3685"/>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5"/>
      <c r="Q20" s="1352"/>
      <c r="R20" s="705"/>
      <c r="S20" s="706"/>
      <c r="T20" s="705"/>
      <c r="U20" s="706"/>
      <c r="V20" s="705"/>
      <c r="W20" s="706"/>
      <c r="X20" s="1355"/>
      <c r="Y20" s="3685"/>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5"/>
      <c r="Q22" s="1352"/>
      <c r="R22" s="705"/>
      <c r="S22" s="706"/>
      <c r="T22" s="705"/>
      <c r="U22" s="706"/>
      <c r="V22" s="705"/>
      <c r="W22" s="706"/>
      <c r="X22" s="1355"/>
      <c r="Y22" s="3685"/>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5"/>
      <c r="Q24" s="1352"/>
      <c r="R24" s="705"/>
      <c r="S24" s="706"/>
      <c r="T24" s="705"/>
      <c r="U24" s="706"/>
      <c r="V24" s="705"/>
      <c r="W24" s="706"/>
      <c r="X24" s="1355"/>
      <c r="Y24" s="36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2">
        <f>B25</f>
        <v>111</v>
      </c>
      <c r="R25" s="705" t="s">
        <v>14</v>
      </c>
      <c r="S25" s="706">
        <f>F25</f>
        <v>100</v>
      </c>
      <c r="T25" s="705" t="s">
        <v>14</v>
      </c>
      <c r="U25" s="706">
        <f>H25</f>
        <v>100</v>
      </c>
      <c r="V25" s="705" t="s">
        <v>14</v>
      </c>
      <c r="W25" s="706">
        <f>J25</f>
        <v>100</v>
      </c>
      <c r="X25" s="1355"/>
      <c r="Y25" s="36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2">
        <f t="shared" ref="Q26:Q40" si="11">B26</f>
        <v>111</v>
      </c>
      <c r="R26" s="705" t="s">
        <v>14</v>
      </c>
      <c r="S26" s="706">
        <f>F26</f>
        <v>100</v>
      </c>
      <c r="T26" s="705" t="s">
        <v>14</v>
      </c>
      <c r="U26" s="706">
        <f>H26</f>
        <v>100</v>
      </c>
      <c r="V26" s="705" t="s">
        <v>14</v>
      </c>
      <c r="W26" s="706">
        <f>J26</f>
        <v>100</v>
      </c>
      <c r="X26" s="1355"/>
      <c r="Y26" s="36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3">
        <f t="shared" si="11"/>
        <v>111</v>
      </c>
      <c r="R27" s="701" t="s">
        <v>14</v>
      </c>
      <c r="S27" s="702">
        <f>F27</f>
        <v>100</v>
      </c>
      <c r="T27" s="701" t="s">
        <v>14</v>
      </c>
      <c r="U27" s="702">
        <f>H27</f>
        <v>100</v>
      </c>
      <c r="V27" s="701" t="s">
        <v>14</v>
      </c>
      <c r="W27" s="702">
        <f>J27</f>
        <v>100</v>
      </c>
      <c r="X27" s="703"/>
      <c r="Y27" s="368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2">
        <f t="shared" si="11"/>
        <v>111</v>
      </c>
      <c r="R28" s="705" t="s">
        <v>14</v>
      </c>
      <c r="S28" s="706">
        <f t="shared" ref="S28:S40" si="12">F28</f>
        <v>100</v>
      </c>
      <c r="T28" s="705" t="s">
        <v>14</v>
      </c>
      <c r="U28" s="706">
        <f t="shared" ref="U28:U40" si="13">H28</f>
        <v>100</v>
      </c>
      <c r="V28" s="705" t="s">
        <v>14</v>
      </c>
      <c r="W28" s="706">
        <f t="shared" ref="W28:W40" si="14">J28</f>
        <v>100</v>
      </c>
      <c r="X28" s="1355"/>
      <c r="Y28" s="3685"/>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2" t="s">
        <v>1695</v>
      </c>
      <c r="Q29" s="1352" t="str">
        <f t="shared" si="11"/>
        <v>建筑类型</v>
      </c>
      <c r="R29" s="705" t="s">
        <v>14</v>
      </c>
      <c r="S29" s="706">
        <f t="shared" si="12"/>
        <v>100</v>
      </c>
      <c r="T29" s="705" t="s">
        <v>14</v>
      </c>
      <c r="U29" s="706">
        <f t="shared" si="13"/>
        <v>100</v>
      </c>
      <c r="V29" s="705" t="s">
        <v>14</v>
      </c>
      <c r="W29" s="706">
        <f t="shared" si="14"/>
        <v>100</v>
      </c>
      <c r="X29" s="1355"/>
      <c r="Y29" s="3689"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2" t="str">
        <f t="shared" si="11"/>
        <v>建筑结构</v>
      </c>
      <c r="R31" s="705" t="s">
        <v>14</v>
      </c>
      <c r="S31" s="706">
        <f t="shared" si="12"/>
        <v>100</v>
      </c>
      <c r="T31" s="705" t="s">
        <v>14</v>
      </c>
      <c r="U31" s="706">
        <f t="shared" si="13"/>
        <v>100</v>
      </c>
      <c r="V31" s="705" t="s">
        <v>14</v>
      </c>
      <c r="W31" s="706">
        <f t="shared" si="14"/>
        <v>100</v>
      </c>
      <c r="X31" s="1355"/>
      <c r="Y31" s="3689"/>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2" t="str">
        <f t="shared" si="11"/>
        <v>公共部分装修</v>
      </c>
      <c r="R32" s="705" t="s">
        <v>14</v>
      </c>
      <c r="S32" s="706">
        <f t="shared" si="12"/>
        <v>100</v>
      </c>
      <c r="T32" s="705" t="s">
        <v>14</v>
      </c>
      <c r="U32" s="706">
        <f t="shared" si="13"/>
        <v>100</v>
      </c>
      <c r="V32" s="705" t="s">
        <v>14</v>
      </c>
      <c r="W32" s="706">
        <f t="shared" si="14"/>
        <v>100</v>
      </c>
      <c r="X32" s="1355"/>
      <c r="Y32" s="3689"/>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2" t="str">
        <f t="shared" si="11"/>
        <v>成新度</v>
      </c>
      <c r="R33" s="705" t="s">
        <v>14</v>
      </c>
      <c r="S33" s="706" t="e">
        <f t="shared" si="12"/>
        <v>#N/A</v>
      </c>
      <c r="T33" s="705" t="s">
        <v>14</v>
      </c>
      <c r="U33" s="706" t="e">
        <f t="shared" si="13"/>
        <v>#N/A</v>
      </c>
      <c r="V33" s="705" t="s">
        <v>14</v>
      </c>
      <c r="W33" s="706" t="e">
        <f t="shared" si="14"/>
        <v>#N/A</v>
      </c>
      <c r="X33" s="1355"/>
      <c r="Y33" s="3689"/>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3"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1695</v>
      </c>
      <c r="Q35" s="1352" t="str">
        <f t="shared" si="11"/>
        <v>市政基础设施</v>
      </c>
      <c r="R35" s="705" t="s">
        <v>14</v>
      </c>
      <c r="S35" s="706">
        <f t="shared" si="12"/>
        <v>100</v>
      </c>
      <c r="T35" s="705" t="s">
        <v>14</v>
      </c>
      <c r="U35" s="706">
        <f t="shared" si="13"/>
        <v>100</v>
      </c>
      <c r="V35" s="705" t="s">
        <v>14</v>
      </c>
      <c r="W35" s="706">
        <f t="shared" si="14"/>
        <v>100</v>
      </c>
      <c r="X35" s="1355"/>
      <c r="Y35" s="3689"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2" t="str">
        <f t="shared" si="11"/>
        <v>内部装修</v>
      </c>
      <c r="R36" s="705" t="s">
        <v>14</v>
      </c>
      <c r="S36" s="706">
        <f t="shared" si="12"/>
        <v>100</v>
      </c>
      <c r="T36" s="705" t="s">
        <v>14</v>
      </c>
      <c r="U36" s="706">
        <f t="shared" si="13"/>
        <v>100</v>
      </c>
      <c r="V36" s="705" t="s">
        <v>14</v>
      </c>
      <c r="W36" s="706">
        <f t="shared" si="14"/>
        <v>100</v>
      </c>
      <c r="X36" s="1355"/>
      <c r="Y36" s="3689"/>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2" t="str">
        <f t="shared" si="11"/>
        <v>内部装修状况</v>
      </c>
      <c r="R37" s="705" t="s">
        <v>14</v>
      </c>
      <c r="S37" s="706">
        <f t="shared" si="12"/>
        <v>100</v>
      </c>
      <c r="T37" s="705" t="s">
        <v>14</v>
      </c>
      <c r="U37" s="706">
        <f t="shared" si="13"/>
        <v>100</v>
      </c>
      <c r="V37" s="705" t="s">
        <v>14</v>
      </c>
      <c r="W37" s="706">
        <f t="shared" si="14"/>
        <v>100</v>
      </c>
      <c r="X37" s="1355"/>
      <c r="Y37" s="36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2">
        <f t="shared" si="11"/>
        <v>111</v>
      </c>
      <c r="R39" s="705" t="s">
        <v>14</v>
      </c>
      <c r="S39" s="706">
        <f t="shared" si="12"/>
        <v>100</v>
      </c>
      <c r="T39" s="705" t="s">
        <v>14</v>
      </c>
      <c r="U39" s="706">
        <f t="shared" si="13"/>
        <v>100</v>
      </c>
      <c r="V39" s="705" t="s">
        <v>14</v>
      </c>
      <c r="W39" s="706">
        <f t="shared" si="14"/>
        <v>100</v>
      </c>
      <c r="X39" s="1355"/>
      <c r="Y39" s="36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2">
        <f t="shared" si="11"/>
        <v>111</v>
      </c>
      <c r="R40" s="705" t="s">
        <v>14</v>
      </c>
      <c r="S40" s="706">
        <f t="shared" si="12"/>
        <v>100</v>
      </c>
      <c r="T40" s="705" t="s">
        <v>14</v>
      </c>
      <c r="U40" s="706">
        <f t="shared" si="13"/>
        <v>100</v>
      </c>
      <c r="V40" s="705" t="s">
        <v>14</v>
      </c>
      <c r="W40" s="706">
        <f t="shared" si="14"/>
        <v>100</v>
      </c>
      <c r="X40" s="1355"/>
      <c r="Y40" s="3690"/>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4"/>
      <c r="O54" s="2765"/>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光大：</v>
      </c>
    </row>
    <row r="4" spans="1:1" ht="36">
      <c r="A4" s="1480" t="str">
        <f>"受贵公司委托，我公司对"&amp;项目基本情况!S1&amp;"进行了预评估。"</f>
        <v>受贵公司委托，我公司对北京市门头沟区金沙西街17号院1号楼7层701房地产抵押价值进行了预评估。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盛懋生态园林工程有限公司拟使用北京市门头沟区金沙西街17号院1号楼7层701房地产作为抵押担保物，向光大办理贷款手续。光大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27"/>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1768</v>
      </c>
      <c r="B4" s="356"/>
      <c r="C4" s="3666" t="s">
        <v>1769</v>
      </c>
      <c r="D4" s="3667"/>
      <c r="E4" s="3668" t="s">
        <v>1770</v>
      </c>
      <c r="F4" s="3669"/>
      <c r="G4" s="3666" t="s">
        <v>1771</v>
      </c>
      <c r="H4" s="3667"/>
      <c r="I4" s="3666" t="s">
        <v>1772</v>
      </c>
      <c r="J4" s="3667"/>
      <c r="K4" s="559" t="s">
        <v>1773</v>
      </c>
      <c r="L4" s="2709"/>
      <c r="M4" s="2710"/>
      <c r="N4" s="2710"/>
      <c r="O4" s="2710"/>
      <c r="P4" s="3725" t="s">
        <v>1774</v>
      </c>
      <c r="Q4" s="3726"/>
      <c r="R4" s="3723" t="s">
        <v>1770</v>
      </c>
      <c r="S4" s="3724"/>
      <c r="T4" s="3723" t="s">
        <v>1771</v>
      </c>
      <c r="U4" s="3724"/>
      <c r="V4" s="3679" t="s">
        <v>1772</v>
      </c>
      <c r="W4" s="3679"/>
      <c r="X4" s="1355"/>
      <c r="Y4" s="3723" t="s">
        <v>1774</v>
      </c>
      <c r="Z4" s="3724"/>
      <c r="AA4" s="3722" t="s">
        <v>1770</v>
      </c>
      <c r="AB4" s="3645" t="s">
        <v>1771</v>
      </c>
      <c r="AC4" s="3722" t="s">
        <v>1772</v>
      </c>
    </row>
    <row r="5" spans="1:29" ht="15">
      <c r="A5" s="358"/>
      <c r="B5" s="359"/>
      <c r="C5" s="3659" t="s">
        <v>1672</v>
      </c>
      <c r="D5" s="3656"/>
      <c r="E5" s="3653" t="s">
        <v>1673</v>
      </c>
      <c r="F5" s="3654"/>
      <c r="G5" s="3659" t="s">
        <v>1674</v>
      </c>
      <c r="H5" s="3656"/>
      <c r="I5" s="3659" t="s">
        <v>1675</v>
      </c>
      <c r="J5" s="3656"/>
      <c r="K5" s="559"/>
      <c r="L5" s="2709"/>
      <c r="M5" s="2710"/>
      <c r="N5" s="2710"/>
      <c r="O5" s="2710"/>
      <c r="P5" s="3727"/>
      <c r="Q5" s="3673"/>
      <c r="R5" s="3651"/>
      <c r="S5" s="3652"/>
      <c r="T5" s="3651"/>
      <c r="U5" s="3652"/>
      <c r="V5" s="3679"/>
      <c r="W5" s="3679"/>
      <c r="X5" s="1355"/>
      <c r="Y5" s="3651"/>
      <c r="Z5" s="3652"/>
      <c r="AA5" s="3645"/>
      <c r="AB5" s="3645"/>
      <c r="AC5" s="3645"/>
    </row>
    <row r="6" spans="1:29" ht="15.75" thickBot="1">
      <c r="A6" s="360"/>
      <c r="B6" s="361"/>
      <c r="C6" s="3657" t="s">
        <v>1676</v>
      </c>
      <c r="D6" s="3658"/>
      <c r="E6" s="3660" t="s">
        <v>1676</v>
      </c>
      <c r="F6" s="3661"/>
      <c r="G6" s="3657" t="s">
        <v>1676</v>
      </c>
      <c r="H6" s="3658"/>
      <c r="I6" s="3657" t="s">
        <v>1676</v>
      </c>
      <c r="J6" s="3658"/>
      <c r="K6" s="559" t="s">
        <v>1677</v>
      </c>
      <c r="L6" s="2709"/>
      <c r="M6" s="2710"/>
      <c r="N6" s="2710"/>
      <c r="O6" s="2710"/>
      <c r="P6" s="3728"/>
      <c r="Q6" s="3675"/>
      <c r="R6" s="3651"/>
      <c r="S6" s="3652"/>
      <c r="T6" s="3676"/>
      <c r="U6" s="3677"/>
      <c r="V6" s="3679"/>
      <c r="W6" s="3679"/>
      <c r="X6" s="1355"/>
      <c r="Y6" s="3676"/>
      <c r="Z6" s="3677"/>
      <c r="AA6" s="3646"/>
      <c r="AB6" s="3646"/>
      <c r="AC6" s="3646"/>
    </row>
    <row r="7" spans="1:29" s="108" customFormat="1" ht="15.75" thickBot="1">
      <c r="A7" s="362" t="s">
        <v>1678</v>
      </c>
      <c r="B7" s="363"/>
      <c r="C7" s="364">
        <f>'数据-取费表'!B2</f>
        <v>44978</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47" t="s">
        <v>1679</v>
      </c>
      <c r="Q7" s="3681"/>
      <c r="R7" s="701" t="s">
        <v>14</v>
      </c>
      <c r="S7" s="702">
        <f t="shared" ref="S7:S14" si="0">F7</f>
        <v>0</v>
      </c>
      <c r="T7" s="701" t="s">
        <v>14</v>
      </c>
      <c r="U7" s="702">
        <f t="shared" ref="U7:U14" si="1">H7</f>
        <v>0</v>
      </c>
      <c r="V7" s="701" t="s">
        <v>14</v>
      </c>
      <c r="W7" s="702">
        <f t="shared" ref="W7:W14" si="2">J7</f>
        <v>0</v>
      </c>
      <c r="X7" s="703"/>
      <c r="Y7" s="3647" t="s">
        <v>1679</v>
      </c>
      <c r="Z7" s="3648"/>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47" t="s">
        <v>1682</v>
      </c>
      <c r="Q8" s="3648"/>
      <c r="R8" s="701" t="s">
        <v>14</v>
      </c>
      <c r="S8" s="702">
        <f t="shared" si="0"/>
        <v>100</v>
      </c>
      <c r="T8" s="701" t="s">
        <v>14</v>
      </c>
      <c r="U8" s="702">
        <f t="shared" si="1"/>
        <v>100</v>
      </c>
      <c r="V8" s="701" t="s">
        <v>14</v>
      </c>
      <c r="W8" s="702">
        <f t="shared" si="2"/>
        <v>100</v>
      </c>
      <c r="X8" s="703"/>
      <c r="Y8" s="3647" t="s">
        <v>1682</v>
      </c>
      <c r="Z8" s="3648"/>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91" t="s">
        <v>1685</v>
      </c>
      <c r="Q9" s="1343" t="str">
        <f t="shared" ref="Q9:Q14" si="6">B9</f>
        <v>用途</v>
      </c>
      <c r="R9" s="701" t="s">
        <v>14</v>
      </c>
      <c r="S9" s="702">
        <f t="shared" si="0"/>
        <v>100</v>
      </c>
      <c r="T9" s="701" t="s">
        <v>14</v>
      </c>
      <c r="U9" s="702">
        <f t="shared" si="1"/>
        <v>100</v>
      </c>
      <c r="V9" s="701" t="s">
        <v>14</v>
      </c>
      <c r="W9" s="702">
        <f t="shared" si="2"/>
        <v>100</v>
      </c>
      <c r="X9" s="703"/>
      <c r="Y9" s="3617" t="s">
        <v>1686</v>
      </c>
      <c r="Z9" s="52" t="str">
        <f t="shared" ref="Z9:Z14" si="7">Q9</f>
        <v>用途</v>
      </c>
      <c r="AA9" s="704">
        <f t="shared" si="3"/>
        <v>1</v>
      </c>
      <c r="AB9" s="704">
        <f t="shared" si="4"/>
        <v>1</v>
      </c>
      <c r="AC9" s="704">
        <f t="shared" si="5"/>
        <v>1</v>
      </c>
    </row>
    <row r="10" spans="1:29" s="378" customFormat="1" ht="27">
      <c r="A10" s="589"/>
      <c r="B10" s="590" t="s">
        <v>1687</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91"/>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91"/>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91"/>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91"/>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84" t="s">
        <v>1690</v>
      </c>
      <c r="Q14" s="1352" t="str">
        <f t="shared" si="6"/>
        <v>交通便捷度</v>
      </c>
      <c r="R14" s="705" t="s">
        <v>14</v>
      </c>
      <c r="S14" s="706">
        <f t="shared" si="0"/>
        <v>100</v>
      </c>
      <c r="T14" s="705" t="s">
        <v>14</v>
      </c>
      <c r="U14" s="706">
        <f t="shared" si="1"/>
        <v>100</v>
      </c>
      <c r="V14" s="705" t="s">
        <v>14</v>
      </c>
      <c r="W14" s="706">
        <f t="shared" si="2"/>
        <v>100</v>
      </c>
      <c r="X14" s="1355"/>
      <c r="Y14" s="3684"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85"/>
      <c r="Q15" s="1352"/>
      <c r="R15" s="705"/>
      <c r="S15" s="706"/>
      <c r="T15" s="705"/>
      <c r="U15" s="706"/>
      <c r="V15" s="705"/>
      <c r="W15" s="706"/>
      <c r="X15" s="1355"/>
      <c r="Y15" s="3685"/>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85"/>
      <c r="Q17" s="1352"/>
      <c r="R17" s="705"/>
      <c r="S17" s="706"/>
      <c r="T17" s="705"/>
      <c r="U17" s="706"/>
      <c r="V17" s="705"/>
      <c r="W17" s="706"/>
      <c r="X17" s="1355"/>
      <c r="Y17" s="3685"/>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85"/>
      <c r="Q19" s="1352"/>
      <c r="R19" s="705"/>
      <c r="S19" s="706"/>
      <c r="T19" s="705"/>
      <c r="U19" s="706"/>
      <c r="V19" s="705"/>
      <c r="W19" s="706"/>
      <c r="X19" s="1355"/>
      <c r="Y19" s="3685"/>
      <c r="Z19" s="1356"/>
      <c r="AA19" s="1353">
        <v>1</v>
      </c>
      <c r="AB19" s="1353">
        <v>1</v>
      </c>
      <c r="AC19" s="1353">
        <v>1</v>
      </c>
    </row>
    <row r="20" spans="1:29" ht="15">
      <c r="A20" s="358"/>
      <c r="B20" s="579" t="s">
        <v>1833</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85"/>
      <c r="Q21" s="1352"/>
      <c r="R21" s="705"/>
      <c r="S21" s="706"/>
      <c r="T21" s="705"/>
      <c r="U21" s="706"/>
      <c r="V21" s="705"/>
      <c r="W21" s="706"/>
      <c r="X21" s="1355"/>
      <c r="Y21" s="3685"/>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85"/>
      <c r="Q24" s="1352">
        <f t="shared" ref="Q24:Q36"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3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9"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89"/>
      <c r="Q28" s="1352" t="str">
        <f t="shared" si="11"/>
        <v>公共部分装修</v>
      </c>
      <c r="R28" s="705" t="s">
        <v>14</v>
      </c>
      <c r="S28" s="706">
        <f t="shared" si="12"/>
        <v>100</v>
      </c>
      <c r="T28" s="705" t="s">
        <v>14</v>
      </c>
      <c r="U28" s="706">
        <f t="shared" si="13"/>
        <v>100</v>
      </c>
      <c r="V28" s="705" t="s">
        <v>14</v>
      </c>
      <c r="W28" s="706">
        <f t="shared" si="14"/>
        <v>100</v>
      </c>
      <c r="X28" s="1355"/>
      <c r="Y28" s="3689"/>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89"/>
      <c r="Q29" s="1352" t="str">
        <f t="shared" si="11"/>
        <v>成新率</v>
      </c>
      <c r="R29" s="705" t="s">
        <v>14</v>
      </c>
      <c r="S29" s="706" t="e">
        <f t="shared" si="12"/>
        <v>#N/A</v>
      </c>
      <c r="T29" s="705" t="s">
        <v>14</v>
      </c>
      <c r="U29" s="706" t="e">
        <f t="shared" si="13"/>
        <v>#N/A</v>
      </c>
      <c r="V29" s="705" t="s">
        <v>14</v>
      </c>
      <c r="W29" s="706" t="e">
        <f t="shared" si="14"/>
        <v>#N/A</v>
      </c>
      <c r="X29" s="1355"/>
      <c r="Y29" s="3689"/>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89"/>
      <c r="Q30" s="1352" t="str">
        <f t="shared" si="11"/>
        <v>物业等级</v>
      </c>
      <c r="R30" s="705" t="s">
        <v>14</v>
      </c>
      <c r="S30" s="706">
        <f t="shared" si="12"/>
        <v>100</v>
      </c>
      <c r="T30" s="705" t="s">
        <v>14</v>
      </c>
      <c r="U30" s="706">
        <f t="shared" si="13"/>
        <v>100</v>
      </c>
      <c r="V30" s="705" t="s">
        <v>14</v>
      </c>
      <c r="W30" s="706">
        <f t="shared" si="14"/>
        <v>100</v>
      </c>
      <c r="X30" s="1355"/>
      <c r="Y30" s="3689"/>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89"/>
      <c r="Q31" s="1343"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89" t="s">
        <v>1695</v>
      </c>
      <c r="Q32" s="1352" t="str">
        <f t="shared" si="11"/>
        <v>车位类型</v>
      </c>
      <c r="R32" s="705" t="s">
        <v>14</v>
      </c>
      <c r="S32" s="706">
        <f t="shared" si="12"/>
        <v>100</v>
      </c>
      <c r="T32" s="705" t="s">
        <v>14</v>
      </c>
      <c r="U32" s="706">
        <f t="shared" si="13"/>
        <v>100</v>
      </c>
      <c r="V32" s="705" t="s">
        <v>14</v>
      </c>
      <c r="W32" s="706">
        <f t="shared" si="14"/>
        <v>100</v>
      </c>
      <c r="X32" s="1355"/>
      <c r="Y32" s="3689"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89"/>
      <c r="Q33" s="1352" t="str">
        <f t="shared" si="11"/>
        <v>是否直接入户</v>
      </c>
      <c r="R33" s="705" t="s">
        <v>14</v>
      </c>
      <c r="S33" s="706">
        <f t="shared" si="12"/>
        <v>100</v>
      </c>
      <c r="T33" s="705" t="s">
        <v>14</v>
      </c>
      <c r="U33" s="706">
        <f t="shared" si="13"/>
        <v>100</v>
      </c>
      <c r="V33" s="705" t="s">
        <v>14</v>
      </c>
      <c r="W33" s="706">
        <f t="shared" si="14"/>
        <v>100</v>
      </c>
      <c r="X33" s="1355"/>
      <c r="Y33" s="36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89"/>
      <c r="Q36" s="1352">
        <f t="shared" si="11"/>
        <v>111</v>
      </c>
      <c r="R36" s="705" t="s">
        <v>14</v>
      </c>
      <c r="S36" s="706">
        <f t="shared" si="12"/>
        <v>100</v>
      </c>
      <c r="T36" s="705" t="s">
        <v>14</v>
      </c>
      <c r="U36" s="706">
        <f t="shared" si="13"/>
        <v>100</v>
      </c>
      <c r="V36" s="705" t="s">
        <v>14</v>
      </c>
      <c r="W36" s="706">
        <f t="shared" si="14"/>
        <v>100</v>
      </c>
      <c r="X36" s="1355"/>
      <c r="Y36" s="3689"/>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8"/>
      <c r="M37" s="2719"/>
      <c r="N37" s="2710"/>
      <c r="O37" s="2719"/>
      <c r="P37" s="3691" t="str">
        <f>A37</f>
        <v>成交单价</v>
      </c>
      <c r="Q37" s="3691"/>
      <c r="R37" s="3692">
        <f>E37</f>
        <v>0</v>
      </c>
      <c r="S37" s="3692"/>
      <c r="T37" s="3692">
        <f>G37</f>
        <v>0</v>
      </c>
      <c r="U37" s="3692"/>
      <c r="V37" s="3692">
        <f>I37</f>
        <v>0</v>
      </c>
      <c r="W37" s="3692"/>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8"/>
      <c r="M38" s="2719"/>
      <c r="N38" s="2719"/>
      <c r="O38" s="2719"/>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8"/>
      <c r="M39" s="2719"/>
      <c r="N39" s="2719"/>
      <c r="O39" s="2719"/>
      <c r="P39" s="3729" t="str">
        <f>A39</f>
        <v>估价对象XX用房的比较价值（楼面单价，元/平方米）</v>
      </c>
      <c r="Q39" s="3730"/>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1849</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1687</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1726</v>
      </c>
      <c r="C65" s="527" t="s">
        <v>1720</v>
      </c>
      <c r="D65" s="527" t="s">
        <v>1721</v>
      </c>
      <c r="E65" s="527" t="s">
        <v>1722</v>
      </c>
      <c r="F65" s="527" t="s">
        <v>1723</v>
      </c>
      <c r="G65" s="527" t="s">
        <v>1724</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1812</v>
      </c>
      <c r="C67" s="608" t="s">
        <v>1798</v>
      </c>
      <c r="D67" s="608" t="s">
        <v>1799</v>
      </c>
      <c r="E67" s="608" t="s">
        <v>1800</v>
      </c>
      <c r="F67" s="608" t="s">
        <v>1801</v>
      </c>
      <c r="G67" s="608" t="s">
        <v>1802</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1732</v>
      </c>
      <c r="C69" s="527" t="s">
        <v>1720</v>
      </c>
      <c r="D69" s="527" t="s">
        <v>1721</v>
      </c>
      <c r="E69" s="527" t="s">
        <v>1722</v>
      </c>
      <c r="F69" s="527" t="s">
        <v>1723</v>
      </c>
      <c r="G69" s="527" t="s">
        <v>1724</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1851</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1693</v>
      </c>
      <c r="B79" s="477" t="s">
        <v>1852</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1853</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1739</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1855</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1857</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1858</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7"/>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66" t="s">
        <v>1769</v>
      </c>
      <c r="D4" s="3667"/>
      <c r="E4" s="3668" t="s">
        <v>1770</v>
      </c>
      <c r="F4" s="3669"/>
      <c r="G4" s="3666" t="s">
        <v>1771</v>
      </c>
      <c r="H4" s="3667"/>
      <c r="I4" s="3666" t="s">
        <v>1772</v>
      </c>
      <c r="J4" s="3667"/>
      <c r="K4" s="559" t="s">
        <v>1773</v>
      </c>
      <c r="L4" s="2709"/>
      <c r="M4" s="2710"/>
      <c r="N4" s="2710"/>
      <c r="O4" s="2710"/>
      <c r="P4" s="3725" t="s">
        <v>1774</v>
      </c>
      <c r="Q4" s="3726"/>
      <c r="R4" s="3723" t="s">
        <v>1770</v>
      </c>
      <c r="S4" s="3724"/>
      <c r="T4" s="3723" t="s">
        <v>1771</v>
      </c>
      <c r="U4" s="3724"/>
      <c r="V4" s="3679" t="s">
        <v>1772</v>
      </c>
      <c r="W4" s="3679"/>
      <c r="X4" s="1355"/>
      <c r="Y4" s="3723" t="s">
        <v>1774</v>
      </c>
      <c r="Z4" s="3724"/>
      <c r="AA4" s="3722" t="s">
        <v>1770</v>
      </c>
      <c r="AB4" s="3645" t="s">
        <v>1771</v>
      </c>
      <c r="AC4" s="3722" t="s">
        <v>1772</v>
      </c>
    </row>
    <row r="5" spans="1:29" ht="15">
      <c r="A5" s="358"/>
      <c r="B5" s="359"/>
      <c r="C5" s="3659" t="s">
        <v>1672</v>
      </c>
      <c r="D5" s="3656"/>
      <c r="E5" s="3653" t="s">
        <v>1673</v>
      </c>
      <c r="F5" s="3654"/>
      <c r="G5" s="3659" t="s">
        <v>1674</v>
      </c>
      <c r="H5" s="3656"/>
      <c r="I5" s="3659" t="s">
        <v>1675</v>
      </c>
      <c r="J5" s="3656"/>
      <c r="K5" s="559"/>
      <c r="L5" s="2709"/>
      <c r="M5" s="2710"/>
      <c r="N5" s="2710"/>
      <c r="O5" s="2710"/>
      <c r="P5" s="3727"/>
      <c r="Q5" s="3673"/>
      <c r="R5" s="3651"/>
      <c r="S5" s="3652"/>
      <c r="T5" s="3651"/>
      <c r="U5" s="3652"/>
      <c r="V5" s="3679"/>
      <c r="W5" s="3679"/>
      <c r="X5" s="1355"/>
      <c r="Y5" s="3651"/>
      <c r="Z5" s="3652"/>
      <c r="AA5" s="3645"/>
      <c r="AB5" s="3645"/>
      <c r="AC5" s="3645"/>
    </row>
    <row r="6" spans="1:29" ht="15.75" thickBot="1">
      <c r="A6" s="360"/>
      <c r="B6" s="361"/>
      <c r="C6" s="3657" t="s">
        <v>1676</v>
      </c>
      <c r="D6" s="3658"/>
      <c r="E6" s="3660" t="s">
        <v>1676</v>
      </c>
      <c r="F6" s="3661"/>
      <c r="G6" s="3657" t="s">
        <v>1676</v>
      </c>
      <c r="H6" s="3658"/>
      <c r="I6" s="3657" t="s">
        <v>1676</v>
      </c>
      <c r="J6" s="3658"/>
      <c r="K6" s="559" t="s">
        <v>1677</v>
      </c>
      <c r="L6" s="2709"/>
      <c r="M6" s="2710"/>
      <c r="N6" s="2710"/>
      <c r="O6" s="2710"/>
      <c r="P6" s="3728"/>
      <c r="Q6" s="3675"/>
      <c r="R6" s="3651"/>
      <c r="S6" s="3652"/>
      <c r="T6" s="3676"/>
      <c r="U6" s="3677"/>
      <c r="V6" s="3679"/>
      <c r="W6" s="3679"/>
      <c r="X6" s="1355"/>
      <c r="Y6" s="3676"/>
      <c r="Z6" s="3677"/>
      <c r="AA6" s="3646"/>
      <c r="AB6" s="3646"/>
      <c r="AC6" s="3646"/>
    </row>
    <row r="7" spans="1:29" s="108" customFormat="1" ht="15.75" thickBot="1">
      <c r="A7" s="362" t="s">
        <v>1678</v>
      </c>
      <c r="B7" s="363"/>
      <c r="C7" s="364">
        <f>'数据-取费表'!B2</f>
        <v>44978</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47" t="s">
        <v>1679</v>
      </c>
      <c r="Q7" s="3681"/>
      <c r="R7" s="701" t="s">
        <v>14</v>
      </c>
      <c r="S7" s="702">
        <f t="shared" ref="S7:S14" si="0">F7</f>
        <v>0</v>
      </c>
      <c r="T7" s="701" t="s">
        <v>14</v>
      </c>
      <c r="U7" s="702">
        <f t="shared" ref="U7:U14" si="1">H7</f>
        <v>0</v>
      </c>
      <c r="V7" s="701" t="s">
        <v>14</v>
      </c>
      <c r="W7" s="702">
        <f t="shared" ref="W7:W14" si="2">J7</f>
        <v>0</v>
      </c>
      <c r="X7" s="703"/>
      <c r="Y7" s="3647" t="s">
        <v>1679</v>
      </c>
      <c r="Z7" s="3648"/>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47" t="s">
        <v>1682</v>
      </c>
      <c r="Q8" s="3648"/>
      <c r="R8" s="701" t="s">
        <v>14</v>
      </c>
      <c r="S8" s="702">
        <f t="shared" si="0"/>
        <v>100</v>
      </c>
      <c r="T8" s="701" t="s">
        <v>14</v>
      </c>
      <c r="U8" s="702">
        <f t="shared" si="1"/>
        <v>100</v>
      </c>
      <c r="V8" s="701" t="s">
        <v>14</v>
      </c>
      <c r="W8" s="702">
        <f t="shared" si="2"/>
        <v>100</v>
      </c>
      <c r="X8" s="703"/>
      <c r="Y8" s="3647" t="s">
        <v>1682</v>
      </c>
      <c r="Z8" s="3648"/>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91" t="s">
        <v>1685</v>
      </c>
      <c r="Q9" s="1343" t="str">
        <f t="shared" ref="Q9:Q14" si="6">B9</f>
        <v>用途</v>
      </c>
      <c r="R9" s="701" t="s">
        <v>14</v>
      </c>
      <c r="S9" s="702">
        <f t="shared" si="0"/>
        <v>100</v>
      </c>
      <c r="T9" s="701" t="s">
        <v>14</v>
      </c>
      <c r="U9" s="702">
        <f t="shared" si="1"/>
        <v>100</v>
      </c>
      <c r="V9" s="701" t="s">
        <v>14</v>
      </c>
      <c r="W9" s="702">
        <f t="shared" si="2"/>
        <v>100</v>
      </c>
      <c r="X9" s="703"/>
      <c r="Y9" s="3617" t="s">
        <v>1686</v>
      </c>
      <c r="Z9" s="52" t="str">
        <f t="shared" ref="Z9:Z14" si="7">Q9</f>
        <v>用途</v>
      </c>
      <c r="AA9" s="704">
        <f t="shared" si="3"/>
        <v>1</v>
      </c>
      <c r="AB9" s="704">
        <f t="shared" si="4"/>
        <v>1</v>
      </c>
      <c r="AC9" s="704">
        <f t="shared" si="5"/>
        <v>1</v>
      </c>
    </row>
    <row r="10" spans="1:29" s="378" customFormat="1" ht="27">
      <c r="A10" s="374"/>
      <c r="B10" s="375" t="s">
        <v>1687</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91"/>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91"/>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91"/>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91"/>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84" t="s">
        <v>1690</v>
      </c>
      <c r="Q14" s="1352" t="str">
        <f t="shared" si="6"/>
        <v>交通便捷度</v>
      </c>
      <c r="R14" s="705" t="s">
        <v>14</v>
      </c>
      <c r="S14" s="706">
        <f t="shared" si="0"/>
        <v>100</v>
      </c>
      <c r="T14" s="705" t="s">
        <v>14</v>
      </c>
      <c r="U14" s="706">
        <f t="shared" si="1"/>
        <v>100</v>
      </c>
      <c r="V14" s="705" t="s">
        <v>14</v>
      </c>
      <c r="W14" s="706">
        <f t="shared" si="2"/>
        <v>100</v>
      </c>
      <c r="X14" s="1355"/>
      <c r="Y14" s="3684"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85"/>
      <c r="Q15" s="1352"/>
      <c r="R15" s="705"/>
      <c r="S15" s="706"/>
      <c r="T15" s="705"/>
      <c r="U15" s="706"/>
      <c r="V15" s="705"/>
      <c r="W15" s="706"/>
      <c r="X15" s="1355"/>
      <c r="Y15" s="3685"/>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85"/>
      <c r="Q17" s="1352"/>
      <c r="R17" s="705"/>
      <c r="S17" s="706"/>
      <c r="T17" s="705"/>
      <c r="U17" s="706"/>
      <c r="V17" s="705"/>
      <c r="W17" s="706"/>
      <c r="X17" s="1355"/>
      <c r="Y17" s="3685"/>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85"/>
      <c r="Q19" s="1352"/>
      <c r="R19" s="705"/>
      <c r="S19" s="706"/>
      <c r="T19" s="705"/>
      <c r="U19" s="706"/>
      <c r="V19" s="705"/>
      <c r="W19" s="706"/>
      <c r="X19" s="1355"/>
      <c r="Y19" s="3685"/>
      <c r="Z19" s="1356"/>
      <c r="AA19" s="1353">
        <v>1</v>
      </c>
      <c r="AB19" s="1353">
        <v>1</v>
      </c>
      <c r="AC19" s="1353">
        <v>1</v>
      </c>
    </row>
    <row r="20" spans="1:29" ht="15">
      <c r="A20" s="379"/>
      <c r="B20" s="402" t="s">
        <v>1833</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85"/>
      <c r="Q21" s="1352"/>
      <c r="R21" s="705"/>
      <c r="S21" s="706"/>
      <c r="T21" s="705"/>
      <c r="U21" s="706"/>
      <c r="V21" s="705"/>
      <c r="W21" s="706"/>
      <c r="X21" s="1355"/>
      <c r="Y21" s="3685"/>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85"/>
      <c r="Q24" s="1352">
        <f t="shared" ref="Q24:Q34"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3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9"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89"/>
      <c r="Q28" s="1352" t="str">
        <f t="shared" si="11"/>
        <v>物业等级</v>
      </c>
      <c r="R28" s="705" t="s">
        <v>14</v>
      </c>
      <c r="S28" s="706">
        <f t="shared" si="12"/>
        <v>100</v>
      </c>
      <c r="T28" s="705" t="s">
        <v>14</v>
      </c>
      <c r="U28" s="706">
        <f t="shared" si="13"/>
        <v>100</v>
      </c>
      <c r="V28" s="705" t="s">
        <v>14</v>
      </c>
      <c r="W28" s="706">
        <f t="shared" si="14"/>
        <v>100</v>
      </c>
      <c r="X28" s="1355"/>
      <c r="Y28" s="3689"/>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89"/>
      <c r="Q29" s="1352" t="str">
        <f t="shared" si="11"/>
        <v>有无电梯</v>
      </c>
      <c r="R29" s="705" t="s">
        <v>14</v>
      </c>
      <c r="S29" s="706">
        <f t="shared" si="12"/>
        <v>100</v>
      </c>
      <c r="T29" s="705" t="s">
        <v>14</v>
      </c>
      <c r="U29" s="706">
        <f t="shared" si="13"/>
        <v>100</v>
      </c>
      <c r="V29" s="705" t="s">
        <v>14</v>
      </c>
      <c r="W29" s="706">
        <f t="shared" si="14"/>
        <v>100</v>
      </c>
      <c r="X29" s="1355"/>
      <c r="Y29" s="3689"/>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89"/>
      <c r="Q30" s="1352" t="str">
        <f t="shared" si="11"/>
        <v>建筑面积</v>
      </c>
      <c r="R30" s="705" t="s">
        <v>14</v>
      </c>
      <c r="S30" s="706" t="e">
        <f t="shared" si="12"/>
        <v>#N/A</v>
      </c>
      <c r="T30" s="705" t="s">
        <v>14</v>
      </c>
      <c r="U30" s="706" t="e">
        <f t="shared" si="13"/>
        <v>#N/A</v>
      </c>
      <c r="V30" s="705" t="s">
        <v>14</v>
      </c>
      <c r="W30" s="706" t="e">
        <f t="shared" si="14"/>
        <v>#N/A</v>
      </c>
      <c r="X30" s="1355"/>
      <c r="Y30" s="3689"/>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89"/>
      <c r="Q31" s="1343"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89" t="s">
        <v>1695</v>
      </c>
      <c r="Q32" s="1352">
        <f t="shared" si="11"/>
        <v>111</v>
      </c>
      <c r="R32" s="705" t="s">
        <v>14</v>
      </c>
      <c r="S32" s="706">
        <f t="shared" si="12"/>
        <v>100</v>
      </c>
      <c r="T32" s="705" t="s">
        <v>14</v>
      </c>
      <c r="U32" s="706">
        <f t="shared" si="13"/>
        <v>100</v>
      </c>
      <c r="V32" s="705" t="s">
        <v>14</v>
      </c>
      <c r="W32" s="706">
        <f t="shared" si="14"/>
        <v>100</v>
      </c>
      <c r="X32" s="1355"/>
      <c r="Y32" s="3689"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89"/>
      <c r="Q33" s="1352">
        <f t="shared" si="11"/>
        <v>111</v>
      </c>
      <c r="R33" s="705" t="s">
        <v>14</v>
      </c>
      <c r="S33" s="706">
        <f t="shared" si="12"/>
        <v>100</v>
      </c>
      <c r="T33" s="705" t="s">
        <v>14</v>
      </c>
      <c r="U33" s="706">
        <f t="shared" si="13"/>
        <v>100</v>
      </c>
      <c r="V33" s="705" t="s">
        <v>14</v>
      </c>
      <c r="W33" s="706">
        <f t="shared" si="14"/>
        <v>100</v>
      </c>
      <c r="X33" s="1355"/>
      <c r="Y33" s="36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8"/>
      <c r="M35" s="2719"/>
      <c r="N35" s="2710"/>
      <c r="O35" s="2719"/>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8"/>
      <c r="M36" s="2719"/>
      <c r="N36" s="2710"/>
      <c r="O36" s="2719"/>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8"/>
      <c r="M37" s="2719"/>
      <c r="N37" s="2719"/>
      <c r="O37" s="2719"/>
      <c r="P37" s="3729" t="str">
        <f>A37</f>
        <v>估价对象XX用房的比较价值（楼面单价，元/平方米）</v>
      </c>
      <c r="Q37" s="3730"/>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1797</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1687</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1862</v>
      </c>
      <c r="C63" s="527" t="s">
        <v>1720</v>
      </c>
      <c r="D63" s="527" t="s">
        <v>1721</v>
      </c>
      <c r="E63" s="527" t="s">
        <v>1722</v>
      </c>
      <c r="F63" s="527" t="s">
        <v>1723</v>
      </c>
      <c r="G63" s="527" t="s">
        <v>1724</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1812</v>
      </c>
      <c r="C65" s="608" t="s">
        <v>1798</v>
      </c>
      <c r="D65" s="608" t="s">
        <v>1799</v>
      </c>
      <c r="E65" s="608" t="s">
        <v>1800</v>
      </c>
      <c r="F65" s="608" t="s">
        <v>1801</v>
      </c>
      <c r="G65" s="608" t="s">
        <v>1802</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1732</v>
      </c>
      <c r="C67" s="527" t="s">
        <v>1720</v>
      </c>
      <c r="D67" s="527" t="s">
        <v>1721</v>
      </c>
      <c r="E67" s="527" t="s">
        <v>1722</v>
      </c>
      <c r="F67" s="527" t="s">
        <v>1723</v>
      </c>
      <c r="G67" s="527" t="s">
        <v>1724</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1851</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1693</v>
      </c>
      <c r="B77" s="477" t="s">
        <v>1739</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1855</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1863</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1865</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1768</v>
      </c>
      <c r="B4" s="356"/>
      <c r="C4" s="3666" t="s">
        <v>1769</v>
      </c>
      <c r="D4" s="3667"/>
      <c r="E4" s="3668" t="s">
        <v>1770</v>
      </c>
      <c r="F4" s="3669"/>
      <c r="G4" s="3666" t="s">
        <v>1771</v>
      </c>
      <c r="H4" s="3667"/>
      <c r="I4" s="3666" t="s">
        <v>1772</v>
      </c>
      <c r="J4" s="3667"/>
      <c r="K4" s="559" t="s">
        <v>1773</v>
      </c>
      <c r="L4" s="2709"/>
      <c r="M4" s="2710"/>
      <c r="N4" s="2710"/>
      <c r="O4" s="2710"/>
      <c r="P4" s="3725" t="s">
        <v>1774</v>
      </c>
      <c r="Q4" s="3726"/>
      <c r="R4" s="3723" t="s">
        <v>1770</v>
      </c>
      <c r="S4" s="3724"/>
      <c r="T4" s="3723" t="s">
        <v>1771</v>
      </c>
      <c r="U4" s="3724"/>
      <c r="V4" s="3679" t="s">
        <v>1772</v>
      </c>
      <c r="W4" s="3679"/>
      <c r="X4" s="1355"/>
      <c r="Y4" s="3723" t="s">
        <v>1774</v>
      </c>
      <c r="Z4" s="3724"/>
      <c r="AA4" s="3722" t="s">
        <v>1770</v>
      </c>
      <c r="AB4" s="3645" t="s">
        <v>1771</v>
      </c>
      <c r="AC4" s="3722" t="s">
        <v>1772</v>
      </c>
    </row>
    <row r="5" spans="1:30" ht="15">
      <c r="A5" s="358"/>
      <c r="B5" s="359"/>
      <c r="C5" s="3659" t="s">
        <v>1672</v>
      </c>
      <c r="D5" s="3656"/>
      <c r="E5" s="3653" t="s">
        <v>1673</v>
      </c>
      <c r="F5" s="3654"/>
      <c r="G5" s="3659" t="s">
        <v>1674</v>
      </c>
      <c r="H5" s="3656"/>
      <c r="I5" s="3659" t="s">
        <v>1675</v>
      </c>
      <c r="J5" s="3656"/>
      <c r="K5" s="559"/>
      <c r="L5" s="2709"/>
      <c r="M5" s="2710"/>
      <c r="N5" s="2710"/>
      <c r="O5" s="2710"/>
      <c r="P5" s="3727"/>
      <c r="Q5" s="3673"/>
      <c r="R5" s="3651"/>
      <c r="S5" s="3652"/>
      <c r="T5" s="3651"/>
      <c r="U5" s="3652"/>
      <c r="V5" s="3679"/>
      <c r="W5" s="3679"/>
      <c r="X5" s="1355"/>
      <c r="Y5" s="3651"/>
      <c r="Z5" s="3652"/>
      <c r="AA5" s="3645"/>
      <c r="AB5" s="3645"/>
      <c r="AC5" s="3645"/>
    </row>
    <row r="6" spans="1:30" ht="15.75" thickBot="1">
      <c r="A6" s="360"/>
      <c r="B6" s="361"/>
      <c r="C6" s="3657" t="s">
        <v>1676</v>
      </c>
      <c r="D6" s="3658"/>
      <c r="E6" s="3660" t="s">
        <v>1676</v>
      </c>
      <c r="F6" s="3661"/>
      <c r="G6" s="3657" t="s">
        <v>1676</v>
      </c>
      <c r="H6" s="3658"/>
      <c r="I6" s="3657" t="s">
        <v>1676</v>
      </c>
      <c r="J6" s="3658"/>
      <c r="K6" s="559" t="s">
        <v>1677</v>
      </c>
      <c r="L6" s="2709"/>
      <c r="M6" s="2710"/>
      <c r="N6" s="2710"/>
      <c r="O6" s="2710"/>
      <c r="P6" s="3728"/>
      <c r="Q6" s="3675"/>
      <c r="R6" s="3651"/>
      <c r="S6" s="3652"/>
      <c r="T6" s="3676"/>
      <c r="U6" s="3677"/>
      <c r="V6" s="3679"/>
      <c r="W6" s="3679"/>
      <c r="X6" s="1355"/>
      <c r="Y6" s="3676"/>
      <c r="Z6" s="3677"/>
      <c r="AA6" s="3646"/>
      <c r="AB6" s="3646"/>
      <c r="AC6" s="3646"/>
    </row>
    <row r="7" spans="1:30" s="108" customFormat="1" ht="15.75" thickBot="1">
      <c r="A7" s="362" t="s">
        <v>1678</v>
      </c>
      <c r="B7" s="363"/>
      <c r="C7" s="364">
        <f>'数据-取费表'!B2</f>
        <v>44978</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47" t="s">
        <v>1679</v>
      </c>
      <c r="Q7" s="3681"/>
      <c r="R7" s="701" t="s">
        <v>14</v>
      </c>
      <c r="S7" s="702">
        <f t="shared" ref="S7:S15" si="0">F7</f>
        <v>0</v>
      </c>
      <c r="T7" s="701" t="s">
        <v>14</v>
      </c>
      <c r="U7" s="702">
        <f t="shared" ref="U7:U15" si="1">H7</f>
        <v>0</v>
      </c>
      <c r="V7" s="701" t="s">
        <v>14</v>
      </c>
      <c r="W7" s="702">
        <f t="shared" ref="W7:W15" si="2">J7</f>
        <v>0</v>
      </c>
      <c r="X7" s="703"/>
      <c r="Y7" s="3647" t="s">
        <v>1679</v>
      </c>
      <c r="Z7" s="3648"/>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47" t="s">
        <v>1682</v>
      </c>
      <c r="Q8" s="3648"/>
      <c r="R8" s="701" t="s">
        <v>14</v>
      </c>
      <c r="S8" s="702">
        <f t="shared" si="0"/>
        <v>0</v>
      </c>
      <c r="T8" s="701" t="s">
        <v>14</v>
      </c>
      <c r="U8" s="702">
        <f t="shared" si="1"/>
        <v>0</v>
      </c>
      <c r="V8" s="701" t="s">
        <v>14</v>
      </c>
      <c r="W8" s="702">
        <f t="shared" si="2"/>
        <v>0</v>
      </c>
      <c r="X8" s="703"/>
      <c r="Y8" s="3647" t="s">
        <v>1682</v>
      </c>
      <c r="Z8" s="3648"/>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91" t="s">
        <v>1685</v>
      </c>
      <c r="Q9" s="1343" t="str">
        <f t="shared" ref="Q9:Q15" si="6">B9</f>
        <v>用途</v>
      </c>
      <c r="R9" s="701" t="s">
        <v>14</v>
      </c>
      <c r="S9" s="702">
        <f t="shared" si="0"/>
        <v>100</v>
      </c>
      <c r="T9" s="701" t="s">
        <v>14</v>
      </c>
      <c r="U9" s="702">
        <f t="shared" si="1"/>
        <v>100</v>
      </c>
      <c r="V9" s="701" t="s">
        <v>14</v>
      </c>
      <c r="W9" s="702">
        <f t="shared" si="2"/>
        <v>100</v>
      </c>
      <c r="X9" s="703"/>
      <c r="Y9" s="3617"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106</v>
      </c>
      <c r="G10" s="414"/>
      <c r="H10" s="127">
        <f>ROUND(100/'数据-取费表'!G16,0)</f>
        <v>106</v>
      </c>
      <c r="I10" s="414"/>
      <c r="J10" s="127">
        <f>ROUND(100/'数据-取费表'!G16,0)</f>
        <v>106</v>
      </c>
      <c r="K10" s="620"/>
      <c r="L10" s="2713"/>
      <c r="M10" s="2714"/>
      <c r="N10" s="2714"/>
      <c r="O10" s="2767"/>
      <c r="P10" s="3691"/>
      <c r="Q10" s="1343" t="str">
        <f t="shared" si="6"/>
        <v>土地使用年限（年）</v>
      </c>
      <c r="R10" s="701" t="s">
        <v>14</v>
      </c>
      <c r="S10" s="702">
        <f t="shared" si="0"/>
        <v>106</v>
      </c>
      <c r="T10" s="701" t="s">
        <v>14</v>
      </c>
      <c r="U10" s="702">
        <f t="shared" si="1"/>
        <v>106</v>
      </c>
      <c r="V10" s="701" t="s">
        <v>14</v>
      </c>
      <c r="W10" s="702">
        <f t="shared" si="2"/>
        <v>106</v>
      </c>
      <c r="X10" s="703"/>
      <c r="Y10" s="3617"/>
      <c r="Z10" s="52" t="str">
        <f t="shared" si="7"/>
        <v>土地使用年限（年）</v>
      </c>
      <c r="AA10" s="704">
        <f t="shared" si="3"/>
        <v>0.94339622641509435</v>
      </c>
      <c r="AB10" s="704">
        <f t="shared" si="4"/>
        <v>0.94339622641509435</v>
      </c>
      <c r="AC10" s="704">
        <f t="shared" si="5"/>
        <v>0.94339622641509435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91"/>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91"/>
      <c r="Q12" s="1343" t="str">
        <f t="shared" si="6"/>
        <v>配建</v>
      </c>
      <c r="R12" s="701" t="s">
        <v>14</v>
      </c>
      <c r="S12" s="702">
        <f t="shared" si="0"/>
        <v>100</v>
      </c>
      <c r="T12" s="701" t="s">
        <v>14</v>
      </c>
      <c r="U12" s="702">
        <f t="shared" si="1"/>
        <v>100</v>
      </c>
      <c r="V12" s="701" t="s">
        <v>14</v>
      </c>
      <c r="W12" s="702">
        <f t="shared" si="2"/>
        <v>100</v>
      </c>
      <c r="X12" s="703"/>
      <c r="Y12" s="361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91"/>
      <c r="Q13" s="1343">
        <f t="shared" si="6"/>
        <v>111</v>
      </c>
      <c r="R13" s="701" t="s">
        <v>14</v>
      </c>
      <c r="S13" s="702">
        <f t="shared" si="0"/>
        <v>100</v>
      </c>
      <c r="T13" s="701" t="s">
        <v>14</v>
      </c>
      <c r="U13" s="702">
        <f t="shared" si="1"/>
        <v>100</v>
      </c>
      <c r="V13" s="701" t="s">
        <v>14</v>
      </c>
      <c r="W13" s="702">
        <f t="shared" si="2"/>
        <v>100</v>
      </c>
      <c r="X13" s="703"/>
      <c r="Y13" s="361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91"/>
      <c r="Q14" s="1343">
        <f t="shared" si="6"/>
        <v>111</v>
      </c>
      <c r="R14" s="701" t="s">
        <v>14</v>
      </c>
      <c r="S14" s="702">
        <f t="shared" si="0"/>
        <v>100</v>
      </c>
      <c r="T14" s="701" t="s">
        <v>14</v>
      </c>
      <c r="U14" s="702">
        <f t="shared" si="1"/>
        <v>100</v>
      </c>
      <c r="V14" s="701" t="s">
        <v>14</v>
      </c>
      <c r="W14" s="702">
        <f t="shared" si="2"/>
        <v>100</v>
      </c>
      <c r="X14" s="703"/>
      <c r="Y14" s="3617"/>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84" t="s">
        <v>1690</v>
      </c>
      <c r="Q15" s="1352" t="str">
        <f t="shared" si="6"/>
        <v>居住社区成熟度</v>
      </c>
      <c r="R15" s="705" t="s">
        <v>14</v>
      </c>
      <c r="S15" s="706">
        <f t="shared" si="0"/>
        <v>100</v>
      </c>
      <c r="T15" s="705" t="s">
        <v>14</v>
      </c>
      <c r="U15" s="706">
        <f t="shared" si="1"/>
        <v>100</v>
      </c>
      <c r="V15" s="705" t="s">
        <v>14</v>
      </c>
      <c r="W15" s="706">
        <f t="shared" si="2"/>
        <v>100</v>
      </c>
      <c r="X15" s="1355"/>
      <c r="Y15" s="3684"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85"/>
      <c r="Q16" s="1352"/>
      <c r="R16" s="705"/>
      <c r="S16" s="706"/>
      <c r="T16" s="705"/>
      <c r="U16" s="706"/>
      <c r="V16" s="705"/>
      <c r="W16" s="706"/>
      <c r="X16" s="1355"/>
      <c r="Y16" s="3685"/>
      <c r="Z16" s="1356"/>
      <c r="AA16" s="1353">
        <v>1</v>
      </c>
      <c r="AB16" s="1353">
        <v>1</v>
      </c>
      <c r="AC16" s="1353">
        <v>1</v>
      </c>
    </row>
    <row r="17" spans="1:29" ht="1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85"/>
      <c r="Q17" s="1352" t="str">
        <f>B17</f>
        <v>商业繁华度</v>
      </c>
      <c r="R17" s="705" t="s">
        <v>14</v>
      </c>
      <c r="S17" s="706">
        <f>F17</f>
        <v>100</v>
      </c>
      <c r="T17" s="705" t="s">
        <v>14</v>
      </c>
      <c r="U17" s="706">
        <f>H17</f>
        <v>100</v>
      </c>
      <c r="V17" s="705" t="s">
        <v>14</v>
      </c>
      <c r="W17" s="706">
        <f>J17</f>
        <v>100</v>
      </c>
      <c r="X17" s="1355"/>
      <c r="Y17" s="368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85"/>
      <c r="Q18" s="1352"/>
      <c r="R18" s="705"/>
      <c r="S18" s="706"/>
      <c r="T18" s="705"/>
      <c r="U18" s="706"/>
      <c r="V18" s="705"/>
      <c r="W18" s="706"/>
      <c r="X18" s="1355"/>
      <c r="Y18" s="3685"/>
      <c r="Z18" s="1356"/>
      <c r="AA18" s="1353">
        <v>1</v>
      </c>
      <c r="AB18" s="1353">
        <v>1</v>
      </c>
      <c r="AC18" s="1353">
        <v>1</v>
      </c>
    </row>
    <row r="19" spans="1:29" ht="1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85"/>
      <c r="Q19" s="1352" t="str">
        <f>B19</f>
        <v>办公集聚程度</v>
      </c>
      <c r="R19" s="705" t="s">
        <v>14</v>
      </c>
      <c r="S19" s="706">
        <f>F19</f>
        <v>100</v>
      </c>
      <c r="T19" s="705" t="s">
        <v>14</v>
      </c>
      <c r="U19" s="706">
        <f>H19</f>
        <v>100</v>
      </c>
      <c r="V19" s="705" t="s">
        <v>14</v>
      </c>
      <c r="W19" s="706">
        <f>J19</f>
        <v>100</v>
      </c>
      <c r="X19" s="1355"/>
      <c r="Y19" s="368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85"/>
      <c r="Q20" s="1352"/>
      <c r="R20" s="705"/>
      <c r="S20" s="706"/>
      <c r="T20" s="705"/>
      <c r="U20" s="706"/>
      <c r="V20" s="705"/>
      <c r="W20" s="706"/>
      <c r="X20" s="1355"/>
      <c r="Y20" s="3685"/>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85"/>
      <c r="Q21" s="1352" t="str">
        <f>B21</f>
        <v>交通便捷度</v>
      </c>
      <c r="R21" s="705" t="s">
        <v>14</v>
      </c>
      <c r="S21" s="706">
        <f>F21</f>
        <v>100</v>
      </c>
      <c r="T21" s="705" t="s">
        <v>14</v>
      </c>
      <c r="U21" s="706">
        <f>H21</f>
        <v>100</v>
      </c>
      <c r="V21" s="705" t="s">
        <v>14</v>
      </c>
      <c r="W21" s="706">
        <f>J21</f>
        <v>100</v>
      </c>
      <c r="X21" s="1355"/>
      <c r="Y21" s="368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85"/>
      <c r="Q22" s="1352"/>
      <c r="R22" s="705"/>
      <c r="S22" s="706"/>
      <c r="T22" s="705"/>
      <c r="U22" s="706"/>
      <c r="V22" s="705"/>
      <c r="W22" s="706"/>
      <c r="X22" s="1355"/>
      <c r="Y22" s="3685"/>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85"/>
      <c r="Q23" s="1352" t="str">
        <f t="shared" ref="Q23:Q37" si="8">B23</f>
        <v>区域土地利用方向</v>
      </c>
      <c r="R23" s="705" t="s">
        <v>14</v>
      </c>
      <c r="S23" s="706">
        <f>F23</f>
        <v>100</v>
      </c>
      <c r="T23" s="705" t="s">
        <v>14</v>
      </c>
      <c r="U23" s="706">
        <f>H23</f>
        <v>100</v>
      </c>
      <c r="V23" s="705" t="s">
        <v>14</v>
      </c>
      <c r="W23" s="706">
        <f>J23</f>
        <v>100</v>
      </c>
      <c r="X23" s="1355"/>
      <c r="Y23" s="368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85"/>
      <c r="Q24" s="1352"/>
      <c r="R24" s="705"/>
      <c r="S24" s="706"/>
      <c r="T24" s="705"/>
      <c r="U24" s="706"/>
      <c r="V24" s="705"/>
      <c r="W24" s="706"/>
      <c r="X24" s="1355"/>
      <c r="Y24" s="3685"/>
      <c r="Z24" s="1356"/>
      <c r="AA24" s="1353"/>
      <c r="AB24" s="1353"/>
      <c r="AC24" s="1353"/>
    </row>
    <row r="25" spans="1:29" ht="27">
      <c r="A25" s="358"/>
      <c r="B25" s="1131" t="s">
        <v>1871</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85"/>
      <c r="Q25" s="1352" t="str">
        <f t="shared" si="8"/>
        <v>自然及人文环境状况</v>
      </c>
      <c r="R25" s="705" t="s">
        <v>14</v>
      </c>
      <c r="S25" s="706">
        <f>F25</f>
        <v>100</v>
      </c>
      <c r="T25" s="705" t="s">
        <v>14</v>
      </c>
      <c r="U25" s="706">
        <f>H25</f>
        <v>100</v>
      </c>
      <c r="V25" s="705" t="s">
        <v>14</v>
      </c>
      <c r="W25" s="706">
        <f>J25</f>
        <v>100</v>
      </c>
      <c r="X25" s="1355"/>
      <c r="Y25" s="368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85"/>
      <c r="Q26" s="1352"/>
      <c r="R26" s="705"/>
      <c r="S26" s="706"/>
      <c r="T26" s="705"/>
      <c r="U26" s="706"/>
      <c r="V26" s="705"/>
      <c r="W26" s="706"/>
      <c r="X26" s="1355"/>
      <c r="Y26" s="3685"/>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85"/>
      <c r="Q27" s="1343" t="str">
        <f t="shared" si="8"/>
        <v>公共配套设施</v>
      </c>
      <c r="R27" s="701" t="s">
        <v>14</v>
      </c>
      <c r="S27" s="702">
        <f>F27</f>
        <v>100</v>
      </c>
      <c r="T27" s="701" t="s">
        <v>14</v>
      </c>
      <c r="U27" s="702">
        <f>H27</f>
        <v>100</v>
      </c>
      <c r="V27" s="701" t="s">
        <v>14</v>
      </c>
      <c r="W27" s="702">
        <f>J27</f>
        <v>100</v>
      </c>
      <c r="X27" s="703"/>
      <c r="Y27" s="368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85"/>
      <c r="Q28" s="1343"/>
      <c r="R28" s="701"/>
      <c r="S28" s="702"/>
      <c r="T28" s="701"/>
      <c r="U28" s="702"/>
      <c r="V28" s="701"/>
      <c r="W28" s="702"/>
      <c r="X28" s="703"/>
      <c r="Y28" s="3685"/>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85"/>
      <c r="Q29" s="1343"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85"/>
      <c r="Q30" s="1343"/>
      <c r="R30" s="701"/>
      <c r="S30" s="702"/>
      <c r="T30" s="701"/>
      <c r="U30" s="702"/>
      <c r="V30" s="701"/>
      <c r="W30" s="702"/>
      <c r="X30" s="703"/>
      <c r="Y30" s="3685"/>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5"/>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85"/>
      <c r="Q32" s="1352" t="str">
        <f t="shared" si="8"/>
        <v>毗邻道路的类型与等级</v>
      </c>
      <c r="R32" s="705" t="s">
        <v>14</v>
      </c>
      <c r="S32" s="706">
        <f t="shared" si="10"/>
        <v>100</v>
      </c>
      <c r="T32" s="705" t="s">
        <v>14</v>
      </c>
      <c r="U32" s="706">
        <f t="shared" si="11"/>
        <v>100</v>
      </c>
      <c r="V32" s="705" t="s">
        <v>14</v>
      </c>
      <c r="W32" s="706">
        <f t="shared" si="12"/>
        <v>100</v>
      </c>
      <c r="X32" s="1355"/>
      <c r="Y32" s="368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85"/>
      <c r="Q33" s="1352"/>
      <c r="R33" s="705"/>
      <c r="S33" s="706"/>
      <c r="T33" s="705"/>
      <c r="U33" s="706"/>
      <c r="V33" s="705"/>
      <c r="W33" s="706"/>
      <c r="X33" s="1355"/>
      <c r="Y33" s="3685"/>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85"/>
      <c r="Q34" s="1352" t="str">
        <f t="shared" si="8"/>
        <v>土地级别</v>
      </c>
      <c r="R34" s="705" t="s">
        <v>14</v>
      </c>
      <c r="S34" s="706">
        <f t="shared" si="10"/>
        <v>100</v>
      </c>
      <c r="T34" s="705" t="s">
        <v>14</v>
      </c>
      <c r="U34" s="706">
        <f t="shared" si="11"/>
        <v>100</v>
      </c>
      <c r="V34" s="705" t="s">
        <v>14</v>
      </c>
      <c r="W34" s="706">
        <f t="shared" si="12"/>
        <v>100</v>
      </c>
      <c r="X34" s="1355"/>
      <c r="Y34" s="368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85"/>
      <c r="Q35" s="1352">
        <f t="shared" si="8"/>
        <v>111</v>
      </c>
      <c r="R35" s="705" t="s">
        <v>14</v>
      </c>
      <c r="S35" s="706">
        <f t="shared" si="10"/>
        <v>100</v>
      </c>
      <c r="T35" s="705" t="s">
        <v>14</v>
      </c>
      <c r="U35" s="706">
        <f t="shared" si="11"/>
        <v>100</v>
      </c>
      <c r="V35" s="705" t="s">
        <v>14</v>
      </c>
      <c r="W35" s="706">
        <f t="shared" si="12"/>
        <v>100</v>
      </c>
      <c r="X35" s="1355"/>
      <c r="Y35" s="368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32" t="s">
        <v>1695</v>
      </c>
      <c r="Q36" s="1352">
        <f t="shared" si="8"/>
        <v>111</v>
      </c>
      <c r="R36" s="705" t="s">
        <v>14</v>
      </c>
      <c r="S36" s="706">
        <f t="shared" si="10"/>
        <v>100</v>
      </c>
      <c r="T36" s="705" t="s">
        <v>14</v>
      </c>
      <c r="U36" s="706">
        <f t="shared" si="11"/>
        <v>100</v>
      </c>
      <c r="V36" s="705" t="s">
        <v>14</v>
      </c>
      <c r="W36" s="706">
        <f t="shared" si="12"/>
        <v>100</v>
      </c>
      <c r="X36" s="1355"/>
      <c r="Y36" s="3689"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89"/>
      <c r="Q37" s="1352">
        <f t="shared" si="8"/>
        <v>111</v>
      </c>
      <c r="R37" s="708" t="s">
        <v>14</v>
      </c>
      <c r="S37" s="709">
        <f t="shared" si="10"/>
        <v>100</v>
      </c>
      <c r="T37" s="708" t="s">
        <v>14</v>
      </c>
      <c r="U37" s="709">
        <f t="shared" si="11"/>
        <v>100</v>
      </c>
      <c r="V37" s="708" t="s">
        <v>14</v>
      </c>
      <c r="W37" s="709">
        <f t="shared" si="12"/>
        <v>100</v>
      </c>
      <c r="X37" s="710"/>
      <c r="Y37" s="3689"/>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89"/>
      <c r="Q38" s="1352" t="str">
        <f>B38</f>
        <v>宗地面积</v>
      </c>
      <c r="R38" s="705" t="s">
        <v>14</v>
      </c>
      <c r="S38" s="706" t="e">
        <f t="shared" si="10"/>
        <v>#N/A</v>
      </c>
      <c r="T38" s="705" t="s">
        <v>14</v>
      </c>
      <c r="U38" s="706" t="e">
        <f t="shared" si="11"/>
        <v>#N/A</v>
      </c>
      <c r="V38" s="705" t="s">
        <v>14</v>
      </c>
      <c r="W38" s="706" t="e">
        <f t="shared" si="12"/>
        <v>#N/A</v>
      </c>
      <c r="X38" s="1355"/>
      <c r="Y38" s="3689"/>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89"/>
      <c r="Q39" s="1352" t="str">
        <f t="shared" ref="Q39:Q45" si="14">B39</f>
        <v>宗地形状</v>
      </c>
      <c r="R39" s="705" t="s">
        <v>14</v>
      </c>
      <c r="S39" s="706">
        <f t="shared" si="10"/>
        <v>100</v>
      </c>
      <c r="T39" s="705" t="s">
        <v>14</v>
      </c>
      <c r="U39" s="706">
        <f t="shared" si="11"/>
        <v>100</v>
      </c>
      <c r="V39" s="705" t="s">
        <v>14</v>
      </c>
      <c r="W39" s="706">
        <f t="shared" si="12"/>
        <v>100</v>
      </c>
      <c r="X39" s="1355"/>
      <c r="Y39" s="3689"/>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89"/>
      <c r="Q40" s="1352" t="str">
        <f t="shared" si="14"/>
        <v>临街宽度及深度</v>
      </c>
      <c r="R40" s="705" t="s">
        <v>14</v>
      </c>
      <c r="S40" s="706">
        <f t="shared" si="10"/>
        <v>100</v>
      </c>
      <c r="T40" s="705" t="s">
        <v>14</v>
      </c>
      <c r="U40" s="706">
        <f t="shared" si="11"/>
        <v>100</v>
      </c>
      <c r="V40" s="705" t="s">
        <v>14</v>
      </c>
      <c r="W40" s="706">
        <f t="shared" si="12"/>
        <v>100</v>
      </c>
      <c r="X40" s="1355"/>
      <c r="Y40" s="3689"/>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89"/>
      <c r="Q41" s="1352"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89" t="s">
        <v>1695</v>
      </c>
      <c r="Q42" s="1352" t="str">
        <f t="shared" si="14"/>
        <v>工程地质条件</v>
      </c>
      <c r="R42" s="705" t="s">
        <v>14</v>
      </c>
      <c r="S42" s="706">
        <f t="shared" si="10"/>
        <v>100</v>
      </c>
      <c r="T42" s="705" t="s">
        <v>14</v>
      </c>
      <c r="U42" s="706">
        <f t="shared" si="11"/>
        <v>100</v>
      </c>
      <c r="V42" s="705" t="s">
        <v>14</v>
      </c>
      <c r="W42" s="706">
        <f t="shared" si="12"/>
        <v>100</v>
      </c>
      <c r="X42" s="1355"/>
      <c r="Y42" s="3689"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89"/>
      <c r="Q43" s="1352">
        <f t="shared" si="14"/>
        <v>111</v>
      </c>
      <c r="R43" s="705" t="s">
        <v>14</v>
      </c>
      <c r="S43" s="706">
        <f t="shared" si="10"/>
        <v>100</v>
      </c>
      <c r="T43" s="705" t="s">
        <v>14</v>
      </c>
      <c r="U43" s="706">
        <f t="shared" si="11"/>
        <v>100</v>
      </c>
      <c r="V43" s="705" t="s">
        <v>14</v>
      </c>
      <c r="W43" s="706">
        <f t="shared" si="12"/>
        <v>100</v>
      </c>
      <c r="X43" s="1355"/>
      <c r="Y43" s="368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89"/>
      <c r="Q44" s="1352">
        <f t="shared" si="14"/>
        <v>111</v>
      </c>
      <c r="R44" s="705" t="s">
        <v>14</v>
      </c>
      <c r="S44" s="706">
        <f t="shared" si="10"/>
        <v>100</v>
      </c>
      <c r="T44" s="705" t="s">
        <v>14</v>
      </c>
      <c r="U44" s="706">
        <f t="shared" si="11"/>
        <v>100</v>
      </c>
      <c r="V44" s="705" t="s">
        <v>14</v>
      </c>
      <c r="W44" s="706">
        <f t="shared" si="12"/>
        <v>100</v>
      </c>
      <c r="X44" s="1355"/>
      <c r="Y44" s="368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89"/>
      <c r="Q45" s="1352">
        <f t="shared" si="14"/>
        <v>111</v>
      </c>
      <c r="R45" s="708" t="s">
        <v>14</v>
      </c>
      <c r="S45" s="709">
        <f t="shared" si="10"/>
        <v>100</v>
      </c>
      <c r="T45" s="708" t="s">
        <v>14</v>
      </c>
      <c r="U45" s="709">
        <f t="shared" si="11"/>
        <v>100</v>
      </c>
      <c r="V45" s="708" t="s">
        <v>14</v>
      </c>
      <c r="W45" s="709">
        <f t="shared" si="12"/>
        <v>100</v>
      </c>
      <c r="X45" s="710"/>
      <c r="Y45" s="3689"/>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8"/>
      <c r="M46" s="2719"/>
      <c r="N46" s="2710"/>
      <c r="O46" s="2719"/>
      <c r="P46" s="3691" t="str">
        <f>A46</f>
        <v>成交单价</v>
      </c>
      <c r="Q46" s="3691"/>
      <c r="R46" s="3679">
        <f>E46</f>
        <v>0</v>
      </c>
      <c r="S46" s="3679"/>
      <c r="T46" s="3679">
        <f>G46</f>
        <v>0</v>
      </c>
      <c r="U46" s="3679"/>
      <c r="V46" s="3679">
        <f>I46</f>
        <v>0</v>
      </c>
      <c r="W46" s="367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8"/>
      <c r="M47" s="2719"/>
      <c r="N47" s="2719"/>
      <c r="O47" s="2719"/>
      <c r="P47" s="3691" t="str">
        <f>A47</f>
        <v>比较价值（元/平方米）</v>
      </c>
      <c r="Q47" s="3691"/>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8"/>
      <c r="M48" s="2719"/>
      <c r="N48" s="2719"/>
      <c r="O48" s="2719"/>
      <c r="P48" s="3729" t="str">
        <f>A48</f>
        <v>估价对象XX用房的比较价值（楼面单价，元/平方米）</v>
      </c>
      <c r="Q48" s="3730"/>
      <c r="R48" s="3735" t="e">
        <f>ROUND(IF(D47="简单平均",AVERAGE(R47:W47),R47*F47+T47*H47+V47*J47),0)</f>
        <v>#DIV/0!</v>
      </c>
      <c r="S48" s="3735"/>
      <c r="T48" s="3735"/>
      <c r="U48" s="3735"/>
      <c r="V48" s="3735"/>
      <c r="W48" s="3735"/>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1880</v>
      </c>
      <c r="B55" s="633" t="s">
        <v>1881</v>
      </c>
      <c r="C55" s="1983" t="s">
        <v>1882</v>
      </c>
      <c r="D55" s="1984" t="s">
        <v>1883</v>
      </c>
      <c r="E55" s="634" t="s">
        <v>1884</v>
      </c>
      <c r="F55" s="890" t="s">
        <v>1885</v>
      </c>
      <c r="G55" s="3666" t="s">
        <v>1886</v>
      </c>
      <c r="H55" s="3736"/>
      <c r="I55" s="135" t="s">
        <v>1887</v>
      </c>
      <c r="J55" s="1985">
        <f>项目基本情况!F35</f>
        <v>0</v>
      </c>
      <c r="K55" s="1986" t="s">
        <v>1888</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1889</v>
      </c>
      <c r="B56" s="637" t="e">
        <f>C48</f>
        <v>#DIV/0!</v>
      </c>
      <c r="C56" s="638">
        <v>1</v>
      </c>
      <c r="D56" s="944">
        <v>1</v>
      </c>
      <c r="E56" s="638">
        <f>'数据-汇总表'!E8+'数据-汇总表'!E9</f>
        <v>1105.3800000000001</v>
      </c>
      <c r="F56" s="886" t="e">
        <f t="shared" ref="F56:F64" si="15">ROUND(B56*E56/10000,0)</f>
        <v>#DIV/0!</v>
      </c>
      <c r="G56" s="3662"/>
      <c r="H56" s="3691"/>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1890</v>
      </c>
      <c r="B57" s="218" t="e">
        <f>ROUND($C$48*C57*D57,0)</f>
        <v>#DIV/0!</v>
      </c>
      <c r="C57" s="171">
        <f t="shared" ref="C57:C64" si="16">IF($C$55="北京市系数",I57,J57)</f>
        <v>0</v>
      </c>
      <c r="D57" s="945">
        <v>0.25</v>
      </c>
      <c r="E57" s="642"/>
      <c r="F57" s="886" t="e">
        <f t="shared" si="15"/>
        <v>#DIV/0!</v>
      </c>
      <c r="G57" s="3000" t="s">
        <v>1891</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1892</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1893</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1902</v>
      </c>
      <c r="B65" s="644" t="s">
        <v>22</v>
      </c>
      <c r="C65" s="644" t="s">
        <v>23</v>
      </c>
      <c r="D65" s="644" t="s">
        <v>392</v>
      </c>
      <c r="E65" s="644">
        <f>IF(B46="楼面地价",SUM(E56:E64),'数据-汇总表'!D3)</f>
        <v>1105.3800000000001</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19"/>
      <c r="Q67" s="2719"/>
      <c r="R67" s="2719"/>
      <c r="S67" s="2719"/>
      <c r="T67" s="2719"/>
      <c r="U67" s="2719"/>
      <c r="V67" s="2719"/>
      <c r="W67" s="2719"/>
      <c r="X67" s="2719"/>
      <c r="Y67" s="2719"/>
      <c r="Z67" s="2719"/>
      <c r="AA67" s="2719"/>
      <c r="AB67" s="2719"/>
      <c r="AC67" s="2719"/>
    </row>
    <row r="68" spans="1:29" ht="21.75" thickBot="1">
      <c r="A68" s="694" t="s">
        <v>1797</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1687</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1689</v>
      </c>
      <c r="B87" s="477" t="s">
        <v>1719</v>
      </c>
      <c r="C87" s="522" t="s">
        <v>1720</v>
      </c>
      <c r="D87" s="522" t="s">
        <v>1721</v>
      </c>
      <c r="E87" s="522" t="s">
        <v>1722</v>
      </c>
      <c r="F87" s="522" t="s">
        <v>1723</v>
      </c>
      <c r="G87" s="522" t="s">
        <v>1724</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1905</v>
      </c>
      <c r="C89" s="527" t="s">
        <v>1720</v>
      </c>
      <c r="D89" s="527" t="s">
        <v>1721</v>
      </c>
      <c r="E89" s="527" t="s">
        <v>1722</v>
      </c>
      <c r="F89" s="527" t="s">
        <v>1723</v>
      </c>
      <c r="G89" s="527" t="s">
        <v>1724</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1820</v>
      </c>
      <c r="C91" s="527" t="s">
        <v>1720</v>
      </c>
      <c r="D91" s="527" t="s">
        <v>1721</v>
      </c>
      <c r="E91" s="527" t="s">
        <v>1722</v>
      </c>
      <c r="F91" s="527" t="s">
        <v>1723</v>
      </c>
      <c r="G91" s="527" t="s">
        <v>1724</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1725</v>
      </c>
      <c r="C93" s="527" t="s">
        <v>1720</v>
      </c>
      <c r="D93" s="527" t="s">
        <v>1721</v>
      </c>
      <c r="E93" s="527" t="s">
        <v>1722</v>
      </c>
      <c r="F93" s="527" t="s">
        <v>1723</v>
      </c>
      <c r="G93" s="527" t="s">
        <v>1724</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1814</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1872</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1913</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1914</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1915</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1916</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66" t="s">
        <v>1769</v>
      </c>
      <c r="D4" s="3667"/>
      <c r="E4" s="3668" t="s">
        <v>1770</v>
      </c>
      <c r="F4" s="3669"/>
      <c r="G4" s="3666" t="s">
        <v>1771</v>
      </c>
      <c r="H4" s="3667"/>
      <c r="I4" s="3666" t="s">
        <v>1772</v>
      </c>
      <c r="J4" s="3667"/>
      <c r="K4" s="559" t="s">
        <v>1773</v>
      </c>
      <c r="L4" s="2709"/>
      <c r="M4" s="2710"/>
      <c r="N4" s="2710"/>
      <c r="O4" s="2710"/>
      <c r="P4" s="3725" t="s">
        <v>1774</v>
      </c>
      <c r="Q4" s="3726"/>
      <c r="R4" s="3723" t="s">
        <v>1770</v>
      </c>
      <c r="S4" s="3724"/>
      <c r="T4" s="3723" t="s">
        <v>1771</v>
      </c>
      <c r="U4" s="3724"/>
      <c r="V4" s="3679" t="s">
        <v>1772</v>
      </c>
      <c r="W4" s="3679"/>
      <c r="X4" s="1355"/>
      <c r="Y4" s="3723" t="s">
        <v>1774</v>
      </c>
      <c r="Z4" s="3724"/>
      <c r="AA4" s="3722" t="s">
        <v>1770</v>
      </c>
      <c r="AB4" s="3645" t="s">
        <v>1771</v>
      </c>
      <c r="AC4" s="3722" t="s">
        <v>1772</v>
      </c>
    </row>
    <row r="5" spans="1:29" ht="15">
      <c r="A5" s="358"/>
      <c r="B5" s="359"/>
      <c r="C5" s="3659" t="s">
        <v>1672</v>
      </c>
      <c r="D5" s="3656"/>
      <c r="E5" s="3653" t="s">
        <v>1673</v>
      </c>
      <c r="F5" s="3654"/>
      <c r="G5" s="3659" t="s">
        <v>1674</v>
      </c>
      <c r="H5" s="3656"/>
      <c r="I5" s="3659" t="s">
        <v>1675</v>
      </c>
      <c r="J5" s="3656"/>
      <c r="K5" s="559"/>
      <c r="L5" s="2709"/>
      <c r="M5" s="2710"/>
      <c r="N5" s="2710"/>
      <c r="O5" s="2710"/>
      <c r="P5" s="3727"/>
      <c r="Q5" s="3673"/>
      <c r="R5" s="3651"/>
      <c r="S5" s="3652"/>
      <c r="T5" s="3651"/>
      <c r="U5" s="3652"/>
      <c r="V5" s="3679"/>
      <c r="W5" s="3679"/>
      <c r="X5" s="1355"/>
      <c r="Y5" s="3651"/>
      <c r="Z5" s="3652"/>
      <c r="AA5" s="3645"/>
      <c r="AB5" s="3645"/>
      <c r="AC5" s="3645"/>
    </row>
    <row r="6" spans="1:29" ht="15.75" thickBot="1">
      <c r="A6" s="360"/>
      <c r="B6" s="361"/>
      <c r="C6" s="3737" t="s">
        <v>1918</v>
      </c>
      <c r="D6" s="3738"/>
      <c r="E6" s="3739" t="s">
        <v>1918</v>
      </c>
      <c r="F6" s="3740"/>
      <c r="G6" s="3737" t="s">
        <v>1918</v>
      </c>
      <c r="H6" s="3738"/>
      <c r="I6" s="3737" t="s">
        <v>1918</v>
      </c>
      <c r="J6" s="3738"/>
      <c r="K6" s="559" t="s">
        <v>1677</v>
      </c>
      <c r="L6" s="2709"/>
      <c r="M6" s="2710"/>
      <c r="N6" s="2710"/>
      <c r="O6" s="2710"/>
      <c r="P6" s="3728"/>
      <c r="Q6" s="3675"/>
      <c r="R6" s="3651"/>
      <c r="S6" s="3652"/>
      <c r="T6" s="3676"/>
      <c r="U6" s="3677"/>
      <c r="V6" s="3679"/>
      <c r="W6" s="3679"/>
      <c r="X6" s="1355"/>
      <c r="Y6" s="3676"/>
      <c r="Z6" s="3677"/>
      <c r="AA6" s="3646"/>
      <c r="AB6" s="3646"/>
      <c r="AC6" s="3646"/>
    </row>
    <row r="7" spans="1:29" s="108" customFormat="1" ht="15.75" thickBot="1">
      <c r="A7" s="362" t="s">
        <v>1678</v>
      </c>
      <c r="B7" s="363"/>
      <c r="C7" s="364">
        <f>'数据-取费表'!B2</f>
        <v>44978</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47" t="s">
        <v>1679</v>
      </c>
      <c r="Q7" s="3681"/>
      <c r="R7" s="701" t="s">
        <v>14</v>
      </c>
      <c r="S7" s="702">
        <f t="shared" ref="S7:S15" si="0">F7</f>
        <v>0</v>
      </c>
      <c r="T7" s="701" t="s">
        <v>14</v>
      </c>
      <c r="U7" s="702">
        <f t="shared" ref="U7:U15" si="1">H7</f>
        <v>0</v>
      </c>
      <c r="V7" s="701" t="s">
        <v>14</v>
      </c>
      <c r="W7" s="702">
        <f t="shared" ref="W7:W15" si="2">J7</f>
        <v>0</v>
      </c>
      <c r="X7" s="703"/>
      <c r="Y7" s="3647" t="s">
        <v>1679</v>
      </c>
      <c r="Z7" s="3648"/>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47" t="s">
        <v>1682</v>
      </c>
      <c r="Q8" s="3648"/>
      <c r="R8" s="701" t="s">
        <v>14</v>
      </c>
      <c r="S8" s="702">
        <f t="shared" si="0"/>
        <v>0</v>
      </c>
      <c r="T8" s="701" t="s">
        <v>14</v>
      </c>
      <c r="U8" s="702">
        <f t="shared" si="1"/>
        <v>0</v>
      </c>
      <c r="V8" s="701" t="s">
        <v>14</v>
      </c>
      <c r="W8" s="702">
        <f t="shared" si="2"/>
        <v>0</v>
      </c>
      <c r="X8" s="703"/>
      <c r="Y8" s="3647" t="s">
        <v>1682</v>
      </c>
      <c r="Z8" s="3648"/>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91" t="s">
        <v>1685</v>
      </c>
      <c r="Q9" s="1343" t="str">
        <f t="shared" ref="Q9:Q15" si="6">B9</f>
        <v>用途</v>
      </c>
      <c r="R9" s="701" t="s">
        <v>14</v>
      </c>
      <c r="S9" s="702">
        <f t="shared" si="0"/>
        <v>100</v>
      </c>
      <c r="T9" s="701" t="s">
        <v>14</v>
      </c>
      <c r="U9" s="702">
        <f t="shared" si="1"/>
        <v>100</v>
      </c>
      <c r="V9" s="701" t="s">
        <v>14</v>
      </c>
      <c r="W9" s="702">
        <f t="shared" si="2"/>
        <v>100</v>
      </c>
      <c r="X9" s="703"/>
      <c r="Y9" s="3617"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106</v>
      </c>
      <c r="G10" s="383"/>
      <c r="H10" s="127">
        <f>ROUND(100/'数据-取费表'!G16,0)</f>
        <v>106</v>
      </c>
      <c r="I10" s="383"/>
      <c r="J10" s="127">
        <f>ROUND(100/'数据-取费表'!G16,0)</f>
        <v>106</v>
      </c>
      <c r="K10" s="620"/>
      <c r="L10" s="2713"/>
      <c r="M10" s="2714"/>
      <c r="N10" s="2714"/>
      <c r="O10" s="2767"/>
      <c r="P10" s="3691"/>
      <c r="Q10" s="1343" t="str">
        <f t="shared" si="6"/>
        <v>土地使用年限（年）</v>
      </c>
      <c r="R10" s="701" t="s">
        <v>14</v>
      </c>
      <c r="S10" s="702">
        <f t="shared" si="0"/>
        <v>106</v>
      </c>
      <c r="T10" s="701" t="s">
        <v>14</v>
      </c>
      <c r="U10" s="702">
        <f t="shared" si="1"/>
        <v>106</v>
      </c>
      <c r="V10" s="701" t="s">
        <v>14</v>
      </c>
      <c r="W10" s="702">
        <f t="shared" si="2"/>
        <v>106</v>
      </c>
      <c r="X10" s="703"/>
      <c r="Y10" s="3617"/>
      <c r="Z10" s="52" t="str">
        <f t="shared" si="7"/>
        <v>土地使用年限（年）</v>
      </c>
      <c r="AA10" s="704">
        <f t="shared" si="3"/>
        <v>0.94339622641509435</v>
      </c>
      <c r="AB10" s="704">
        <f t="shared" si="4"/>
        <v>0.94339622641509435</v>
      </c>
      <c r="AC10" s="704">
        <f t="shared" si="5"/>
        <v>0.94339622641509435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91"/>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91"/>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91"/>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91"/>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84" t="s">
        <v>1690</v>
      </c>
      <c r="Q15" s="1352" t="str">
        <f t="shared" si="6"/>
        <v>产业集聚程度</v>
      </c>
      <c r="R15" s="705" t="s">
        <v>14</v>
      </c>
      <c r="S15" s="706">
        <f t="shared" si="0"/>
        <v>100</v>
      </c>
      <c r="T15" s="705" t="s">
        <v>14</v>
      </c>
      <c r="U15" s="706">
        <f t="shared" si="1"/>
        <v>100</v>
      </c>
      <c r="V15" s="705" t="s">
        <v>14</v>
      </c>
      <c r="W15" s="706">
        <f t="shared" si="2"/>
        <v>100</v>
      </c>
      <c r="X15" s="1355"/>
      <c r="Y15" s="3684"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85"/>
      <c r="Q16" s="1352"/>
      <c r="R16" s="705"/>
      <c r="S16" s="706"/>
      <c r="T16" s="705"/>
      <c r="U16" s="706"/>
      <c r="V16" s="705"/>
      <c r="W16" s="706"/>
      <c r="X16" s="1355"/>
      <c r="Y16" s="3685"/>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85"/>
      <c r="Q18" s="1352"/>
      <c r="R18" s="705"/>
      <c r="S18" s="706"/>
      <c r="T18" s="705"/>
      <c r="U18" s="706"/>
      <c r="V18" s="705"/>
      <c r="W18" s="706"/>
      <c r="X18" s="1355"/>
      <c r="Y18" s="3685"/>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85"/>
      <c r="Q19" s="1352" t="str">
        <f t="shared" ref="Q19:Q33" si="8">B19</f>
        <v>区域土地利用方向</v>
      </c>
      <c r="R19" s="705" t="s">
        <v>14</v>
      </c>
      <c r="S19" s="706">
        <f>F19</f>
        <v>100</v>
      </c>
      <c r="T19" s="705" t="s">
        <v>14</v>
      </c>
      <c r="U19" s="706">
        <f>H19</f>
        <v>100</v>
      </c>
      <c r="V19" s="705" t="s">
        <v>14</v>
      </c>
      <c r="W19" s="706">
        <f>J19</f>
        <v>100</v>
      </c>
      <c r="X19" s="1355"/>
      <c r="Y19" s="36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85"/>
      <c r="Q20" s="1352"/>
      <c r="R20" s="705"/>
      <c r="S20" s="706"/>
      <c r="T20" s="705"/>
      <c r="U20" s="706"/>
      <c r="V20" s="705"/>
      <c r="W20" s="706"/>
      <c r="X20" s="1355"/>
      <c r="Y20" s="3685"/>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85"/>
      <c r="Q21" s="1352" t="str">
        <f t="shared" si="8"/>
        <v>环境状况</v>
      </c>
      <c r="R21" s="705" t="s">
        <v>14</v>
      </c>
      <c r="S21" s="706">
        <f>F21</f>
        <v>100</v>
      </c>
      <c r="T21" s="705" t="s">
        <v>14</v>
      </c>
      <c r="U21" s="706">
        <f>H21</f>
        <v>100</v>
      </c>
      <c r="V21" s="705" t="s">
        <v>14</v>
      </c>
      <c r="W21" s="706">
        <f>J21</f>
        <v>100</v>
      </c>
      <c r="X21" s="1355"/>
      <c r="Y21" s="36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85"/>
      <c r="Q22" s="1352"/>
      <c r="R22" s="705"/>
      <c r="S22" s="706"/>
      <c r="T22" s="705"/>
      <c r="U22" s="706"/>
      <c r="V22" s="705"/>
      <c r="W22" s="706"/>
      <c r="X22" s="1355"/>
      <c r="Y22" s="3685"/>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85"/>
      <c r="Q23" s="1343" t="str">
        <f t="shared" si="8"/>
        <v>公共配套设施</v>
      </c>
      <c r="R23" s="701" t="s">
        <v>14</v>
      </c>
      <c r="S23" s="702">
        <f>F23</f>
        <v>100</v>
      </c>
      <c r="T23" s="701" t="s">
        <v>14</v>
      </c>
      <c r="U23" s="702">
        <f>H23</f>
        <v>100</v>
      </c>
      <c r="V23" s="701" t="s">
        <v>14</v>
      </c>
      <c r="W23" s="702">
        <f>J23</f>
        <v>100</v>
      </c>
      <c r="X23" s="703"/>
      <c r="Y23" s="36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85"/>
      <c r="Q24" s="1343"/>
      <c r="R24" s="701"/>
      <c r="S24" s="702"/>
      <c r="T24" s="701"/>
      <c r="U24" s="702"/>
      <c r="V24" s="701"/>
      <c r="W24" s="702"/>
      <c r="X24" s="703"/>
      <c r="Y24" s="3685"/>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85"/>
      <c r="Q25" s="1343"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85"/>
      <c r="Q26" s="1343"/>
      <c r="R26" s="701"/>
      <c r="S26" s="702"/>
      <c r="T26" s="701"/>
      <c r="U26" s="702"/>
      <c r="V26" s="701"/>
      <c r="W26" s="702"/>
      <c r="X26" s="703"/>
      <c r="Y26" s="368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5"/>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85"/>
      <c r="Q28" s="1352" t="str">
        <f t="shared" si="8"/>
        <v>毗邻道路的类型与等级</v>
      </c>
      <c r="R28" s="705" t="s">
        <v>14</v>
      </c>
      <c r="S28" s="706">
        <f t="shared" si="10"/>
        <v>100</v>
      </c>
      <c r="T28" s="705" t="s">
        <v>14</v>
      </c>
      <c r="U28" s="706">
        <f t="shared" si="11"/>
        <v>100</v>
      </c>
      <c r="V28" s="705" t="s">
        <v>14</v>
      </c>
      <c r="W28" s="706">
        <f t="shared" si="12"/>
        <v>100</v>
      </c>
      <c r="X28" s="1355"/>
      <c r="Y28" s="36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85"/>
      <c r="Q29" s="1352"/>
      <c r="R29" s="705"/>
      <c r="S29" s="706"/>
      <c r="T29" s="705"/>
      <c r="U29" s="706"/>
      <c r="V29" s="705"/>
      <c r="W29" s="706"/>
      <c r="X29" s="1355"/>
      <c r="Y29" s="3685"/>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85"/>
      <c r="Q30" s="1352" t="str">
        <f t="shared" si="8"/>
        <v>土地级别</v>
      </c>
      <c r="R30" s="705" t="s">
        <v>14</v>
      </c>
      <c r="S30" s="706">
        <f t="shared" si="10"/>
        <v>100</v>
      </c>
      <c r="T30" s="705" t="s">
        <v>14</v>
      </c>
      <c r="U30" s="706">
        <f t="shared" si="11"/>
        <v>100</v>
      </c>
      <c r="V30" s="705" t="s">
        <v>14</v>
      </c>
      <c r="W30" s="706">
        <f t="shared" si="12"/>
        <v>100</v>
      </c>
      <c r="X30" s="1355"/>
      <c r="Y30" s="36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85"/>
      <c r="Q31" s="1352">
        <f t="shared" si="8"/>
        <v>111</v>
      </c>
      <c r="R31" s="705" t="s">
        <v>14</v>
      </c>
      <c r="S31" s="706">
        <f t="shared" si="10"/>
        <v>100</v>
      </c>
      <c r="T31" s="705" t="s">
        <v>14</v>
      </c>
      <c r="U31" s="706">
        <f t="shared" si="11"/>
        <v>100</v>
      </c>
      <c r="V31" s="705" t="s">
        <v>14</v>
      </c>
      <c r="W31" s="706">
        <f t="shared" si="12"/>
        <v>100</v>
      </c>
      <c r="X31" s="1355"/>
      <c r="Y31" s="36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32" t="s">
        <v>1695</v>
      </c>
      <c r="Q32" s="1352">
        <f t="shared" si="8"/>
        <v>111</v>
      </c>
      <c r="R32" s="705" t="s">
        <v>14</v>
      </c>
      <c r="S32" s="706">
        <f t="shared" si="10"/>
        <v>100</v>
      </c>
      <c r="T32" s="705" t="s">
        <v>14</v>
      </c>
      <c r="U32" s="706">
        <f t="shared" si="11"/>
        <v>100</v>
      </c>
      <c r="V32" s="705" t="s">
        <v>14</v>
      </c>
      <c r="W32" s="706">
        <f t="shared" si="12"/>
        <v>100</v>
      </c>
      <c r="X32" s="1355"/>
      <c r="Y32" s="3689"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89"/>
      <c r="Q33" s="1352">
        <f t="shared" si="8"/>
        <v>111</v>
      </c>
      <c r="R33" s="708" t="s">
        <v>14</v>
      </c>
      <c r="S33" s="709">
        <f t="shared" si="10"/>
        <v>100</v>
      </c>
      <c r="T33" s="708" t="s">
        <v>14</v>
      </c>
      <c r="U33" s="709">
        <f t="shared" si="11"/>
        <v>100</v>
      </c>
      <c r="V33" s="708" t="s">
        <v>14</v>
      </c>
      <c r="W33" s="709">
        <f t="shared" si="12"/>
        <v>100</v>
      </c>
      <c r="X33" s="710"/>
      <c r="Y33" s="3689"/>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89"/>
      <c r="Q34" s="1352" t="str">
        <f>B34</f>
        <v>宗地面积</v>
      </c>
      <c r="R34" s="705" t="s">
        <v>14</v>
      </c>
      <c r="S34" s="706" t="e">
        <f t="shared" si="10"/>
        <v>#N/A</v>
      </c>
      <c r="T34" s="705" t="s">
        <v>14</v>
      </c>
      <c r="U34" s="706" t="e">
        <f t="shared" si="11"/>
        <v>#N/A</v>
      </c>
      <c r="V34" s="705" t="s">
        <v>14</v>
      </c>
      <c r="W34" s="706" t="e">
        <f t="shared" si="12"/>
        <v>#N/A</v>
      </c>
      <c r="X34" s="1355"/>
      <c r="Y34" s="3689"/>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89"/>
      <c r="Q35" s="1352" t="str">
        <f t="shared" ref="Q35:Q40" si="14">B35</f>
        <v>宗地形状</v>
      </c>
      <c r="R35" s="705" t="s">
        <v>14</v>
      </c>
      <c r="S35" s="706">
        <f t="shared" si="10"/>
        <v>100</v>
      </c>
      <c r="T35" s="705" t="s">
        <v>14</v>
      </c>
      <c r="U35" s="706">
        <f t="shared" si="11"/>
        <v>100</v>
      </c>
      <c r="V35" s="705" t="s">
        <v>14</v>
      </c>
      <c r="W35" s="706">
        <f t="shared" si="12"/>
        <v>100</v>
      </c>
      <c r="X35" s="1355"/>
      <c r="Y35" s="3689"/>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89"/>
      <c r="Q36" s="1352"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89" t="s">
        <v>1695</v>
      </c>
      <c r="Q37" s="1352" t="str">
        <f t="shared" si="14"/>
        <v>工程地质条件</v>
      </c>
      <c r="R37" s="705" t="s">
        <v>14</v>
      </c>
      <c r="S37" s="706">
        <f t="shared" si="10"/>
        <v>100</v>
      </c>
      <c r="T37" s="705" t="s">
        <v>14</v>
      </c>
      <c r="U37" s="706">
        <f t="shared" si="11"/>
        <v>100</v>
      </c>
      <c r="V37" s="705" t="s">
        <v>14</v>
      </c>
      <c r="W37" s="706">
        <f t="shared" si="12"/>
        <v>100</v>
      </c>
      <c r="X37" s="1355"/>
      <c r="Y37" s="3689"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89"/>
      <c r="Q38" s="1352">
        <f t="shared" si="14"/>
        <v>111</v>
      </c>
      <c r="R38" s="705" t="s">
        <v>14</v>
      </c>
      <c r="S38" s="706">
        <f t="shared" si="10"/>
        <v>100</v>
      </c>
      <c r="T38" s="705" t="s">
        <v>14</v>
      </c>
      <c r="U38" s="706">
        <f t="shared" si="11"/>
        <v>100</v>
      </c>
      <c r="V38" s="705" t="s">
        <v>14</v>
      </c>
      <c r="W38" s="706">
        <f t="shared" si="12"/>
        <v>100</v>
      </c>
      <c r="X38" s="1355"/>
      <c r="Y38" s="36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89"/>
      <c r="Q39" s="1352">
        <f t="shared" si="14"/>
        <v>111</v>
      </c>
      <c r="R39" s="705" t="s">
        <v>14</v>
      </c>
      <c r="S39" s="706">
        <f t="shared" si="10"/>
        <v>100</v>
      </c>
      <c r="T39" s="705" t="s">
        <v>14</v>
      </c>
      <c r="U39" s="706">
        <f t="shared" si="11"/>
        <v>100</v>
      </c>
      <c r="V39" s="705" t="s">
        <v>14</v>
      </c>
      <c r="W39" s="706">
        <f t="shared" si="12"/>
        <v>100</v>
      </c>
      <c r="X39" s="1355"/>
      <c r="Y39" s="36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89"/>
      <c r="Q40" s="1352">
        <f t="shared" si="14"/>
        <v>111</v>
      </c>
      <c r="R40" s="708" t="s">
        <v>14</v>
      </c>
      <c r="S40" s="709">
        <f t="shared" si="10"/>
        <v>100</v>
      </c>
      <c r="T40" s="708" t="s">
        <v>14</v>
      </c>
      <c r="U40" s="709">
        <f t="shared" si="11"/>
        <v>100</v>
      </c>
      <c r="V40" s="708" t="s">
        <v>14</v>
      </c>
      <c r="W40" s="709">
        <f t="shared" si="12"/>
        <v>100</v>
      </c>
      <c r="X40" s="710"/>
      <c r="Y40" s="3689"/>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8"/>
      <c r="M41" s="2710"/>
      <c r="N41" s="2710"/>
      <c r="O41" s="2719"/>
      <c r="P41" s="3691" t="str">
        <f>A41</f>
        <v>成交单价</v>
      </c>
      <c r="Q41" s="3691"/>
      <c r="R41" s="3679">
        <f>E41</f>
        <v>0</v>
      </c>
      <c r="S41" s="3679"/>
      <c r="T41" s="3679">
        <f>G41</f>
        <v>0</v>
      </c>
      <c r="U41" s="3679"/>
      <c r="V41" s="3679">
        <f>I41</f>
        <v>0</v>
      </c>
      <c r="W41" s="367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8"/>
      <c r="M42" s="2710"/>
      <c r="N42" s="2710"/>
      <c r="O42" s="2719"/>
      <c r="P42" s="3691" t="str">
        <f>A42</f>
        <v>比较价值（元/平方米）</v>
      </c>
      <c r="Q42" s="3691"/>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8"/>
      <c r="M43" s="2710"/>
      <c r="N43" s="2710"/>
      <c r="O43" s="2719"/>
      <c r="P43" s="3729" t="str">
        <f>A43</f>
        <v>估价对象XX用房的比较价值（楼面单价，元/平方米）</v>
      </c>
      <c r="Q43" s="3730"/>
      <c r="R43" s="3735" t="e">
        <f>ROUND(IF(D42="简单平均",AVERAGE(R42:W42),R42*F42+T42*H42+V42*J42),0)</f>
        <v>#DIV/0!</v>
      </c>
      <c r="S43" s="3735"/>
      <c r="T43" s="3735"/>
      <c r="U43" s="3735"/>
      <c r="V43" s="3735"/>
      <c r="W43" s="3735"/>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1880</v>
      </c>
      <c r="B50" s="633" t="s">
        <v>1881</v>
      </c>
      <c r="C50" s="1983" t="s">
        <v>1882</v>
      </c>
      <c r="D50" s="1984" t="s">
        <v>1883</v>
      </c>
      <c r="E50" s="634" t="s">
        <v>1884</v>
      </c>
      <c r="F50" s="635" t="s">
        <v>1885</v>
      </c>
      <c r="G50" s="3666" t="s">
        <v>1886</v>
      </c>
      <c r="H50" s="3736"/>
      <c r="I50" s="1356" t="s">
        <v>1922</v>
      </c>
      <c r="J50" s="1356">
        <f>项目基本情况!F35</f>
        <v>0</v>
      </c>
      <c r="K50" s="1986" t="s">
        <v>1888</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1889</v>
      </c>
      <c r="B51" s="637" t="e">
        <f>C43</f>
        <v>#DIV/0!</v>
      </c>
      <c r="C51" s="638">
        <v>1</v>
      </c>
      <c r="D51" s="944">
        <v>1</v>
      </c>
      <c r="E51" s="638">
        <f>'数据-汇总表'!E8+'数据-汇总表'!E9</f>
        <v>1105.3800000000001</v>
      </c>
      <c r="F51" s="639" t="e">
        <f t="shared" ref="F51:F60" si="15">ROUND(B51*E51/10000,0)</f>
        <v>#DIV/0!</v>
      </c>
      <c r="G51" s="3662"/>
      <c r="H51" s="3691"/>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1890</v>
      </c>
      <c r="B52" s="218" t="e">
        <f>ROUND($C$43*C52*D52,0)</f>
        <v>#DIV/0!</v>
      </c>
      <c r="C52" s="171">
        <f t="shared" ref="C52:C60" si="16">IF($C$50="北京市系数",I52,J52)</f>
        <v>0</v>
      </c>
      <c r="D52" s="945">
        <v>0.25</v>
      </c>
      <c r="E52" s="642"/>
      <c r="F52" s="639" t="e">
        <f t="shared" si="15"/>
        <v>#DIV/0!</v>
      </c>
      <c r="G52" s="3000" t="s">
        <v>1891</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1892</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1893</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19"/>
      <c r="Q63" s="2719"/>
      <c r="R63" s="2719"/>
      <c r="S63" s="2719"/>
      <c r="T63" s="2719"/>
      <c r="U63" s="2719"/>
      <c r="V63" s="2719"/>
      <c r="W63" s="2719"/>
      <c r="X63" s="2719"/>
      <c r="Y63" s="2719"/>
      <c r="Z63" s="2719"/>
      <c r="AA63" s="2719"/>
      <c r="AB63" s="2719"/>
      <c r="AC63" s="2719"/>
      <c r="AD63" s="2719"/>
      <c r="AE63" s="2719"/>
    </row>
    <row r="64" spans="1:31" ht="21.75" thickBot="1">
      <c r="A64" s="694" t="s">
        <v>1797</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1687</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1689</v>
      </c>
      <c r="B83" s="477" t="s">
        <v>1828</v>
      </c>
      <c r="C83" s="522" t="s">
        <v>1720</v>
      </c>
      <c r="D83" s="522" t="s">
        <v>1721</v>
      </c>
      <c r="E83" s="522" t="s">
        <v>1722</v>
      </c>
      <c r="F83" s="522" t="s">
        <v>1723</v>
      </c>
      <c r="G83" s="522" t="s">
        <v>1724</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1725</v>
      </c>
      <c r="C85" s="527" t="s">
        <v>1720</v>
      </c>
      <c r="D85" s="527" t="s">
        <v>1721</v>
      </c>
      <c r="E85" s="527" t="s">
        <v>1722</v>
      </c>
      <c r="F85" s="527" t="s">
        <v>1723</v>
      </c>
      <c r="G85" s="527" t="s">
        <v>1724</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1814</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1872</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1913</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1915</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1916</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4" t="s">
        <v>2083</v>
      </c>
      <c r="D1" s="3745"/>
      <c r="E1" s="3745"/>
      <c r="F1" s="3745"/>
      <c r="G1" s="3745"/>
      <c r="H1" s="3745"/>
      <c r="I1" s="3745"/>
      <c r="J1" s="3745"/>
      <c r="K1" s="3745"/>
      <c r="L1" s="3745"/>
      <c r="M1" s="3745"/>
      <c r="N1" s="3745"/>
      <c r="O1" s="3745"/>
      <c r="P1" s="3745"/>
      <c r="Q1" s="3745"/>
      <c r="R1" s="3745"/>
      <c r="S1" s="374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7"/>
      <c r="G1" s="2787"/>
      <c r="H1" s="2787"/>
      <c r="I1" s="2787"/>
      <c r="J1" s="2787"/>
      <c r="K1" s="2787"/>
      <c r="L1" s="2787"/>
      <c r="M1" s="2787"/>
      <c r="N1" s="2787"/>
      <c r="O1" s="2787"/>
      <c r="P1" s="2787"/>
    </row>
    <row r="2" spans="1:16" ht="15.75">
      <c r="A2" s="2145" t="s">
        <v>2072</v>
      </c>
      <c r="B2" s="2597" t="e">
        <f ca="1">SUMIF(B6:B13,"&lt;&gt;#ref!",B6:B13)</f>
        <v>#DIV/0!</v>
      </c>
      <c r="C2" s="2145" t="s">
        <v>2073</v>
      </c>
      <c r="D2" s="2145" t="s">
        <v>2074</v>
      </c>
      <c r="E2" s="2607">
        <f ca="1">SUMIF(E6:E13,"&lt;&gt;#ref!",E6:E13)</f>
        <v>0</v>
      </c>
      <c r="F2" s="2787"/>
      <c r="G2" s="2787"/>
      <c r="H2" s="2787"/>
      <c r="I2" s="2787"/>
      <c r="J2" s="2787"/>
      <c r="K2" s="2787"/>
      <c r="L2" s="2787"/>
      <c r="M2" s="2787"/>
      <c r="N2" s="2787"/>
      <c r="O2" s="2787"/>
      <c r="P2" s="2787"/>
    </row>
    <row r="3" spans="1:16" ht="15.75">
      <c r="A3" s="2145" t="s">
        <v>2075</v>
      </c>
      <c r="B3" s="2597" t="e">
        <f ca="1">ROUND(B2*10000/E2,0)</f>
        <v>#DIV/0!</v>
      </c>
      <c r="C3" s="2145"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2076</v>
      </c>
      <c r="B5" s="2605" t="s">
        <v>2077</v>
      </c>
      <c r="C5" s="2146"/>
      <c r="D5" s="2787"/>
      <c r="E5" s="2606" t="s">
        <v>2078</v>
      </c>
      <c r="F5" s="2787"/>
      <c r="G5" s="2787"/>
      <c r="H5" s="2787"/>
      <c r="I5" s="2787"/>
      <c r="J5" s="2787"/>
      <c r="K5" s="2787"/>
      <c r="L5" s="2787"/>
      <c r="M5" s="2787"/>
      <c r="N5" s="2787"/>
      <c r="O5" s="2787"/>
      <c r="P5" s="2787"/>
    </row>
    <row r="6" spans="1:16" ht="15.75">
      <c r="A6" s="2604" t="s">
        <v>2079</v>
      </c>
      <c r="B6" s="2597" t="e">
        <f ca="1">SUMIF(INDIRECT("'"&amp;A6&amp;"'"&amp;"!A:A"),"总价",INDIRECT("'"&amp;A6&amp;"'"&amp;"!B:B"))</f>
        <v>#DIV/0!</v>
      </c>
      <c r="C6" s="2145" t="s">
        <v>2073</v>
      </c>
      <c r="D6" s="2787"/>
      <c r="E6" s="2607">
        <f ca="1">SUMIF(INDIRECT("'"&amp;A6&amp;"'"&amp;"!C:C"),"建筑面积",INDIRECT("'"&amp;A6&amp;"'"&amp;"!D:D"))</f>
        <v>0</v>
      </c>
      <c r="F6" s="2787"/>
      <c r="G6" s="2787"/>
      <c r="H6" s="2787"/>
      <c r="I6" s="2787"/>
      <c r="J6" s="2787"/>
      <c r="K6" s="2787"/>
      <c r="L6" s="2787"/>
      <c r="M6" s="2787"/>
      <c r="N6" s="2787"/>
      <c r="O6" s="2787"/>
      <c r="P6" s="2787"/>
    </row>
    <row r="7" spans="1:16" ht="15.75">
      <c r="A7" s="2604"/>
      <c r="B7" s="2597" t="e">
        <f ca="1">SUMIF(INDIRECT("'"&amp;A7&amp;"'"&amp;"!A:A"),"总价",INDIRECT("'"&amp;A7&amp;"'"&amp;"!B:B"))</f>
        <v>#REF!</v>
      </c>
      <c r="C7" s="2145" t="s">
        <v>2073</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5" t="s">
        <v>2073</v>
      </c>
      <c r="D8" s="2787"/>
      <c r="E8" s="2607" t="e">
        <f t="shared" ca="1" si="0"/>
        <v>#REF!</v>
      </c>
      <c r="F8" s="2787"/>
      <c r="G8" s="2787"/>
      <c r="H8" s="2787"/>
      <c r="I8" s="2787"/>
      <c r="J8" s="2787"/>
      <c r="K8" s="2787"/>
      <c r="L8" s="2787"/>
      <c r="M8" s="2787"/>
      <c r="N8" s="2787"/>
      <c r="O8" s="2787"/>
      <c r="P8" s="2787"/>
    </row>
    <row r="9" spans="1:16" ht="15.75">
      <c r="A9" s="2604"/>
      <c r="B9" s="2597" t="e">
        <f t="shared" ca="1" si="1"/>
        <v>#REF!</v>
      </c>
      <c r="C9" s="2145" t="s">
        <v>2073</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5" t="s">
        <v>2073</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5" t="s">
        <v>2073</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5" t="s">
        <v>2073</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5" t="s">
        <v>2073</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16"/>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0</v>
      </c>
      <c r="T2" s="3355" t="e">
        <f t="shared" ref="T2:T16" si="0">ROUND($C$5*$C$22*$C$23*$C$24*S2*$C$28,0)</f>
        <v>#DIV/0!</v>
      </c>
      <c r="U2" s="1213"/>
      <c r="V2" s="3355"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4"/>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0</v>
      </c>
      <c r="T3" s="3355" t="e">
        <f t="shared" si="0"/>
        <v>#DIV/0!</v>
      </c>
      <c r="U3" s="1213"/>
      <c r="V3" s="3355" t="e">
        <f t="shared" ref="V3:V16" si="1">ROUND(T3*U3/10000,0)</f>
        <v>#DIV/0!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0</v>
      </c>
      <c r="T4" s="3355" t="e">
        <f t="shared" si="0"/>
        <v>#DIV/0!</v>
      </c>
      <c r="U4" s="1213"/>
      <c r="V4" s="3355"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v>
      </c>
      <c r="T5" s="3355" t="e">
        <f t="shared" si="0"/>
        <v>#DIV/0!</v>
      </c>
      <c r="U5" s="1213"/>
      <c r="V5" s="3355"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v>
      </c>
      <c r="T6" s="3355" t="e">
        <f t="shared" si="0"/>
        <v>#DIV/0!</v>
      </c>
      <c r="U6" s="1213"/>
      <c r="V6" s="3355" t="e">
        <f t="shared" si="1"/>
        <v>#DIV/0!</v>
      </c>
      <c r="W6" s="1216"/>
      <c r="X6" s="1216"/>
      <c r="Y6" s="1216"/>
      <c r="Z6" s="1216"/>
      <c r="AA6" s="1216"/>
      <c r="AB6" s="1216"/>
      <c r="AC6" s="2011"/>
      <c r="AD6" s="2012"/>
      <c r="AE6" s="2012"/>
      <c r="AF6" s="2012"/>
      <c r="AG6" s="2012"/>
      <c r="AH6" s="2012"/>
      <c r="AI6" s="2012"/>
      <c r="AJ6" s="2013"/>
    </row>
    <row r="7" spans="1:36" ht="24.75" thickBot="1">
      <c r="A7" s="3298" t="s">
        <v>3236</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3"/>
      <c r="T7" s="3355" t="e">
        <f t="shared" si="0"/>
        <v>#DIV/0!</v>
      </c>
      <c r="U7" s="1213"/>
      <c r="V7" s="3355"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3"/>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5" t="e">
        <f t="shared" si="0"/>
        <v>#DIV/0!</v>
      </c>
      <c r="U8" s="1213"/>
      <c r="V8" s="3355" t="e">
        <f t="shared" si="1"/>
        <v>#DIV/0!</v>
      </c>
      <c r="W8" s="3751" t="s">
        <v>1959</v>
      </c>
      <c r="X8" s="375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3"/>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5" t="e">
        <f t="shared" si="0"/>
        <v>#DIV/0!</v>
      </c>
      <c r="U9" s="1213"/>
      <c r="V9" s="3355" t="e">
        <f t="shared" si="1"/>
        <v>#DIV/0!</v>
      </c>
      <c r="W9" s="3753"/>
      <c r="X9" s="3356" t="s">
        <v>3267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5" t="e">
        <f t="shared" si="0"/>
        <v>#DIV/0!</v>
      </c>
      <c r="U10" s="1213"/>
      <c r="V10" s="3355" t="e">
        <f t="shared" si="1"/>
        <v>#DIV/0!</v>
      </c>
      <c r="W10" s="375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t="e">
        <f t="shared" si="0"/>
        <v>#DIV/0!</v>
      </c>
      <c r="U11" s="1213"/>
      <c r="V11" s="3355" t="e">
        <f t="shared" si="1"/>
        <v>#DIV/0!</v>
      </c>
      <c r="W11" s="1216"/>
      <c r="X11" s="1216"/>
      <c r="Y11" s="1216"/>
      <c r="Z11" s="1216"/>
      <c r="AA11" s="1216"/>
      <c r="AB11" s="1216"/>
      <c r="AC11" s="1217"/>
      <c r="AD11" s="2783"/>
      <c r="AE11" s="2783"/>
      <c r="AF11" s="2783"/>
      <c r="AG11" s="2783"/>
      <c r="AH11" s="2783"/>
      <c r="AI11" s="2783"/>
      <c r="AJ11" s="2784"/>
    </row>
    <row r="12" spans="1:36" ht="25.5" thickBot="1">
      <c r="A12" s="3298" t="s">
        <v>3237</v>
      </c>
      <c r="B12" s="3299" t="s">
        <v>3238</v>
      </c>
      <c r="C12" s="3300"/>
      <c r="D12" s="3301" t="s">
        <v>3239</v>
      </c>
      <c r="E12" s="3302" t="s">
        <v>3240</v>
      </c>
      <c r="F12" s="3303"/>
      <c r="G12" s="3304"/>
      <c r="H12" s="3304"/>
      <c r="I12" s="3304"/>
      <c r="J12" s="3305"/>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t="e">
        <f t="shared" si="0"/>
        <v>#DIV/0!</v>
      </c>
      <c r="U12" s="1213"/>
      <c r="V12" s="3355" t="e">
        <f t="shared" si="1"/>
        <v>#DIV/0!</v>
      </c>
      <c r="W12" s="1216"/>
      <c r="X12" s="1216"/>
      <c r="Y12" s="1216"/>
      <c r="Z12" s="1216"/>
      <c r="AA12" s="1216"/>
      <c r="AB12" s="1216"/>
      <c r="AC12" s="1217"/>
      <c r="AD12" s="2783"/>
      <c r="AE12" s="2783"/>
      <c r="AF12" s="2783"/>
      <c r="AG12" s="2783"/>
      <c r="AH12" s="2783"/>
      <c r="AI12" s="2783"/>
      <c r="AJ12" s="2784"/>
    </row>
    <row r="13" spans="1:36" ht="15.75" thickBot="1">
      <c r="A13" s="3298" t="s">
        <v>3241</v>
      </c>
      <c r="B13" s="2034" t="s">
        <v>1981</v>
      </c>
      <c r="C13" s="755">
        <f>ROUND(C16*D16*E16*F16*G16*H16*I16*J16,4)</f>
        <v>0</v>
      </c>
      <c r="D13" s="2035" t="s">
        <v>1982</v>
      </c>
      <c r="E13" s="2036"/>
      <c r="F13" s="2036"/>
      <c r="G13" s="2037"/>
      <c r="H13" s="2037"/>
      <c r="I13" s="2037"/>
      <c r="J13" s="2038"/>
      <c r="K13" s="1119"/>
      <c r="L13" s="3294"/>
      <c r="M13" s="3295"/>
      <c r="N13" s="3296"/>
      <c r="O13" s="1119"/>
      <c r="P13" s="1119"/>
      <c r="Q13" s="1119"/>
      <c r="R13" s="1212">
        <v>12</v>
      </c>
      <c r="S13" s="1213"/>
      <c r="T13" s="3355" t="e">
        <f t="shared" si="0"/>
        <v>#DIV/0!</v>
      </c>
      <c r="U13" s="1213"/>
      <c r="V13" s="3355" t="e">
        <f t="shared" si="1"/>
        <v>#DIV/0!</v>
      </c>
      <c r="W13" s="1216"/>
      <c r="X13" s="1216"/>
      <c r="Y13" s="1216"/>
      <c r="Z13" s="1216"/>
      <c r="AA13" s="1216"/>
      <c r="AB13" s="1216"/>
      <c r="AC13" s="1217"/>
      <c r="AD13" s="2783"/>
      <c r="AE13" s="2783"/>
      <c r="AF13" s="2783"/>
      <c r="AG13" s="2783"/>
      <c r="AH13" s="2783"/>
      <c r="AI13" s="2783"/>
      <c r="AJ13" s="2784"/>
    </row>
    <row r="14" spans="1:36" ht="15">
      <c r="A14" s="3292"/>
      <c r="B14" s="2040" t="s">
        <v>1984</v>
      </c>
      <c r="C14" s="2041" t="s">
        <v>1985</v>
      </c>
      <c r="D14" s="1350" t="s">
        <v>1986</v>
      </c>
      <c r="E14" s="27" t="s">
        <v>1987</v>
      </c>
      <c r="F14" s="3306" t="s">
        <v>3242</v>
      </c>
      <c r="G14" s="3306" t="s">
        <v>3242</v>
      </c>
      <c r="H14" s="3306" t="s">
        <v>3242</v>
      </c>
      <c r="I14" s="3306" t="s">
        <v>3242</v>
      </c>
      <c r="J14" s="3306" t="s">
        <v>3242</v>
      </c>
      <c r="K14" s="1119"/>
      <c r="L14" s="1119"/>
      <c r="M14" s="1119"/>
      <c r="N14" s="1119"/>
      <c r="O14" s="1119"/>
      <c r="P14" s="1119"/>
      <c r="Q14" s="1119"/>
      <c r="R14" s="1212">
        <v>13</v>
      </c>
      <c r="S14" s="1213"/>
      <c r="T14" s="3355" t="e">
        <f t="shared" si="0"/>
        <v>#DIV/0!</v>
      </c>
      <c r="U14" s="1213"/>
      <c r="V14" s="3355" t="e">
        <f t="shared" si="1"/>
        <v>#DIV/0!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3243</v>
      </c>
      <c r="G15" s="3308"/>
      <c r="H15" s="3309"/>
      <c r="I15" s="3310"/>
      <c r="J15" s="3311"/>
      <c r="K15" s="1119"/>
      <c r="L15" s="1119"/>
      <c r="M15" s="1119"/>
      <c r="N15" s="1119"/>
      <c r="O15" s="1119"/>
      <c r="P15" s="1119"/>
      <c r="Q15" s="1119"/>
      <c r="R15" s="1212">
        <v>14</v>
      </c>
      <c r="S15" s="1213"/>
      <c r="T15" s="3355" t="e">
        <f t="shared" si="0"/>
        <v>#DIV/0!</v>
      </c>
      <c r="U15" s="1213"/>
      <c r="V15" s="3355" t="e">
        <f t="shared" si="1"/>
        <v>#DIV/0!</v>
      </c>
      <c r="W15" s="1216"/>
      <c r="X15" s="1216"/>
      <c r="Y15" s="1216"/>
      <c r="Z15" s="1216"/>
      <c r="AA15" s="1216"/>
      <c r="AB15" s="1216"/>
      <c r="AC15" s="1217"/>
      <c r="AD15" s="2783"/>
      <c r="AE15" s="2783"/>
      <c r="AF15" s="2783"/>
      <c r="AG15" s="2783"/>
      <c r="AH15" s="2783"/>
      <c r="AI15" s="2783"/>
      <c r="AJ15" s="2784"/>
    </row>
    <row r="16" spans="1:36" ht="15.75" thickBot="1">
      <c r="A16" s="3292"/>
      <c r="B16" s="3314" t="s">
        <v>1988</v>
      </c>
      <c r="C16" s="3312"/>
      <c r="D16" s="3312"/>
      <c r="E16" s="3312"/>
      <c r="F16" s="3312">
        <v>1</v>
      </c>
      <c r="G16" s="3312">
        <v>1</v>
      </c>
      <c r="H16" s="3312">
        <v>1</v>
      </c>
      <c r="I16" s="3312">
        <v>1</v>
      </c>
      <c r="J16" s="3313">
        <v>1</v>
      </c>
      <c r="K16" s="1119"/>
      <c r="L16" s="1997"/>
      <c r="M16" s="1997"/>
      <c r="N16" s="1997"/>
      <c r="O16" s="1997"/>
      <c r="P16" s="1997"/>
      <c r="Q16" s="1119"/>
      <c r="R16" s="1212">
        <v>15</v>
      </c>
      <c r="S16" s="1213"/>
      <c r="T16" s="3355" t="e">
        <f t="shared" si="0"/>
        <v>#DIV/0!</v>
      </c>
      <c r="U16" s="1213"/>
      <c r="V16" s="3355" t="e">
        <f t="shared" si="1"/>
        <v>#DIV/0!</v>
      </c>
      <c r="W16" s="1216"/>
      <c r="X16" s="1216"/>
      <c r="Y16" s="1216"/>
      <c r="Z16" s="1216"/>
      <c r="AA16" s="1216"/>
      <c r="AB16" s="1216"/>
      <c r="AC16" s="1217"/>
      <c r="AD16" s="2783"/>
      <c r="AE16" s="2783"/>
      <c r="AF16" s="2783"/>
      <c r="AG16" s="2783"/>
      <c r="AH16" s="2783"/>
      <c r="AI16" s="2783"/>
      <c r="AJ16" s="2784"/>
    </row>
    <row r="17" spans="1:37">
      <c r="A17" s="3324" t="s">
        <v>3244</v>
      </c>
      <c r="B17" s="3315" t="s">
        <v>3245</v>
      </c>
      <c r="C17" s="3325">
        <f>ROUND(IF(OR(E2="工业",E2="公共服务"),1,IF(AND(E18=0,E19=0),1,IF(AND(E18=J24,E19=G19),0.8,IF(E19=0,1+E17*(-0.2),1+E17*G17*(-0.2))))),4)</f>
        <v>1</v>
      </c>
      <c r="D17" s="3316" t="s">
        <v>3246</v>
      </c>
      <c r="E17" s="3325" t="e">
        <f>ROUND(G18/I18,2)</f>
        <v>#DIV/0!</v>
      </c>
      <c r="F17" s="3316" t="s">
        <v>3249</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3247</v>
      </c>
      <c r="E18" s="3323"/>
      <c r="F18" s="3318" t="s">
        <v>3250</v>
      </c>
      <c r="G18" s="3322">
        <f>ROUND(1-(1/(POWER(1+G24,E18))),4)</f>
        <v>0</v>
      </c>
      <c r="H18" s="3318" t="s">
        <v>3252</v>
      </c>
      <c r="I18" s="3322">
        <f>ROUND(1-(1/(POWER(1+G24,J24))),4)</f>
        <v>0</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3248</v>
      </c>
      <c r="E19" s="3332"/>
      <c r="F19" s="3333" t="s">
        <v>3251</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58" t="s">
        <v>3253</v>
      </c>
      <c r="B20" s="167" t="s">
        <v>1993</v>
      </c>
      <c r="C20" s="3319" t="e">
        <f>ROUND(IF(F21="与级别开发程度一致",0,(G21-E21)/C21),0)</f>
        <v>#DIV/0!</v>
      </c>
      <c r="D20" s="3335" t="s">
        <v>1997</v>
      </c>
      <c r="E20" s="3336"/>
      <c r="F20" s="3764" t="s">
        <v>1994</v>
      </c>
      <c r="G20" s="3765"/>
      <c r="H20" s="3320"/>
      <c r="I20" s="3320"/>
      <c r="J20" s="3321"/>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15" thickBot="1">
      <c r="A21" s="3759"/>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1999</v>
      </c>
      <c r="C22" s="2160">
        <f>SUMIF(修正!C20:C51,E3,修正!E20:E51)</f>
        <v>0</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2001</v>
      </c>
      <c r="E23" s="761">
        <v>44197</v>
      </c>
      <c r="F23" s="2054" t="s">
        <v>2002</v>
      </c>
      <c r="G23" s="762">
        <f>'数据-取费表'!B2</f>
        <v>44978</v>
      </c>
      <c r="H23" s="3337" t="s">
        <v>3255</v>
      </c>
      <c r="I23" s="3338" t="str">
        <f>IF(H23="季度增幅（自定义）",SUMIF(N25:N28,E2,O25:O28),"")</f>
        <v/>
      </c>
      <c r="J23" s="3440" t="s">
        <v>3254</v>
      </c>
      <c r="K23" s="1125"/>
      <c r="L23" s="2055" t="s">
        <v>2003</v>
      </c>
      <c r="M23" s="1328">
        <f>ROUND(SUMIF(地价!B2:G2,E2,地价!B16:G16),0)</f>
        <v>0</v>
      </c>
      <c r="N23" s="2056" t="s">
        <v>2004</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存贷款利率!E22/100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3334</v>
      </c>
      <c r="C25" s="771">
        <f>IF(B25="容积率修正",IF(G3&lt;10,D26,J26),C27)</f>
        <v>0</v>
      </c>
      <c r="D25" s="2067"/>
      <c r="E25" s="2067"/>
      <c r="F25" s="2067"/>
      <c r="G25" s="2067"/>
      <c r="H25" s="2067"/>
      <c r="I25" s="2067"/>
      <c r="J25" s="2068"/>
      <c r="K25" s="1125"/>
      <c r="L25" s="2782"/>
      <c r="M25" s="2782"/>
      <c r="N25" s="2069" t="s">
        <v>2012</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39" t="s">
        <v>3256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3257</v>
      </c>
      <c r="J26" s="772" t="str">
        <f>IF(G3&gt;=10,D115,"——")</f>
        <v>——</v>
      </c>
      <c r="K26" s="1125"/>
      <c r="L26" s="2782"/>
      <c r="M26" s="2782"/>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2"/>
      <c r="M28" s="2782"/>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79" t="s">
        <v>2022</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45" t="s">
        <v>1935</v>
      </c>
      <c r="M30" s="3346" t="s">
        <v>1989</v>
      </c>
      <c r="N30" s="3346" t="s">
        <v>1990</v>
      </c>
      <c r="O30" s="3346" t="s">
        <v>1991</v>
      </c>
      <c r="P30" s="3346" t="s">
        <v>1992</v>
      </c>
      <c r="Q30" s="3349"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47" t="s">
        <v>1995</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8" t="s">
        <v>1998</v>
      </c>
      <c r="M32" s="2565">
        <f>ROUND($E$24*(1+M31),3)</f>
        <v>5.3999999999999999E-2</v>
      </c>
      <c r="N32" s="2565">
        <f>ROUND($E$24*(1+N31),3)</f>
        <v>5.1999999999999998E-2</v>
      </c>
      <c r="O32" s="2565">
        <f>ROUND($E$24*(1+O31),3)</f>
        <v>0.05</v>
      </c>
      <c r="P32" s="2565">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40" t="s">
        <v>3259</v>
      </c>
      <c r="G33" s="2099"/>
      <c r="H33" s="2099"/>
      <c r="I33" s="2099"/>
      <c r="J33" s="2100"/>
      <c r="K33" s="1119"/>
      <c r="L33" s="3343" t="s">
        <v>3262</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3" t="s">
        <v>3263</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1"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1" t="s">
        <v>3264</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6"/>
      <c r="K37" s="3353" t="s">
        <v>3265</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63"/>
      <c r="B39" s="2041" t="s">
        <v>3258</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4"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3268</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2058</v>
      </c>
      <c r="B56" s="1326" t="str">
        <f>估价对象房地状况!C21</f>
        <v>一般</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一般</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3268</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一般</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一般</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3268</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一般</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一般</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8"/>
      <c r="AA84" s="2053"/>
      <c r="AG84" s="1121"/>
      <c r="AK84" s="2053"/>
    </row>
    <row r="85" spans="1:37" ht="36">
      <c r="A85" s="3363" t="s">
        <v>3269</v>
      </c>
      <c r="B85" s="2134">
        <f>估价对象房地状况!G17</f>
        <v>0</v>
      </c>
      <c r="C85" s="2044"/>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2607</v>
      </c>
      <c r="B91" s="3372">
        <f>1+E93</f>
        <v>1</v>
      </c>
      <c r="C91" s="3365"/>
      <c r="D91" s="3366"/>
      <c r="E91" s="1814"/>
      <c r="F91" s="1814"/>
      <c r="G91" s="3367"/>
      <c r="H91" s="3368"/>
      <c r="I91" s="3369"/>
      <c r="J91" s="3370"/>
      <c r="K91" s="3370"/>
      <c r="L91" s="3370"/>
      <c r="M91" s="3370"/>
      <c r="N91" s="3370"/>
    </row>
    <row r="92" spans="1:37" ht="24.75">
      <c r="A92" s="3373" t="s">
        <v>3270</v>
      </c>
      <c r="B92" s="3360"/>
      <c r="C92" s="3360" t="s">
        <v>3279</v>
      </c>
      <c r="D92" s="3360" t="s">
        <v>3280</v>
      </c>
      <c r="E92" s="3342" t="s">
        <v>3281</v>
      </c>
      <c r="F92" s="3375" t="s">
        <v>3282</v>
      </c>
      <c r="G92" s="3360" t="s">
        <v>3283</v>
      </c>
      <c r="H92" s="3382" t="s">
        <v>3286</v>
      </c>
      <c r="I92" s="3360" t="s">
        <v>3287</v>
      </c>
      <c r="J92" s="3383" t="s">
        <v>3288</v>
      </c>
      <c r="K92" s="3383" t="s">
        <v>3289</v>
      </c>
      <c r="L92" s="3383" t="s">
        <v>3290</v>
      </c>
      <c r="M92" s="3383" t="s">
        <v>3291</v>
      </c>
      <c r="N92" s="3383" t="s">
        <v>3292</v>
      </c>
    </row>
    <row r="93" spans="1:37" ht="24">
      <c r="A93" s="3363" t="s">
        <v>3271</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3272</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3268</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3273</v>
      </c>
      <c r="B96" s="3379" t="s">
        <v>3284</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3274</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3275</v>
      </c>
      <c r="B98" s="3380" t="s">
        <v>3285</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3276</v>
      </c>
      <c r="B99" s="3364" t="str">
        <f>估价对象房地状况!C21</f>
        <v>一般</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3277</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3278</v>
      </c>
      <c r="B101" s="3381" t="str">
        <f>估价对象房地状况!C20</f>
        <v>一般</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60" t="s">
        <v>3293</v>
      </c>
      <c r="B103" s="3760"/>
      <c r="C103" s="3760"/>
      <c r="D103" s="3760"/>
      <c r="E103" s="3760"/>
      <c r="F103" s="3760"/>
      <c r="G103" s="3760"/>
      <c r="H103" s="3760"/>
      <c r="I103" s="3760"/>
      <c r="J103" s="3760"/>
      <c r="K103" s="3384"/>
      <c r="L103" s="3384"/>
      <c r="M103" s="3384"/>
      <c r="N103" s="3384"/>
    </row>
    <row r="104" spans="1:14">
      <c r="A104" s="3761" t="s">
        <v>3294</v>
      </c>
      <c r="B104" s="3761" t="s">
        <v>3295</v>
      </c>
      <c r="C104" s="3385" t="s">
        <v>3296</v>
      </c>
      <c r="D104" s="3386"/>
      <c r="E104" s="3386"/>
      <c r="F104" s="3386"/>
      <c r="G104" s="3386"/>
      <c r="H104" s="3386"/>
      <c r="I104" s="3386"/>
      <c r="J104" s="3387"/>
      <c r="K104" s="3388"/>
      <c r="L104" s="3388"/>
      <c r="M104" s="3388"/>
      <c r="N104" s="3388"/>
    </row>
    <row r="105" spans="1:14">
      <c r="A105" s="3761"/>
      <c r="B105" s="3761"/>
      <c r="C105" s="3389" t="s">
        <v>3297</v>
      </c>
      <c r="D105" s="3389" t="s">
        <v>3298</v>
      </c>
      <c r="E105" s="3389" t="s">
        <v>3299</v>
      </c>
      <c r="F105" s="3389" t="s">
        <v>3300</v>
      </c>
      <c r="G105" s="3389" t="s">
        <v>3301</v>
      </c>
      <c r="H105" s="3389" t="s">
        <v>3302</v>
      </c>
      <c r="I105" s="3389" t="s">
        <v>3303</v>
      </c>
      <c r="J105" s="3389" t="s">
        <v>3304</v>
      </c>
      <c r="K105" s="3389" t="s">
        <v>3305</v>
      </c>
      <c r="L105" s="3389" t="s">
        <v>3306</v>
      </c>
      <c r="M105" s="3389" t="s">
        <v>3307</v>
      </c>
      <c r="N105" s="3389" t="s">
        <v>3308</v>
      </c>
    </row>
    <row r="106" spans="1:14">
      <c r="A106" s="3747" t="s">
        <v>3309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4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4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4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4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48"/>
      <c r="B111" s="3389" t="s">
        <v>3267</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4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50" t="s">
        <v>3310</v>
      </c>
      <c r="B113" s="3750"/>
      <c r="C113" s="3750"/>
      <c r="D113" s="3750"/>
      <c r="E113" s="3750"/>
      <c r="F113" s="3750"/>
      <c r="G113" s="3750"/>
      <c r="H113" s="3750"/>
      <c r="I113" s="3750"/>
      <c r="J113" s="375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3311</v>
      </c>
      <c r="B116" s="3410">
        <f>G3</f>
        <v>0</v>
      </c>
      <c r="C116" s="3394" t="s">
        <v>3312</v>
      </c>
      <c r="D116" s="3395">
        <f>SUMPRODUCT((A118:A122=F116)*(B117:M117=H116)*B118:M122)</f>
        <v>0</v>
      </c>
      <c r="E116" s="2000" t="s">
        <v>3313</v>
      </c>
      <c r="F116" s="3396">
        <f>E2</f>
        <v>0</v>
      </c>
      <c r="G116" s="2000" t="s">
        <v>3314</v>
      </c>
      <c r="H116" s="3396">
        <f>G2</f>
        <v>0</v>
      </c>
      <c r="I116" s="2000"/>
      <c r="J116" s="3397"/>
      <c r="K116" s="3397"/>
      <c r="L116" s="3397"/>
      <c r="M116" s="3397"/>
      <c r="N116" s="3392"/>
    </row>
    <row r="117" spans="1:14">
      <c r="A117" s="3398"/>
      <c r="B117" s="3399" t="s">
        <v>3315</v>
      </c>
      <c r="C117" s="3399" t="s">
        <v>3316</v>
      </c>
      <c r="D117" s="3399" t="s">
        <v>3317</v>
      </c>
      <c r="E117" s="3400" t="s">
        <v>3318</v>
      </c>
      <c r="F117" s="3400" t="s">
        <v>3319</v>
      </c>
      <c r="G117" s="3400" t="s">
        <v>3320</v>
      </c>
      <c r="H117" s="3401" t="s">
        <v>3321</v>
      </c>
      <c r="I117" s="3401" t="s">
        <v>3322</v>
      </c>
      <c r="J117" s="3402" t="s">
        <v>3323</v>
      </c>
      <c r="K117" s="3402" t="s">
        <v>3324</v>
      </c>
      <c r="L117" s="3402" t="s">
        <v>3325</v>
      </c>
      <c r="M117" s="3403" t="s">
        <v>3326</v>
      </c>
      <c r="N117" s="3392"/>
    </row>
    <row r="118" spans="1:14">
      <c r="A118" s="3404" t="s">
        <v>3327</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3328</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3329</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3330</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2607</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2589</v>
      </c>
      <c r="B1" s="3066" t="s">
        <v>2590</v>
      </c>
      <c r="C1" s="3066" t="s">
        <v>2591</v>
      </c>
      <c r="D1" s="3066" t="s">
        <v>2592</v>
      </c>
      <c r="E1" s="3066" t="s">
        <v>2593</v>
      </c>
      <c r="F1" s="3066" t="s">
        <v>2594</v>
      </c>
      <c r="G1" s="3066" t="s">
        <v>2595</v>
      </c>
      <c r="H1" s="3066" t="s">
        <v>2596</v>
      </c>
      <c r="I1" s="3066" t="s">
        <v>2597</v>
      </c>
      <c r="J1" s="3066" t="s">
        <v>2598</v>
      </c>
      <c r="K1" s="3066" t="s">
        <v>2599</v>
      </c>
      <c r="L1" s="3066" t="s">
        <v>2600</v>
      </c>
      <c r="M1" s="3067" t="s">
        <v>2601</v>
      </c>
    </row>
    <row r="2" spans="1:13" ht="19.5" customHeight="1">
      <c r="A2" s="3069" t="s">
        <v>2602</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2603</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2604</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2605</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2606</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2607</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2608</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2609</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2610</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2611</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2612</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2613</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2614</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2615</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2616</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2617</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2618</v>
      </c>
      <c r="B18" s="3091"/>
      <c r="C18" s="3092"/>
      <c r="D18" s="3092"/>
      <c r="E18" s="3091"/>
      <c r="F18" s="3092"/>
      <c r="G18" s="3092"/>
    </row>
    <row r="19" spans="1:13" ht="19.5" customHeight="1" thickBot="1">
      <c r="A19" s="3089" t="s">
        <v>2619</v>
      </c>
      <c r="B19" s="3094" t="s">
        <v>2620</v>
      </c>
      <c r="C19" s="3094" t="s">
        <v>2621</v>
      </c>
      <c r="D19" s="3095"/>
      <c r="E19" s="3089" t="s">
        <v>2622</v>
      </c>
      <c r="F19" s="3096"/>
      <c r="G19" s="3096"/>
    </row>
    <row r="20" spans="1:13" ht="19.5" customHeight="1">
      <c r="A20" s="3773" t="s">
        <v>2602</v>
      </c>
      <c r="B20" s="3766" t="s">
        <v>2623</v>
      </c>
      <c r="C20" s="3097" t="s">
        <v>2434</v>
      </c>
      <c r="D20" s="3098"/>
      <c r="E20" s="3099">
        <v>1</v>
      </c>
      <c r="F20" s="3100" t="s">
        <v>2435</v>
      </c>
      <c r="G20" s="3100"/>
    </row>
    <row r="21" spans="1:13" ht="19.5" customHeight="1">
      <c r="A21" s="3774"/>
      <c r="B21" s="3767"/>
      <c r="C21" s="3101" t="s">
        <v>2436</v>
      </c>
      <c r="D21" s="3102"/>
      <c r="E21" s="3103">
        <v>1</v>
      </c>
      <c r="F21" s="3100" t="s">
        <v>2437</v>
      </c>
      <c r="G21" s="3100"/>
    </row>
    <row r="22" spans="1:13" ht="19.5" customHeight="1">
      <c r="A22" s="3774"/>
      <c r="B22" s="3767"/>
      <c r="C22" s="3101" t="s">
        <v>2438</v>
      </c>
      <c r="D22" s="3102"/>
      <c r="E22" s="3103">
        <v>0.9</v>
      </c>
      <c r="F22" s="3100" t="s">
        <v>2439</v>
      </c>
      <c r="G22" s="3100"/>
    </row>
    <row r="23" spans="1:13" ht="19.5" customHeight="1">
      <c r="A23" s="3774"/>
      <c r="B23" s="3767"/>
      <c r="C23" s="3101" t="s">
        <v>2440</v>
      </c>
      <c r="D23" s="3102"/>
      <c r="E23" s="3103">
        <v>0.9</v>
      </c>
      <c r="F23" s="3100" t="s">
        <v>2441</v>
      </c>
      <c r="G23" s="3100"/>
    </row>
    <row r="24" spans="1:13" ht="19.5" customHeight="1">
      <c r="A24" s="3774"/>
      <c r="B24" s="3767"/>
      <c r="C24" s="3101" t="s">
        <v>2442</v>
      </c>
      <c r="D24" s="3102"/>
      <c r="E24" s="3103">
        <v>0.8</v>
      </c>
      <c r="F24" s="3100" t="s">
        <v>2443</v>
      </c>
      <c r="G24" s="3100"/>
    </row>
    <row r="25" spans="1:13" ht="19.5" customHeight="1" thickBot="1">
      <c r="A25" s="3775"/>
      <c r="B25" s="3768"/>
      <c r="C25" s="3104" t="s">
        <v>2444</v>
      </c>
      <c r="D25" s="3105"/>
      <c r="E25" s="3106">
        <v>0.8</v>
      </c>
      <c r="F25" s="3100" t="s">
        <v>2445</v>
      </c>
      <c r="G25" s="3100"/>
    </row>
    <row r="26" spans="1:13" ht="19.5" customHeight="1" thickBot="1">
      <c r="A26" s="3107" t="s">
        <v>2624</v>
      </c>
      <c r="B26" s="3108" t="s">
        <v>2623</v>
      </c>
      <c r="C26" s="3109" t="s">
        <v>2625</v>
      </c>
      <c r="D26" s="3110"/>
      <c r="E26" s="3111">
        <v>1</v>
      </c>
      <c r="F26" s="3100" t="s">
        <v>2446</v>
      </c>
      <c r="G26" s="3100"/>
    </row>
    <row r="27" spans="1:13" ht="19.5" customHeight="1">
      <c r="A27" s="3769" t="s">
        <v>2626</v>
      </c>
      <c r="B27" s="3766" t="s">
        <v>2607</v>
      </c>
      <c r="C27" s="3097" t="s">
        <v>2447</v>
      </c>
      <c r="D27" s="3098"/>
      <c r="E27" s="3099">
        <v>1</v>
      </c>
      <c r="F27" s="3100" t="s">
        <v>2448</v>
      </c>
      <c r="G27" s="3100"/>
    </row>
    <row r="28" spans="1:13" ht="19.5" customHeight="1">
      <c r="A28" s="3770"/>
      <c r="B28" s="3767"/>
      <c r="C28" s="3101" t="s">
        <v>2449</v>
      </c>
      <c r="D28" s="3102"/>
      <c r="E28" s="3103">
        <v>1</v>
      </c>
      <c r="F28" s="3100" t="s">
        <v>2450</v>
      </c>
      <c r="G28" s="3100"/>
    </row>
    <row r="29" spans="1:13" ht="19.5" customHeight="1">
      <c r="A29" s="3770"/>
      <c r="B29" s="3767"/>
      <c r="C29" s="3101" t="s">
        <v>2451</v>
      </c>
      <c r="D29" s="3102"/>
      <c r="E29" s="3103">
        <v>0.8</v>
      </c>
      <c r="F29" s="3100" t="s">
        <v>2452</v>
      </c>
      <c r="G29" s="3100"/>
    </row>
    <row r="30" spans="1:13" ht="19.5" customHeight="1">
      <c r="A30" s="3770"/>
      <c r="B30" s="3767"/>
      <c r="C30" s="3101" t="s">
        <v>2453</v>
      </c>
      <c r="D30" s="3102"/>
      <c r="E30" s="3103">
        <v>0.8</v>
      </c>
      <c r="F30" s="3100" t="s">
        <v>2454</v>
      </c>
      <c r="G30" s="3100"/>
    </row>
    <row r="31" spans="1:13" ht="19.5" customHeight="1">
      <c r="A31" s="3770"/>
      <c r="B31" s="3767"/>
      <c r="C31" s="3101" t="s">
        <v>2455</v>
      </c>
      <c r="D31" s="3102"/>
      <c r="E31" s="3103">
        <v>0.8</v>
      </c>
      <c r="F31" s="3100" t="s">
        <v>2456</v>
      </c>
      <c r="G31" s="3100"/>
    </row>
    <row r="32" spans="1:13" ht="19.5" customHeight="1">
      <c r="A32" s="3770"/>
      <c r="B32" s="3767"/>
      <c r="C32" s="3101" t="s">
        <v>2457</v>
      </c>
      <c r="D32" s="3102"/>
      <c r="E32" s="3103">
        <v>0.7</v>
      </c>
      <c r="F32" s="3100" t="s">
        <v>2458</v>
      </c>
      <c r="G32" s="3100"/>
    </row>
    <row r="33" spans="1:7" ht="19.5" customHeight="1">
      <c r="A33" s="3770"/>
      <c r="B33" s="3767"/>
      <c r="C33" s="3101" t="s">
        <v>2459</v>
      </c>
      <c r="D33" s="3102"/>
      <c r="E33" s="3103">
        <v>0.8</v>
      </c>
      <c r="F33" s="3100" t="s">
        <v>2460</v>
      </c>
      <c r="G33" s="3100"/>
    </row>
    <row r="34" spans="1:7" ht="19.5" customHeight="1">
      <c r="A34" s="3770"/>
      <c r="B34" s="3767"/>
      <c r="C34" s="3101" t="s">
        <v>2461</v>
      </c>
      <c r="D34" s="3102"/>
      <c r="E34" s="3103">
        <v>0.6</v>
      </c>
      <c r="F34" s="3100" t="s">
        <v>2462</v>
      </c>
      <c r="G34" s="3100"/>
    </row>
    <row r="35" spans="1:7" ht="19.5" customHeight="1">
      <c r="A35" s="3770"/>
      <c r="B35" s="3767"/>
      <c r="C35" s="3101" t="s">
        <v>2463</v>
      </c>
      <c r="D35" s="3102"/>
      <c r="E35" s="3103">
        <v>0.2</v>
      </c>
      <c r="F35" s="3100" t="s">
        <v>2464</v>
      </c>
      <c r="G35" s="3100"/>
    </row>
    <row r="36" spans="1:7" ht="19.5" customHeight="1">
      <c r="A36" s="3770"/>
      <c r="B36" s="3767"/>
      <c r="C36" s="3101" t="s">
        <v>2465</v>
      </c>
      <c r="D36" s="3102"/>
      <c r="E36" s="3103">
        <v>0.2</v>
      </c>
      <c r="F36" s="3100" t="s">
        <v>2466</v>
      </c>
      <c r="G36" s="3100"/>
    </row>
    <row r="37" spans="1:7" ht="19.5" customHeight="1">
      <c r="A37" s="3770"/>
      <c r="B37" s="3772" t="s">
        <v>2627</v>
      </c>
      <c r="C37" s="3101" t="s">
        <v>2467</v>
      </c>
      <c r="D37" s="3102"/>
      <c r="E37" s="3103">
        <v>0.6</v>
      </c>
      <c r="F37" s="3100" t="s">
        <v>2468</v>
      </c>
      <c r="G37" s="3100"/>
    </row>
    <row r="38" spans="1:7" ht="19.5" customHeight="1">
      <c r="A38" s="3770"/>
      <c r="B38" s="3767"/>
      <c r="C38" s="3101" t="s">
        <v>2469</v>
      </c>
      <c r="D38" s="3102"/>
      <c r="E38" s="3103">
        <v>0.6</v>
      </c>
      <c r="F38" s="3100" t="s">
        <v>2470</v>
      </c>
      <c r="G38" s="3100"/>
    </row>
    <row r="39" spans="1:7" ht="19.5" customHeight="1" thickBot="1">
      <c r="A39" s="3771"/>
      <c r="B39" s="3768"/>
      <c r="C39" s="3104" t="s">
        <v>2471</v>
      </c>
      <c r="D39" s="3105"/>
      <c r="E39" s="3106">
        <v>0.6</v>
      </c>
      <c r="F39" s="3100" t="s">
        <v>2472</v>
      </c>
      <c r="G39" s="3100"/>
    </row>
    <row r="40" spans="1:7" ht="19.5" customHeight="1" thickBot="1">
      <c r="A40" s="3107" t="s">
        <v>2604</v>
      </c>
      <c r="B40" s="3108" t="s">
        <v>2604</v>
      </c>
      <c r="C40" s="3109" t="s">
        <v>2628</v>
      </c>
      <c r="D40" s="3110"/>
      <c r="E40" s="3111">
        <v>1</v>
      </c>
      <c r="F40" s="3100" t="s">
        <v>2473</v>
      </c>
      <c r="G40" s="3100"/>
    </row>
    <row r="41" spans="1:7" ht="19.5" customHeight="1">
      <c r="A41" s="3773" t="s">
        <v>2605</v>
      </c>
      <c r="B41" s="3766" t="s">
        <v>2629</v>
      </c>
      <c r="C41" s="3097" t="s">
        <v>2474</v>
      </c>
      <c r="D41" s="3098"/>
      <c r="E41" s="3099">
        <v>1</v>
      </c>
      <c r="F41" s="3100" t="s">
        <v>2475</v>
      </c>
      <c r="G41" s="3100"/>
    </row>
    <row r="42" spans="1:7" ht="19.5" customHeight="1">
      <c r="A42" s="3774"/>
      <c r="B42" s="3767"/>
      <c r="C42" s="3101" t="s">
        <v>2476</v>
      </c>
      <c r="D42" s="3102"/>
      <c r="E42" s="3103">
        <v>1</v>
      </c>
      <c r="F42" s="3100" t="s">
        <v>2477</v>
      </c>
      <c r="G42" s="3100"/>
    </row>
    <row r="43" spans="1:7" ht="19.5" customHeight="1">
      <c r="A43" s="3774"/>
      <c r="B43" s="3776"/>
      <c r="C43" s="3101" t="s">
        <v>2478</v>
      </c>
      <c r="D43" s="3102"/>
      <c r="E43" s="3103">
        <v>1.5</v>
      </c>
      <c r="F43" s="3100" t="s">
        <v>2479</v>
      </c>
      <c r="G43" s="3100"/>
    </row>
    <row r="44" spans="1:7" ht="19.5" customHeight="1">
      <c r="A44" s="3774"/>
      <c r="B44" s="3112" t="s">
        <v>2630</v>
      </c>
      <c r="C44" s="3101" t="s">
        <v>2631</v>
      </c>
      <c r="D44" s="3102"/>
      <c r="E44" s="3103">
        <v>2</v>
      </c>
      <c r="F44" s="3100" t="s">
        <v>2480</v>
      </c>
      <c r="G44" s="3100"/>
    </row>
    <row r="45" spans="1:7" ht="19.5" customHeight="1">
      <c r="A45" s="3774"/>
      <c r="B45" s="3772" t="s">
        <v>2632</v>
      </c>
      <c r="C45" s="3101" t="s">
        <v>2481</v>
      </c>
      <c r="D45" s="3102"/>
      <c r="E45" s="3103">
        <v>1</v>
      </c>
      <c r="F45" s="3100" t="s">
        <v>2482</v>
      </c>
      <c r="G45" s="3100"/>
    </row>
    <row r="46" spans="1:7" ht="19.5" customHeight="1">
      <c r="A46" s="3774"/>
      <c r="B46" s="3767"/>
      <c r="C46" s="3101" t="s">
        <v>2483</v>
      </c>
      <c r="D46" s="3102"/>
      <c r="E46" s="3103">
        <v>1</v>
      </c>
      <c r="F46" s="3100" t="s">
        <v>2484</v>
      </c>
      <c r="G46" s="3100"/>
    </row>
    <row r="47" spans="1:7" ht="19.5" customHeight="1">
      <c r="A47" s="3774"/>
      <c r="B47" s="3767"/>
      <c r="C47" s="3101" t="s">
        <v>2485</v>
      </c>
      <c r="D47" s="3102"/>
      <c r="E47" s="3103">
        <v>1</v>
      </c>
      <c r="F47" s="3100" t="s">
        <v>2486</v>
      </c>
      <c r="G47" s="3100"/>
    </row>
    <row r="48" spans="1:7" ht="19.5" customHeight="1">
      <c r="A48" s="3774"/>
      <c r="B48" s="3767"/>
      <c r="C48" s="3101" t="s">
        <v>2487</v>
      </c>
      <c r="D48" s="3102"/>
      <c r="E48" s="3103">
        <v>1</v>
      </c>
      <c r="F48" s="3100" t="s">
        <v>2488</v>
      </c>
      <c r="G48" s="3100"/>
    </row>
    <row r="49" spans="1:7" ht="19.5" customHeight="1">
      <c r="A49" s="3774"/>
      <c r="B49" s="3767"/>
      <c r="C49" s="3101" t="s">
        <v>2489</v>
      </c>
      <c r="D49" s="3102"/>
      <c r="E49" s="3103">
        <v>1</v>
      </c>
      <c r="F49" s="3100" t="s">
        <v>2490</v>
      </c>
      <c r="G49" s="3100"/>
    </row>
    <row r="50" spans="1:7" ht="19.5" customHeight="1">
      <c r="A50" s="3774"/>
      <c r="B50" s="3767"/>
      <c r="C50" s="3101" t="s">
        <v>2491</v>
      </c>
      <c r="D50" s="3102"/>
      <c r="E50" s="3103">
        <v>1</v>
      </c>
      <c r="F50" s="3100" t="s">
        <v>2492</v>
      </c>
      <c r="G50" s="3100"/>
    </row>
    <row r="51" spans="1:7" ht="19.5" customHeight="1" thickBot="1">
      <c r="A51" s="3775"/>
      <c r="B51" s="3768"/>
      <c r="C51" s="3104" t="s">
        <v>2493</v>
      </c>
      <c r="D51" s="3105"/>
      <c r="E51" s="3106">
        <v>1</v>
      </c>
      <c r="F51" s="3100" t="s">
        <v>2494</v>
      </c>
      <c r="G51" s="3100"/>
    </row>
    <row r="52" spans="1:7" ht="19.5" customHeight="1">
      <c r="A52" s="3113"/>
      <c r="B52" s="3113"/>
      <c r="C52" s="3113"/>
      <c r="D52" s="3113"/>
      <c r="E52" s="3113"/>
      <c r="F52" s="3113"/>
      <c r="G52" s="3113"/>
    </row>
    <row r="54" spans="1:7" ht="19.5" customHeight="1">
      <c r="A54" s="3114"/>
      <c r="B54" s="3086" t="s">
        <v>2633</v>
      </c>
      <c r="C54" s="3086" t="s">
        <v>2633</v>
      </c>
      <c r="D54" s="3086" t="s">
        <v>2633</v>
      </c>
      <c r="E54" s="3089" t="s">
        <v>2633</v>
      </c>
      <c r="F54" s="3089" t="s">
        <v>2634</v>
      </c>
      <c r="G54" s="3089" t="s">
        <v>2635</v>
      </c>
    </row>
    <row r="55" spans="1:7" ht="19.5" customHeight="1">
      <c r="A55" s="3115"/>
      <c r="B55" s="3089" t="s">
        <v>2602</v>
      </c>
      <c r="C55" s="3089" t="s">
        <v>2602</v>
      </c>
      <c r="D55" s="3089" t="s">
        <v>2602</v>
      </c>
      <c r="E55" s="3086" t="s">
        <v>2603</v>
      </c>
      <c r="F55" s="3086" t="s">
        <v>2605</v>
      </c>
      <c r="G55" s="3086" t="s">
        <v>2636</v>
      </c>
    </row>
    <row r="56" spans="1:7" ht="19.5" customHeight="1">
      <c r="A56" s="3116"/>
      <c r="B56" s="3086">
        <v>1</v>
      </c>
      <c r="C56" s="3086">
        <v>2</v>
      </c>
      <c r="D56" s="3086">
        <v>3</v>
      </c>
      <c r="E56" s="3117" t="s">
        <v>2637</v>
      </c>
      <c r="F56" s="3117" t="s">
        <v>2637</v>
      </c>
      <c r="G56" s="3117" t="s">
        <v>2637</v>
      </c>
    </row>
    <row r="57" spans="1:7" ht="19.5" customHeight="1">
      <c r="A57" s="3118" t="s">
        <v>2590</v>
      </c>
      <c r="B57" s="3086">
        <v>0.7</v>
      </c>
      <c r="C57" s="3086">
        <v>0.4</v>
      </c>
      <c r="D57" s="3086">
        <v>0.3</v>
      </c>
      <c r="E57" s="3117">
        <v>0.3</v>
      </c>
      <c r="F57" s="3086">
        <v>0.3</v>
      </c>
      <c r="G57" s="3086">
        <v>0.2</v>
      </c>
    </row>
    <row r="58" spans="1:7" ht="19.5" customHeight="1">
      <c r="A58" s="3118" t="s">
        <v>2591</v>
      </c>
      <c r="B58" s="3086">
        <v>0.7</v>
      </c>
      <c r="C58" s="3086">
        <v>0.4</v>
      </c>
      <c r="D58" s="3086">
        <v>0.3</v>
      </c>
      <c r="E58" s="3086">
        <v>0.3</v>
      </c>
      <c r="F58" s="3086">
        <v>0.3</v>
      </c>
      <c r="G58" s="3086">
        <v>0.2</v>
      </c>
    </row>
    <row r="59" spans="1:7" ht="19.5" customHeight="1">
      <c r="A59" s="3118" t="s">
        <v>2592</v>
      </c>
      <c r="B59" s="3086">
        <v>0.6</v>
      </c>
      <c r="C59" s="3086">
        <v>0.3</v>
      </c>
      <c r="D59" s="3086">
        <v>0.25</v>
      </c>
      <c r="E59" s="3086">
        <v>0.25</v>
      </c>
      <c r="F59" s="3086">
        <v>0.25</v>
      </c>
      <c r="G59" s="3086">
        <v>0.15</v>
      </c>
    </row>
    <row r="60" spans="1:7" ht="19.5" customHeight="1">
      <c r="A60" s="3118" t="s">
        <v>2593</v>
      </c>
      <c r="B60" s="3086">
        <v>0.6</v>
      </c>
      <c r="C60" s="3086">
        <v>0.3</v>
      </c>
      <c r="D60" s="3086">
        <v>0.25</v>
      </c>
      <c r="E60" s="3086">
        <v>0.25</v>
      </c>
      <c r="F60" s="3086">
        <v>0.25</v>
      </c>
      <c r="G60" s="3086">
        <v>0.15</v>
      </c>
    </row>
    <row r="61" spans="1:7" ht="19.5" customHeight="1">
      <c r="A61" s="3118" t="s">
        <v>2594</v>
      </c>
      <c r="B61" s="3086">
        <v>0.6</v>
      </c>
      <c r="C61" s="3086">
        <v>0.3</v>
      </c>
      <c r="D61" s="3086">
        <v>0.25</v>
      </c>
      <c r="E61" s="3086">
        <v>0.25</v>
      </c>
      <c r="F61" s="3086">
        <v>0.25</v>
      </c>
      <c r="G61" s="3086">
        <v>0.15</v>
      </c>
    </row>
    <row r="62" spans="1:7" ht="19.5" customHeight="1">
      <c r="A62" s="3118" t="s">
        <v>2595</v>
      </c>
      <c r="B62" s="3086">
        <v>0.6</v>
      </c>
      <c r="C62" s="3086">
        <v>0.3</v>
      </c>
      <c r="D62" s="3086">
        <v>0.25</v>
      </c>
      <c r="E62" s="3086">
        <v>0.25</v>
      </c>
      <c r="F62" s="3086">
        <v>0.25</v>
      </c>
      <c r="G62" s="3086">
        <v>0.15</v>
      </c>
    </row>
    <row r="63" spans="1:7" ht="19.5" customHeight="1">
      <c r="A63" s="3118" t="s">
        <v>2596</v>
      </c>
      <c r="B63" s="3086">
        <v>0.6</v>
      </c>
      <c r="C63" s="3086">
        <v>0.3</v>
      </c>
      <c r="D63" s="3086">
        <v>0.25</v>
      </c>
      <c r="E63" s="3086">
        <v>0.25</v>
      </c>
      <c r="F63" s="3086">
        <v>0.25</v>
      </c>
      <c r="G63" s="3086">
        <v>0.15</v>
      </c>
    </row>
    <row r="64" spans="1:7" ht="19.5" customHeight="1">
      <c r="A64" s="3118" t="s">
        <v>2597</v>
      </c>
      <c r="B64" s="3086">
        <v>0.5</v>
      </c>
      <c r="C64" s="3086">
        <v>0.2</v>
      </c>
      <c r="D64" s="3086">
        <v>0.2</v>
      </c>
      <c r="E64" s="3086">
        <v>0.2</v>
      </c>
      <c r="F64" s="3086">
        <v>0.2</v>
      </c>
      <c r="G64" s="3086">
        <v>0.1</v>
      </c>
    </row>
    <row r="65" spans="1:7" ht="19.5" customHeight="1">
      <c r="A65" s="3118" t="s">
        <v>2598</v>
      </c>
      <c r="B65" s="3086">
        <v>0.5</v>
      </c>
      <c r="C65" s="3086">
        <v>0.2</v>
      </c>
      <c r="D65" s="3086">
        <v>0.2</v>
      </c>
      <c r="E65" s="3086">
        <v>0.2</v>
      </c>
      <c r="F65" s="3086">
        <v>0.2</v>
      </c>
      <c r="G65" s="3086">
        <v>0.1</v>
      </c>
    </row>
    <row r="66" spans="1:7" ht="19.5" customHeight="1">
      <c r="A66" s="3118" t="s">
        <v>2599</v>
      </c>
      <c r="B66" s="3086">
        <v>0.5</v>
      </c>
      <c r="C66" s="3086">
        <v>0.2</v>
      </c>
      <c r="D66" s="3086">
        <v>0.2</v>
      </c>
      <c r="E66" s="3086">
        <v>0.2</v>
      </c>
      <c r="F66" s="3086">
        <v>0.2</v>
      </c>
      <c r="G66" s="3086">
        <v>0.1</v>
      </c>
    </row>
    <row r="67" spans="1:7" ht="19.5" customHeight="1">
      <c r="A67" s="3118" t="s">
        <v>2600</v>
      </c>
      <c r="B67" s="3086">
        <v>0.5</v>
      </c>
      <c r="C67" s="3086">
        <v>0.2</v>
      </c>
      <c r="D67" s="3086">
        <v>0.2</v>
      </c>
      <c r="E67" s="3086">
        <v>0.2</v>
      </c>
      <c r="F67" s="3086">
        <v>0.2</v>
      </c>
      <c r="G67" s="3086">
        <v>0.1</v>
      </c>
    </row>
    <row r="68" spans="1:7" ht="19.5" customHeight="1">
      <c r="A68" s="3118" t="s">
        <v>2601</v>
      </c>
      <c r="B68" s="3086">
        <v>0.5</v>
      </c>
      <c r="C68" s="3086">
        <v>0.2</v>
      </c>
      <c r="D68" s="3086">
        <v>0.2</v>
      </c>
      <c r="E68" s="3086">
        <v>0.2</v>
      </c>
      <c r="F68" s="3086">
        <v>0.2</v>
      </c>
      <c r="G68" s="3086">
        <v>0.1</v>
      </c>
    </row>
    <row r="70" spans="1:7" ht="19.5" customHeight="1">
      <c r="A70" s="3119"/>
      <c r="B70" s="3120"/>
      <c r="C70" s="3120"/>
      <c r="D70" s="3120" t="s">
        <v>2638</v>
      </c>
      <c r="E70" s="3120"/>
      <c r="F70" s="3120"/>
    </row>
    <row r="71" spans="1:7" ht="19.5" customHeight="1">
      <c r="A71" s="3112" t="s">
        <v>2639</v>
      </c>
      <c r="B71" s="3112" t="s">
        <v>2640</v>
      </c>
      <c r="C71" s="3112" t="s">
        <v>2641</v>
      </c>
      <c r="D71" s="3112" t="s">
        <v>2642</v>
      </c>
      <c r="E71" s="3112" t="s">
        <v>2643</v>
      </c>
      <c r="F71" s="3112" t="s">
        <v>2644</v>
      </c>
    </row>
    <row r="72" spans="1:7" ht="13.5">
      <c r="A72" s="3112"/>
      <c r="B72" s="3112"/>
      <c r="C72" s="3112" t="s">
        <v>2645</v>
      </c>
      <c r="D72" s="3112"/>
      <c r="E72" s="3112" t="s">
        <v>2616</v>
      </c>
      <c r="F72" s="3112" t="s">
        <v>2616</v>
      </c>
    </row>
    <row r="73" spans="1:7" ht="13.5">
      <c r="A73" s="3112">
        <v>1</v>
      </c>
      <c r="B73" s="3772" t="s">
        <v>2646</v>
      </c>
      <c r="C73" s="3086" t="s">
        <v>2647</v>
      </c>
      <c r="D73" s="3086" t="s">
        <v>2648</v>
      </c>
      <c r="E73" s="3112">
        <v>0.2</v>
      </c>
      <c r="F73" s="3112">
        <v>25</v>
      </c>
    </row>
    <row r="74" spans="1:7" ht="24">
      <c r="A74" s="3112">
        <v>2</v>
      </c>
      <c r="B74" s="3767"/>
      <c r="C74" s="3086" t="s">
        <v>2649</v>
      </c>
      <c r="D74" s="3086" t="s">
        <v>2650</v>
      </c>
      <c r="E74" s="3112">
        <v>0.2</v>
      </c>
      <c r="F74" s="3112">
        <v>25</v>
      </c>
    </row>
    <row r="75" spans="1:7" ht="24">
      <c r="A75" s="3112">
        <v>3</v>
      </c>
      <c r="B75" s="3767"/>
      <c r="C75" s="3086" t="s">
        <v>2651</v>
      </c>
      <c r="D75" s="3086" t="s">
        <v>2652</v>
      </c>
      <c r="E75" s="3112">
        <v>0.2</v>
      </c>
      <c r="F75" s="3112">
        <v>25</v>
      </c>
    </row>
    <row r="76" spans="1:7" ht="13.5">
      <c r="A76" s="3112">
        <v>4</v>
      </c>
      <c r="B76" s="3767"/>
      <c r="C76" s="3086" t="s">
        <v>2653</v>
      </c>
      <c r="D76" s="3086" t="s">
        <v>2654</v>
      </c>
      <c r="E76" s="3112">
        <v>0.15</v>
      </c>
      <c r="F76" s="3112">
        <v>20</v>
      </c>
    </row>
    <row r="77" spans="1:7" ht="24">
      <c r="A77" s="3112">
        <v>5</v>
      </c>
      <c r="B77" s="3767"/>
      <c r="C77" s="3086" t="s">
        <v>2655</v>
      </c>
      <c r="D77" s="3086" t="s">
        <v>2656</v>
      </c>
      <c r="E77" s="3112">
        <v>0.15</v>
      </c>
      <c r="F77" s="3112">
        <v>20</v>
      </c>
    </row>
    <row r="78" spans="1:7" ht="24">
      <c r="A78" s="3112">
        <v>6</v>
      </c>
      <c r="B78" s="3767"/>
      <c r="C78" s="3086" t="s">
        <v>2657</v>
      </c>
      <c r="D78" s="3086" t="s">
        <v>2658</v>
      </c>
      <c r="E78" s="3112">
        <v>0.15</v>
      </c>
      <c r="F78" s="3112">
        <v>20</v>
      </c>
    </row>
    <row r="79" spans="1:7" ht="24">
      <c r="A79" s="3112">
        <v>7</v>
      </c>
      <c r="B79" s="3767"/>
      <c r="C79" s="3086" t="s">
        <v>2659</v>
      </c>
      <c r="D79" s="3086" t="s">
        <v>2660</v>
      </c>
      <c r="E79" s="3112">
        <v>0.15</v>
      </c>
      <c r="F79" s="3112">
        <v>20</v>
      </c>
    </row>
    <row r="80" spans="1:7" ht="24">
      <c r="A80" s="3112">
        <v>8</v>
      </c>
      <c r="B80" s="3767"/>
      <c r="C80" s="3086" t="s">
        <v>2661</v>
      </c>
      <c r="D80" s="3086" t="s">
        <v>2662</v>
      </c>
      <c r="E80" s="3112">
        <v>0.1</v>
      </c>
      <c r="F80" s="3112">
        <v>15</v>
      </c>
    </row>
    <row r="81" spans="1:6" ht="24">
      <c r="A81" s="3112">
        <v>9</v>
      </c>
      <c r="B81" s="3767"/>
      <c r="C81" s="3086" t="s">
        <v>2663</v>
      </c>
      <c r="D81" s="3086" t="s">
        <v>2664</v>
      </c>
      <c r="E81" s="3112">
        <v>0.1</v>
      </c>
      <c r="F81" s="3112">
        <v>15</v>
      </c>
    </row>
    <row r="82" spans="1:6" ht="24">
      <c r="A82" s="3112">
        <v>10</v>
      </c>
      <c r="B82" s="3767"/>
      <c r="C82" s="3086" t="s">
        <v>2665</v>
      </c>
      <c r="D82" s="3086" t="s">
        <v>2666</v>
      </c>
      <c r="E82" s="3112">
        <v>0.1</v>
      </c>
      <c r="F82" s="3112">
        <v>15</v>
      </c>
    </row>
    <row r="83" spans="1:6" ht="24">
      <c r="A83" s="3112">
        <v>11</v>
      </c>
      <c r="B83" s="3767"/>
      <c r="C83" s="3086" t="s">
        <v>2667</v>
      </c>
      <c r="D83" s="3086" t="s">
        <v>2668</v>
      </c>
      <c r="E83" s="3112">
        <v>0.1</v>
      </c>
      <c r="F83" s="3112">
        <v>15</v>
      </c>
    </row>
    <row r="84" spans="1:6" ht="24">
      <c r="A84" s="3112">
        <v>12</v>
      </c>
      <c r="B84" s="3767"/>
      <c r="C84" s="3086" t="s">
        <v>2669</v>
      </c>
      <c r="D84" s="3086" t="s">
        <v>2670</v>
      </c>
      <c r="E84" s="3112">
        <v>0.1</v>
      </c>
      <c r="F84" s="3112">
        <v>15</v>
      </c>
    </row>
    <row r="85" spans="1:6" ht="13.5">
      <c r="A85" s="3112">
        <v>13</v>
      </c>
      <c r="B85" s="3767"/>
      <c r="C85" s="3086" t="s">
        <v>2671</v>
      </c>
      <c r="D85" s="3086" t="s">
        <v>2672</v>
      </c>
      <c r="E85" s="3112">
        <v>0.1</v>
      </c>
      <c r="F85" s="3112">
        <v>15</v>
      </c>
    </row>
    <row r="86" spans="1:6" ht="13.5">
      <c r="A86" s="3112">
        <v>14</v>
      </c>
      <c r="B86" s="3767"/>
      <c r="C86" s="3086" t="s">
        <v>2673</v>
      </c>
      <c r="D86" s="3086" t="s">
        <v>2674</v>
      </c>
      <c r="E86" s="3112">
        <v>0.1</v>
      </c>
      <c r="F86" s="3112">
        <v>15</v>
      </c>
    </row>
    <row r="87" spans="1:6" ht="13.5">
      <c r="A87" s="3112">
        <v>15</v>
      </c>
      <c r="B87" s="3767"/>
      <c r="C87" s="3086" t="s">
        <v>2675</v>
      </c>
      <c r="D87" s="3086" t="s">
        <v>2676</v>
      </c>
      <c r="E87" s="3112">
        <v>0.1</v>
      </c>
      <c r="F87" s="3112">
        <v>15</v>
      </c>
    </row>
    <row r="88" spans="1:6" ht="24">
      <c r="A88" s="3112">
        <v>16</v>
      </c>
      <c r="B88" s="3767"/>
      <c r="C88" s="3086" t="s">
        <v>2677</v>
      </c>
      <c r="D88" s="3086" t="s">
        <v>2678</v>
      </c>
      <c r="E88" s="3112">
        <v>0.1</v>
      </c>
      <c r="F88" s="3112">
        <v>15</v>
      </c>
    </row>
    <row r="89" spans="1:6" ht="24">
      <c r="A89" s="3112">
        <v>17</v>
      </c>
      <c r="B89" s="3776"/>
      <c r="C89" s="3086" t="s">
        <v>2679</v>
      </c>
      <c r="D89" s="3086" t="s">
        <v>2680</v>
      </c>
      <c r="E89" s="3112">
        <v>0.1</v>
      </c>
      <c r="F89" s="3112">
        <v>15</v>
      </c>
    </row>
    <row r="90" spans="1:6" ht="13.5">
      <c r="A90" s="3112">
        <v>18</v>
      </c>
      <c r="B90" s="3772" t="s">
        <v>2681</v>
      </c>
      <c r="C90" s="3086" t="s">
        <v>2682</v>
      </c>
      <c r="D90" s="3086" t="s">
        <v>2683</v>
      </c>
      <c r="E90" s="3112">
        <v>0.2</v>
      </c>
      <c r="F90" s="3112">
        <v>25</v>
      </c>
    </row>
    <row r="91" spans="1:6" ht="24">
      <c r="A91" s="3112">
        <v>19</v>
      </c>
      <c r="B91" s="3767"/>
      <c r="C91" s="3086" t="s">
        <v>2684</v>
      </c>
      <c r="D91" s="3086" t="s">
        <v>2685</v>
      </c>
      <c r="E91" s="3112">
        <v>0.2</v>
      </c>
      <c r="F91" s="3112">
        <v>25</v>
      </c>
    </row>
    <row r="92" spans="1:6" ht="13.5">
      <c r="A92" s="3112">
        <v>20</v>
      </c>
      <c r="B92" s="3767"/>
      <c r="C92" s="3086" t="s">
        <v>2686</v>
      </c>
      <c r="D92" s="3086" t="s">
        <v>2687</v>
      </c>
      <c r="E92" s="3112">
        <v>0.15</v>
      </c>
      <c r="F92" s="3112">
        <v>20</v>
      </c>
    </row>
    <row r="93" spans="1:6" ht="13.5">
      <c r="A93" s="3112">
        <v>21</v>
      </c>
      <c r="B93" s="3767"/>
      <c r="C93" s="3086" t="s">
        <v>2688</v>
      </c>
      <c r="D93" s="3086" t="s">
        <v>2689</v>
      </c>
      <c r="E93" s="3112">
        <v>0.15</v>
      </c>
      <c r="F93" s="3112">
        <v>20</v>
      </c>
    </row>
    <row r="94" spans="1:6" ht="13.5">
      <c r="A94" s="3112">
        <v>22</v>
      </c>
      <c r="B94" s="3767"/>
      <c r="C94" s="3086" t="s">
        <v>2690</v>
      </c>
      <c r="D94" s="3086" t="s">
        <v>2691</v>
      </c>
      <c r="E94" s="3112">
        <v>0.15</v>
      </c>
      <c r="F94" s="3112">
        <v>20</v>
      </c>
    </row>
    <row r="95" spans="1:6" ht="36">
      <c r="A95" s="3112">
        <v>23</v>
      </c>
      <c r="B95" s="3767"/>
      <c r="C95" s="3086" t="s">
        <v>2692</v>
      </c>
      <c r="D95" s="3086" t="s">
        <v>2693</v>
      </c>
      <c r="E95" s="3112">
        <v>0.15</v>
      </c>
      <c r="F95" s="3112">
        <v>20</v>
      </c>
    </row>
    <row r="96" spans="1:6" ht="13.5">
      <c r="A96" s="3112">
        <v>24</v>
      </c>
      <c r="B96" s="3767"/>
      <c r="C96" s="3086" t="s">
        <v>2694</v>
      </c>
      <c r="D96" s="3086" t="s">
        <v>2695</v>
      </c>
      <c r="E96" s="3112">
        <v>0.1</v>
      </c>
      <c r="F96" s="3112">
        <v>15</v>
      </c>
    </row>
    <row r="97" spans="1:6" ht="13.5">
      <c r="A97" s="3112">
        <v>25</v>
      </c>
      <c r="B97" s="3767"/>
      <c r="C97" s="3086" t="s">
        <v>2696</v>
      </c>
      <c r="D97" s="3086" t="s">
        <v>2697</v>
      </c>
      <c r="E97" s="3112">
        <v>0.1</v>
      </c>
      <c r="F97" s="3112">
        <v>15</v>
      </c>
    </row>
    <row r="98" spans="1:6" ht="24">
      <c r="A98" s="3112">
        <v>26</v>
      </c>
      <c r="B98" s="3767"/>
      <c r="C98" s="3086" t="s">
        <v>2698</v>
      </c>
      <c r="D98" s="3086" t="s">
        <v>2699</v>
      </c>
      <c r="E98" s="3112">
        <v>0.1</v>
      </c>
      <c r="F98" s="3112">
        <v>15</v>
      </c>
    </row>
    <row r="99" spans="1:6" ht="24">
      <c r="A99" s="3112">
        <v>27</v>
      </c>
      <c r="B99" s="3767"/>
      <c r="C99" s="3086" t="s">
        <v>2700</v>
      </c>
      <c r="D99" s="3086" t="s">
        <v>2701</v>
      </c>
      <c r="E99" s="3112">
        <v>0.1</v>
      </c>
      <c r="F99" s="3112">
        <v>15</v>
      </c>
    </row>
    <row r="100" spans="1:6" ht="13.5">
      <c r="A100" s="3112">
        <v>28</v>
      </c>
      <c r="B100" s="3767"/>
      <c r="C100" s="3086" t="s">
        <v>2702</v>
      </c>
      <c r="D100" s="3086" t="s">
        <v>2703</v>
      </c>
      <c r="E100" s="3112">
        <v>0.1</v>
      </c>
      <c r="F100" s="3112">
        <v>15</v>
      </c>
    </row>
    <row r="101" spans="1:6" ht="13.5">
      <c r="A101" s="3112">
        <v>29</v>
      </c>
      <c r="B101" s="3767"/>
      <c r="C101" s="3086" t="s">
        <v>2704</v>
      </c>
      <c r="D101" s="3086" t="s">
        <v>2705</v>
      </c>
      <c r="E101" s="3112">
        <v>0.1</v>
      </c>
      <c r="F101" s="3112">
        <v>15</v>
      </c>
    </row>
    <row r="102" spans="1:6" ht="13.5">
      <c r="A102" s="3112">
        <v>30</v>
      </c>
      <c r="B102" s="3767"/>
      <c r="C102" s="3086" t="s">
        <v>2706</v>
      </c>
      <c r="D102" s="3086" t="s">
        <v>2707</v>
      </c>
      <c r="E102" s="3112">
        <v>0.1</v>
      </c>
      <c r="F102" s="3112">
        <v>15</v>
      </c>
    </row>
    <row r="103" spans="1:6" ht="24">
      <c r="A103" s="3112">
        <v>31</v>
      </c>
      <c r="B103" s="3767"/>
      <c r="C103" s="3086" t="s">
        <v>2708</v>
      </c>
      <c r="D103" s="3086" t="s">
        <v>2709</v>
      </c>
      <c r="E103" s="3112">
        <v>0.1</v>
      </c>
      <c r="F103" s="3112">
        <v>15</v>
      </c>
    </row>
    <row r="104" spans="1:6" ht="24">
      <c r="A104" s="3112">
        <v>32</v>
      </c>
      <c r="B104" s="3767"/>
      <c r="C104" s="3086" t="s">
        <v>2710</v>
      </c>
      <c r="D104" s="3086" t="s">
        <v>2711</v>
      </c>
      <c r="E104" s="3112">
        <v>0.1</v>
      </c>
      <c r="F104" s="3112">
        <v>15</v>
      </c>
    </row>
    <row r="105" spans="1:6" ht="24">
      <c r="A105" s="3112">
        <v>33</v>
      </c>
      <c r="B105" s="3767"/>
      <c r="C105" s="3086" t="s">
        <v>2712</v>
      </c>
      <c r="D105" s="3086" t="s">
        <v>2713</v>
      </c>
      <c r="E105" s="3112">
        <v>0.1</v>
      </c>
      <c r="F105" s="3112">
        <v>15</v>
      </c>
    </row>
    <row r="106" spans="1:6" ht="24">
      <c r="A106" s="3112">
        <v>34</v>
      </c>
      <c r="B106" s="3776"/>
      <c r="C106" s="3086" t="s">
        <v>2714</v>
      </c>
      <c r="D106" s="3086" t="s">
        <v>2715</v>
      </c>
      <c r="E106" s="3112">
        <v>0.1</v>
      </c>
      <c r="F106" s="3112">
        <v>15</v>
      </c>
    </row>
    <row r="107" spans="1:6" ht="24">
      <c r="A107" s="3112">
        <v>35</v>
      </c>
      <c r="B107" s="3772" t="s">
        <v>2716</v>
      </c>
      <c r="C107" s="3112" t="s">
        <v>2717</v>
      </c>
      <c r="D107" s="3086" t="s">
        <v>2718</v>
      </c>
      <c r="E107" s="3112">
        <v>0.15</v>
      </c>
      <c r="F107" s="3112">
        <v>20</v>
      </c>
    </row>
    <row r="108" spans="1:6" ht="13.5">
      <c r="A108" s="3112">
        <v>36</v>
      </c>
      <c r="B108" s="3767"/>
      <c r="C108" s="3112" t="s">
        <v>2719</v>
      </c>
      <c r="D108" s="3086" t="s">
        <v>2720</v>
      </c>
      <c r="E108" s="3112">
        <v>0.15</v>
      </c>
      <c r="F108" s="3112">
        <v>20</v>
      </c>
    </row>
    <row r="109" spans="1:6" ht="13.5">
      <c r="A109" s="3112">
        <v>37</v>
      </c>
      <c r="B109" s="3767"/>
      <c r="C109" s="3112" t="s">
        <v>2721</v>
      </c>
      <c r="D109" s="3086" t="s">
        <v>2722</v>
      </c>
      <c r="E109" s="3112">
        <v>0.15</v>
      </c>
      <c r="F109" s="3112">
        <v>20</v>
      </c>
    </row>
    <row r="110" spans="1:6" ht="13.5">
      <c r="A110" s="3112">
        <v>38</v>
      </c>
      <c r="B110" s="3767"/>
      <c r="C110" s="3112" t="s">
        <v>2723</v>
      </c>
      <c r="D110" s="3086" t="s">
        <v>2724</v>
      </c>
      <c r="E110" s="3112">
        <v>0.1</v>
      </c>
      <c r="F110" s="3112">
        <v>15</v>
      </c>
    </row>
    <row r="111" spans="1:6" ht="24">
      <c r="A111" s="3112">
        <v>39</v>
      </c>
      <c r="B111" s="3767"/>
      <c r="C111" s="3112" t="s">
        <v>2725</v>
      </c>
      <c r="D111" s="3086" t="s">
        <v>2726</v>
      </c>
      <c r="E111" s="3112">
        <v>0.1</v>
      </c>
      <c r="F111" s="3112">
        <v>15</v>
      </c>
    </row>
    <row r="112" spans="1:6" ht="24">
      <c r="A112" s="3112">
        <v>40</v>
      </c>
      <c r="B112" s="3776"/>
      <c r="C112" s="3112" t="s">
        <v>2727</v>
      </c>
      <c r="D112" s="3086" t="s">
        <v>2728</v>
      </c>
      <c r="E112" s="3112">
        <v>0.1</v>
      </c>
      <c r="F112" s="3112">
        <v>15</v>
      </c>
    </row>
    <row r="113" spans="1:6" ht="13.5">
      <c r="A113" s="3112">
        <v>41</v>
      </c>
      <c r="B113" s="3777" t="s">
        <v>2729</v>
      </c>
      <c r="C113" s="3112" t="s">
        <v>2730</v>
      </c>
      <c r="D113" s="3086" t="s">
        <v>2731</v>
      </c>
      <c r="E113" s="3112">
        <v>0.1</v>
      </c>
      <c r="F113" s="3112">
        <v>15</v>
      </c>
    </row>
    <row r="114" spans="1:6" ht="13.5">
      <c r="A114" s="3112">
        <v>42</v>
      </c>
      <c r="B114" s="3777"/>
      <c r="C114" s="3112" t="s">
        <v>2732</v>
      </c>
      <c r="D114" s="3086" t="s">
        <v>2733</v>
      </c>
      <c r="E114" s="3112">
        <v>0.1</v>
      </c>
      <c r="F114" s="3112">
        <v>15</v>
      </c>
    </row>
    <row r="115" spans="1:6" ht="24">
      <c r="A115" s="3112">
        <v>43</v>
      </c>
      <c r="B115" s="3777"/>
      <c r="C115" s="3112" t="s">
        <v>2734</v>
      </c>
      <c r="D115" s="3086" t="s">
        <v>2735</v>
      </c>
      <c r="E115" s="3112">
        <v>0.1</v>
      </c>
      <c r="F115" s="3112">
        <v>15</v>
      </c>
    </row>
    <row r="116" spans="1:6" ht="13.5">
      <c r="A116" s="3112">
        <v>44</v>
      </c>
      <c r="B116" s="3772" t="s">
        <v>2736</v>
      </c>
      <c r="C116" s="3112" t="s">
        <v>2737</v>
      </c>
      <c r="D116" s="3086" t="s">
        <v>2738</v>
      </c>
      <c r="E116" s="3112">
        <v>0.1</v>
      </c>
      <c r="F116" s="3112">
        <v>15</v>
      </c>
    </row>
    <row r="117" spans="1:6" ht="24">
      <c r="A117" s="3112">
        <v>45</v>
      </c>
      <c r="B117" s="3776"/>
      <c r="C117" s="3086" t="s">
        <v>2739</v>
      </c>
      <c r="D117" s="3086" t="s">
        <v>2740</v>
      </c>
      <c r="E117" s="3112">
        <v>0.1</v>
      </c>
      <c r="F117" s="3112">
        <v>15</v>
      </c>
    </row>
    <row r="118" spans="1:6" ht="24">
      <c r="A118" s="3112">
        <v>46</v>
      </c>
      <c r="B118" s="3772" t="s">
        <v>2741</v>
      </c>
      <c r="C118" s="3112" t="s">
        <v>2742</v>
      </c>
      <c r="D118" s="3086" t="s">
        <v>2743</v>
      </c>
      <c r="E118" s="3112">
        <v>0.1</v>
      </c>
      <c r="F118" s="3112">
        <v>15</v>
      </c>
    </row>
    <row r="119" spans="1:6" ht="24">
      <c r="A119" s="3112">
        <v>47</v>
      </c>
      <c r="B119" s="3776"/>
      <c r="C119" s="3112" t="s">
        <v>2744</v>
      </c>
      <c r="D119" s="3086" t="s">
        <v>2745</v>
      </c>
      <c r="E119" s="3112">
        <v>0.1</v>
      </c>
      <c r="F119" s="3112">
        <v>15</v>
      </c>
    </row>
    <row r="120" spans="1:6" ht="13.5">
      <c r="A120" s="3112">
        <v>48</v>
      </c>
      <c r="B120" s="3772" t="s">
        <v>2746</v>
      </c>
      <c r="C120" s="3112" t="s">
        <v>2747</v>
      </c>
      <c r="D120" s="3086" t="s">
        <v>2748</v>
      </c>
      <c r="E120" s="3112">
        <v>0.1</v>
      </c>
      <c r="F120" s="3112">
        <v>15</v>
      </c>
    </row>
    <row r="121" spans="1:6" ht="13.5">
      <c r="A121" s="3112">
        <v>49</v>
      </c>
      <c r="B121" s="3776"/>
      <c r="C121" s="3112" t="s">
        <v>2749</v>
      </c>
      <c r="D121" s="3086" t="s">
        <v>2750</v>
      </c>
      <c r="E121" s="3112">
        <v>0.1</v>
      </c>
      <c r="F121" s="3112">
        <v>15</v>
      </c>
    </row>
    <row r="122" spans="1:6" ht="24">
      <c r="A122" s="3112">
        <v>50</v>
      </c>
      <c r="B122" s="3777" t="s">
        <v>2751</v>
      </c>
      <c r="C122" s="3112" t="s">
        <v>2752</v>
      </c>
      <c r="D122" s="3086" t="s">
        <v>2753</v>
      </c>
      <c r="E122" s="3112">
        <v>0.1</v>
      </c>
      <c r="F122" s="3112">
        <v>15</v>
      </c>
    </row>
    <row r="123" spans="1:6" ht="24">
      <c r="A123" s="3112">
        <v>51</v>
      </c>
      <c r="B123" s="3777"/>
      <c r="C123" s="3112" t="s">
        <v>2754</v>
      </c>
      <c r="D123" s="3086" t="s">
        <v>2755</v>
      </c>
      <c r="E123" s="3112">
        <v>0.1</v>
      </c>
      <c r="F123" s="3112">
        <v>15</v>
      </c>
    </row>
    <row r="124" spans="1:6" ht="24">
      <c r="A124" s="3112">
        <v>52</v>
      </c>
      <c r="B124" s="3777" t="s">
        <v>2756</v>
      </c>
      <c r="C124" s="3112" t="s">
        <v>2757</v>
      </c>
      <c r="D124" s="3086" t="s">
        <v>2758</v>
      </c>
      <c r="E124" s="3112">
        <v>0.1</v>
      </c>
      <c r="F124" s="3112">
        <v>15</v>
      </c>
    </row>
    <row r="125" spans="1:6" ht="24">
      <c r="A125" s="3112">
        <v>53</v>
      </c>
      <c r="B125" s="3777"/>
      <c r="C125" s="3112" t="s">
        <v>2759</v>
      </c>
      <c r="D125" s="3086" t="s">
        <v>2760</v>
      </c>
      <c r="E125" s="3112">
        <v>0.1</v>
      </c>
      <c r="F125" s="3112">
        <v>15</v>
      </c>
    </row>
    <row r="126" spans="1:6" ht="13.5">
      <c r="A126" s="3112">
        <v>54</v>
      </c>
      <c r="B126" s="3112" t="s">
        <v>2761</v>
      </c>
      <c r="C126" s="3112" t="s">
        <v>2762</v>
      </c>
      <c r="D126" s="3086" t="s">
        <v>2763</v>
      </c>
      <c r="E126" s="3112">
        <v>0.1</v>
      </c>
      <c r="F126" s="3112">
        <v>15</v>
      </c>
    </row>
    <row r="127" spans="1:6" ht="13.5">
      <c r="A127" s="3112">
        <v>55</v>
      </c>
      <c r="B127" s="3777" t="s">
        <v>2764</v>
      </c>
      <c r="C127" s="3112" t="s">
        <v>2765</v>
      </c>
      <c r="D127" s="3086" t="s">
        <v>2766</v>
      </c>
      <c r="E127" s="3112">
        <v>0.1</v>
      </c>
      <c r="F127" s="3112">
        <v>15</v>
      </c>
    </row>
    <row r="128" spans="1:6" ht="13.5">
      <c r="A128" s="3112">
        <v>56</v>
      </c>
      <c r="B128" s="3777"/>
      <c r="C128" s="3112" t="s">
        <v>2767</v>
      </c>
      <c r="D128" s="3086" t="s">
        <v>2768</v>
      </c>
      <c r="E128" s="3112">
        <v>0.1</v>
      </c>
      <c r="F128" s="3112">
        <v>15</v>
      </c>
    </row>
    <row r="129" spans="1:6" ht="24">
      <c r="A129" s="3112">
        <v>57</v>
      </c>
      <c r="B129" s="3777"/>
      <c r="C129" s="3112" t="s">
        <v>2769</v>
      </c>
      <c r="D129" s="3086" t="s">
        <v>2770</v>
      </c>
      <c r="E129" s="3112">
        <v>0.1</v>
      </c>
      <c r="F129" s="3112">
        <v>15</v>
      </c>
    </row>
    <row r="130" spans="1:6" ht="24">
      <c r="A130" s="3112">
        <v>58</v>
      </c>
      <c r="B130" s="3777" t="s">
        <v>2771</v>
      </c>
      <c r="C130" s="3112" t="s">
        <v>2772</v>
      </c>
      <c r="D130" s="3086" t="s">
        <v>2773</v>
      </c>
      <c r="E130" s="3112">
        <v>0.1</v>
      </c>
      <c r="F130" s="3112">
        <v>15</v>
      </c>
    </row>
    <row r="131" spans="1:6" ht="13.5">
      <c r="A131" s="3112">
        <v>59</v>
      </c>
      <c r="B131" s="3777"/>
      <c r="C131" s="3112" t="s">
        <v>2774</v>
      </c>
      <c r="D131" s="3086" t="s">
        <v>2775</v>
      </c>
      <c r="E131" s="3112">
        <v>0.1</v>
      </c>
      <c r="F131" s="3112">
        <v>15</v>
      </c>
    </row>
    <row r="132" spans="1:6" ht="13.5">
      <c r="A132" s="3112">
        <v>60</v>
      </c>
      <c r="B132" s="3772" t="s">
        <v>2776</v>
      </c>
      <c r="C132" s="3112" t="s">
        <v>2777</v>
      </c>
      <c r="D132" s="3086" t="s">
        <v>2778</v>
      </c>
      <c r="E132" s="3112">
        <v>0.1</v>
      </c>
      <c r="F132" s="3112">
        <v>15</v>
      </c>
    </row>
    <row r="133" spans="1:6" ht="13.5">
      <c r="A133" s="3112">
        <v>61</v>
      </c>
      <c r="B133" s="3776"/>
      <c r="C133" s="3112" t="s">
        <v>2779</v>
      </c>
      <c r="D133" s="3086" t="s">
        <v>2780</v>
      </c>
      <c r="E133" s="3112">
        <v>0.1</v>
      </c>
      <c r="F133" s="3112">
        <v>15</v>
      </c>
    </row>
    <row r="134" spans="1:6" ht="24">
      <c r="A134" s="3112">
        <v>62</v>
      </c>
      <c r="B134" s="3112" t="s">
        <v>2781</v>
      </c>
      <c r="C134" s="3112" t="s">
        <v>2782</v>
      </c>
      <c r="D134" s="3086" t="s">
        <v>2783</v>
      </c>
      <c r="E134" s="3112">
        <v>0.1</v>
      </c>
      <c r="F134" s="3112">
        <v>15</v>
      </c>
    </row>
    <row r="135" spans="1:6" ht="13.5">
      <c r="A135" s="3112">
        <v>63</v>
      </c>
      <c r="B135" s="3777" t="s">
        <v>2784</v>
      </c>
      <c r="C135" s="3112" t="s">
        <v>2785</v>
      </c>
      <c r="D135" s="3086" t="s">
        <v>2786</v>
      </c>
      <c r="E135" s="3112">
        <v>0.1</v>
      </c>
      <c r="F135" s="3112">
        <v>15</v>
      </c>
    </row>
    <row r="136" spans="1:6" ht="13.5">
      <c r="A136" s="3112">
        <v>64</v>
      </c>
      <c r="B136" s="3777"/>
      <c r="C136" s="3112" t="s">
        <v>2787</v>
      </c>
      <c r="D136" s="3086" t="s">
        <v>2788</v>
      </c>
      <c r="E136" s="3112">
        <v>0.1</v>
      </c>
      <c r="F136" s="3112">
        <v>15</v>
      </c>
    </row>
    <row r="137" spans="1:6" ht="13.5">
      <c r="A137" s="3112">
        <v>65</v>
      </c>
      <c r="B137" s="3112" t="s">
        <v>2789</v>
      </c>
      <c r="C137" s="3112" t="s">
        <v>2790</v>
      </c>
      <c r="D137" s="3086" t="s">
        <v>2791</v>
      </c>
      <c r="E137" s="3112">
        <v>0.1</v>
      </c>
      <c r="F137" s="3112">
        <v>15</v>
      </c>
    </row>
    <row r="138" spans="1:6" ht="13.5">
      <c r="A138" s="3112"/>
      <c r="B138" s="3112"/>
      <c r="C138" s="3112"/>
      <c r="D138" s="3112"/>
      <c r="E138" s="3112" t="s">
        <v>2792</v>
      </c>
      <c r="F138" s="3112"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2793</v>
      </c>
      <c r="B1" s="3121"/>
      <c r="C1" s="3121"/>
      <c r="D1" s="3121"/>
      <c r="E1" s="3121"/>
      <c r="F1" s="3121"/>
      <c r="G1" s="3121"/>
      <c r="H1" s="3121"/>
      <c r="I1" s="3121"/>
      <c r="J1" s="3121"/>
      <c r="K1" s="3121"/>
      <c r="L1" s="3121"/>
      <c r="M1" s="3121"/>
      <c r="N1" s="749"/>
    </row>
    <row r="2" spans="1:20">
      <c r="A2" s="3122" t="s">
        <v>2794</v>
      </c>
      <c r="B2" s="3123" t="s">
        <v>2590</v>
      </c>
      <c r="C2" s="3123" t="s">
        <v>2591</v>
      </c>
      <c r="D2" s="3123" t="s">
        <v>2592</v>
      </c>
      <c r="E2" s="3123" t="s">
        <v>2593</v>
      </c>
      <c r="F2" s="3123" t="s">
        <v>2594</v>
      </c>
      <c r="G2" s="3123" t="s">
        <v>2595</v>
      </c>
      <c r="H2" s="3124" t="s">
        <v>2596</v>
      </c>
      <c r="I2" s="3124" t="s">
        <v>2597</v>
      </c>
      <c r="J2" s="3125" t="s">
        <v>2598</v>
      </c>
      <c r="K2" s="3125" t="s">
        <v>2599</v>
      </c>
      <c r="L2" s="3125" t="s">
        <v>2600</v>
      </c>
      <c r="M2" s="3126" t="s">
        <v>2601</v>
      </c>
      <c r="Q2" s="3136" t="s">
        <v>2799</v>
      </c>
      <c r="R2" s="3136" t="s">
        <v>2800</v>
      </c>
      <c r="S2" s="3136" t="s">
        <v>2801</v>
      </c>
      <c r="T2" s="3136" t="s">
        <v>2802</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2795</v>
      </c>
      <c r="B93" s="3121"/>
      <c r="C93" s="3121"/>
      <c r="D93" s="3121"/>
      <c r="E93" s="3121"/>
      <c r="F93" s="3121"/>
      <c r="G93" s="3121"/>
      <c r="H93" s="3121"/>
      <c r="I93" s="3121"/>
      <c r="J93" s="3121"/>
      <c r="K93" s="3121"/>
      <c r="L93" s="3121"/>
      <c r="M93" s="3121"/>
    </row>
    <row r="94" spans="1:20">
      <c r="A94" s="3122" t="s">
        <v>2794</v>
      </c>
      <c r="B94" s="3123" t="s">
        <v>2590</v>
      </c>
      <c r="C94" s="3123" t="s">
        <v>2591</v>
      </c>
      <c r="D94" s="3123" t="s">
        <v>2592</v>
      </c>
      <c r="E94" s="3123" t="s">
        <v>2593</v>
      </c>
      <c r="F94" s="3123" t="s">
        <v>2594</v>
      </c>
      <c r="G94" s="3123" t="s">
        <v>2595</v>
      </c>
      <c r="H94" s="3124" t="s">
        <v>2596</v>
      </c>
      <c r="I94" s="3124" t="s">
        <v>2597</v>
      </c>
      <c r="J94" s="3125" t="s">
        <v>2598</v>
      </c>
      <c r="K94" s="3125" t="s">
        <v>2599</v>
      </c>
      <c r="L94" s="3125" t="s">
        <v>2600</v>
      </c>
      <c r="M94" s="3126" t="s">
        <v>2601</v>
      </c>
      <c r="N94" s="750">
        <f>SUMPRODUCT((A95:A184=ROUNDDOWN(基准地价修正!G3,1))*(B94:M94=基准地价修正!G2)*(B95:M184))</f>
        <v>0</v>
      </c>
      <c r="Q94" s="3136" t="s">
        <v>2799</v>
      </c>
      <c r="R94" s="3136" t="s">
        <v>2800</v>
      </c>
      <c r="S94" s="3136" t="s">
        <v>2801</v>
      </c>
      <c r="T94" s="3136" t="s">
        <v>2802</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2796</v>
      </c>
      <c r="B185" s="3121"/>
      <c r="C185" s="3121"/>
      <c r="D185" s="3121"/>
      <c r="E185" s="3121"/>
      <c r="F185" s="3121"/>
      <c r="G185" s="3121"/>
      <c r="H185" s="3121"/>
      <c r="I185" s="3121"/>
      <c r="J185" s="3121"/>
      <c r="K185" s="3121"/>
      <c r="L185" s="3121"/>
      <c r="M185" s="3121"/>
    </row>
    <row r="186" spans="1:20">
      <c r="A186" s="3122" t="s">
        <v>2794</v>
      </c>
      <c r="B186" s="3123" t="s">
        <v>2590</v>
      </c>
      <c r="C186" s="3123" t="s">
        <v>2591</v>
      </c>
      <c r="D186" s="3123" t="s">
        <v>2592</v>
      </c>
      <c r="E186" s="3123" t="s">
        <v>2593</v>
      </c>
      <c r="F186" s="3123" t="s">
        <v>2594</v>
      </c>
      <c r="G186" s="3123" t="s">
        <v>2595</v>
      </c>
      <c r="H186" s="3124" t="s">
        <v>2596</v>
      </c>
      <c r="I186" s="3124" t="s">
        <v>2597</v>
      </c>
      <c r="J186" s="3125" t="s">
        <v>2598</v>
      </c>
      <c r="K186" s="3125" t="s">
        <v>2599</v>
      </c>
      <c r="L186" s="3125" t="s">
        <v>2600</v>
      </c>
      <c r="M186" s="3126" t="s">
        <v>2601</v>
      </c>
      <c r="Q186" s="3136" t="s">
        <v>2799</v>
      </c>
      <c r="R186" s="3136" t="s">
        <v>2800</v>
      </c>
      <c r="S186" s="3136" t="s">
        <v>2801</v>
      </c>
      <c r="T186" s="3136" t="s">
        <v>2802</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2797</v>
      </c>
      <c r="B277" s="3121"/>
      <c r="C277" s="3121"/>
      <c r="D277" s="3121"/>
      <c r="E277" s="3121"/>
      <c r="F277" s="3121"/>
      <c r="G277" s="3121"/>
      <c r="H277" s="3121"/>
      <c r="I277" s="3121"/>
      <c r="J277" s="3121"/>
      <c r="K277" s="3121"/>
      <c r="L277" s="3121"/>
      <c r="M277" s="3121"/>
    </row>
    <row r="278" spans="1:21">
      <c r="A278" s="3122" t="s">
        <v>2794</v>
      </c>
      <c r="B278" s="3123" t="s">
        <v>2590</v>
      </c>
      <c r="C278" s="3123" t="s">
        <v>2591</v>
      </c>
      <c r="D278" s="3123" t="s">
        <v>2592</v>
      </c>
      <c r="E278" s="3123" t="s">
        <v>2593</v>
      </c>
      <c r="F278" s="3123" t="s">
        <v>2594</v>
      </c>
      <c r="G278" s="3123" t="s">
        <v>2595</v>
      </c>
      <c r="H278" s="3124" t="s">
        <v>2596</v>
      </c>
      <c r="I278" s="3124" t="s">
        <v>2597</v>
      </c>
      <c r="J278" s="3125" t="s">
        <v>2598</v>
      </c>
      <c r="K278" s="3125" t="s">
        <v>2599</v>
      </c>
      <c r="L278" s="3125" t="s">
        <v>2600</v>
      </c>
      <c r="M278" s="3126" t="s">
        <v>2601</v>
      </c>
      <c r="Q278" s="3136" t="s">
        <v>2799</v>
      </c>
      <c r="R278" s="3136" t="s">
        <v>2800</v>
      </c>
      <c r="S278" s="3136" t="s">
        <v>2803</v>
      </c>
      <c r="T278" s="3136" t="s">
        <v>2804</v>
      </c>
      <c r="U278" s="3136" t="s">
        <v>2802</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2798</v>
      </c>
      <c r="B369" s="3134"/>
      <c r="C369" s="3134"/>
      <c r="D369" s="3134"/>
      <c r="E369" s="3134"/>
      <c r="F369" s="3134"/>
      <c r="G369" s="3134"/>
      <c r="H369" s="3134"/>
      <c r="I369" s="3134"/>
      <c r="J369" s="3134"/>
      <c r="K369" s="3134"/>
      <c r="L369" s="3134"/>
      <c r="M369" s="3134"/>
    </row>
    <row r="370" spans="1:20">
      <c r="A370" s="3122" t="s">
        <v>2794</v>
      </c>
      <c r="B370" s="3123" t="s">
        <v>2590</v>
      </c>
      <c r="C370" s="3123" t="s">
        <v>2591</v>
      </c>
      <c r="D370" s="3123" t="s">
        <v>2592</v>
      </c>
      <c r="E370" s="3123" t="s">
        <v>2593</v>
      </c>
      <c r="F370" s="3123" t="s">
        <v>2594</v>
      </c>
      <c r="G370" s="3123" t="s">
        <v>2595</v>
      </c>
      <c r="H370" s="3124" t="s">
        <v>2596</v>
      </c>
      <c r="I370" s="3124" t="s">
        <v>2597</v>
      </c>
      <c r="J370" s="3125" t="s">
        <v>2598</v>
      </c>
      <c r="K370" s="3125" t="s">
        <v>2599</v>
      </c>
      <c r="L370" s="3125" t="s">
        <v>2600</v>
      </c>
      <c r="M370" s="3126" t="s">
        <v>2601</v>
      </c>
      <c r="N370" s="750">
        <f>SUMPRODUCT((A371:A460=ROUNDDOWN(基准地价修正!G3,1))*(B370:M370=基准地价修正!G2)*(B371:M460))</f>
        <v>0</v>
      </c>
      <c r="Q370" s="3136" t="s">
        <v>2799</v>
      </c>
      <c r="R370" s="3136" t="s">
        <v>2800</v>
      </c>
      <c r="S370" s="3136" t="s">
        <v>2801</v>
      </c>
      <c r="T370" s="3136" t="s">
        <v>2802</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28597</v>
      </c>
      <c r="C2" s="2" t="s">
        <v>106</v>
      </c>
      <c r="D2" s="199"/>
      <c r="E2" s="199"/>
      <c r="F2" s="199"/>
      <c r="G2" s="199"/>
    </row>
    <row r="3" spans="1:7" s="200" customFormat="1" ht="18" customHeight="1" thickBot="1">
      <c r="A3" s="203" t="s">
        <v>58</v>
      </c>
      <c r="B3" s="204">
        <f ca="1">ROUND(B2*10000/'数据-汇总表'!E3,0)</f>
        <v>258707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1105.3800000000001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1105.3800000000001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332</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1105.3800000000001</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v>
      </c>
      <c r="D42" s="238"/>
      <c r="E42" s="238"/>
      <c r="F42" s="239"/>
      <c r="G42" s="3641" t="s">
        <v>94</v>
      </c>
    </row>
    <row r="43" spans="1:7" ht="13.5" customHeight="1">
      <c r="A43" s="780" t="s">
        <v>347</v>
      </c>
      <c r="B43" s="215" t="s">
        <v>426</v>
      </c>
      <c r="C43" s="238">
        <f ca="1">ROUND(IF('数据-取费表'!B22&lt;=1,C39*F22*'数据-取费表'!B21/2,C39*(POWER((1+F22),'数据-取费表'!B21/2)-1)),0)</f>
        <v>0</v>
      </c>
      <c r="D43" s="238"/>
      <c r="E43" s="238"/>
      <c r="F43" s="239"/>
      <c r="G43" s="3642"/>
    </row>
    <row r="44" spans="1:7" ht="13.5" customHeight="1">
      <c r="A44" s="780" t="s">
        <v>348</v>
      </c>
      <c r="B44" s="215" t="s">
        <v>428</v>
      </c>
      <c r="C44" s="238">
        <f ca="1">ROUND(IF('数据-取费表'!B22&lt;=1,C40*F22*'数据-取费表'!B21/2,C40*(POWER((1+F22),'数据-取费表'!B21/2)-1)),4)</f>
        <v>8.0000000000000004E-4</v>
      </c>
      <c r="D44" s="238"/>
      <c r="E44" s="238"/>
      <c r="F44" s="239"/>
      <c r="G44" s="3643"/>
    </row>
    <row r="45" spans="1:7" s="214" customFormat="1" ht="13.5" customHeight="1">
      <c r="A45" s="777" t="s">
        <v>341</v>
      </c>
      <c r="B45" s="244" t="s">
        <v>85</v>
      </c>
      <c r="C45" s="245">
        <f>C46</f>
        <v>56</v>
      </c>
      <c r="D45" s="235">
        <f>C47</f>
        <v>3.0000000000000001E-3</v>
      </c>
      <c r="E45" s="236" t="s">
        <v>102</v>
      </c>
      <c r="F45" s="246"/>
      <c r="G45" s="247" t="s">
        <v>434</v>
      </c>
    </row>
    <row r="46" spans="1:7" s="214" customFormat="1" ht="13.5" customHeight="1">
      <c r="A46" s="780" t="s">
        <v>349</v>
      </c>
      <c r="B46" s="248" t="s">
        <v>427</v>
      </c>
      <c r="C46" s="249">
        <f>ROUND((C33+C39)*F27,0)</f>
        <v>56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484</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460</v>
      </c>
      <c r="D51" s="232"/>
      <c r="E51" s="232"/>
      <c r="F51" s="264"/>
      <c r="G51" s="234" t="s">
        <v>37</v>
      </c>
    </row>
    <row r="52" spans="1:7" s="208" customFormat="1" ht="16.5" thickBot="1">
      <c r="A52" s="265" t="s">
        <v>38</v>
      </c>
      <c r="B52" s="266"/>
      <c r="C52" s="267">
        <f ca="1">C31+C51</f>
        <v>28597</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2004</v>
      </c>
      <c r="E5" s="1491"/>
    </row>
    <row r="6" spans="1:5" ht="15.75">
      <c r="A6" s="1491"/>
      <c r="B6" s="3460"/>
      <c r="C6" s="1494" t="s">
        <v>911</v>
      </c>
      <c r="D6" s="850" t="str">
        <f ca="1">NUMBERSTRING(INT(D5*10000),2)&amp;"元整"</f>
        <v>贰仟零肆万元整</v>
      </c>
      <c r="E6" s="1491"/>
    </row>
    <row r="7" spans="1:5" ht="15.75">
      <c r="A7" s="1491"/>
      <c r="B7" s="3465"/>
      <c r="C7" s="1495" t="s">
        <v>912</v>
      </c>
      <c r="D7" s="851">
        <f ca="1">结果表!H102</f>
        <v>18132</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2004</v>
      </c>
      <c r="E13" s="1491"/>
    </row>
    <row r="14" spans="1:5" ht="15.75">
      <c r="A14" s="1491"/>
      <c r="B14" s="3460"/>
      <c r="C14" s="1494" t="s">
        <v>911</v>
      </c>
      <c r="D14" s="850" t="str">
        <f ca="1">NUMBERSTRING(INT(D13*10000),2)&amp;"元整"</f>
        <v>贰仟零肆万元整</v>
      </c>
      <c r="E14" s="1491"/>
    </row>
    <row r="15" spans="1:5" ht="15">
      <c r="A15" s="1491"/>
      <c r="B15" s="3465"/>
      <c r="C15" s="1495" t="s">
        <v>921</v>
      </c>
      <c r="D15" s="859">
        <f ca="1">结果表!H108</f>
        <v>18132</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80" t="s">
        <v>2838</v>
      </c>
      <c r="B1" s="3780"/>
      <c r="C1" s="3780"/>
      <c r="D1" s="3780"/>
      <c r="E1" s="3780"/>
      <c r="F1" s="3780"/>
      <c r="G1" s="3781"/>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778" t="s">
        <v>2865</v>
      </c>
      <c r="B3" s="3224"/>
      <c r="C3" s="3225" t="s">
        <v>2806</v>
      </c>
      <c r="D3" s="3225" t="s">
        <v>2866</v>
      </c>
      <c r="E3" s="3225" t="s">
        <v>2808</v>
      </c>
      <c r="F3" s="3225" t="s">
        <v>2867</v>
      </c>
      <c r="G3" s="3225" t="s">
        <v>2626</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779"/>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82" t="s">
        <v>3180</v>
      </c>
      <c r="B1" s="3782"/>
    </row>
    <row r="2" spans="1:7" ht="14.25" thickBot="1">
      <c r="A2" s="3249"/>
      <c r="B2" s="3249"/>
    </row>
    <row r="3" spans="1:7" ht="14.25" thickBot="1">
      <c r="A3" s="3249"/>
      <c r="B3" s="3249"/>
      <c r="C3" s="3250" t="s">
        <v>2806</v>
      </c>
      <c r="D3" s="3250" t="s">
        <v>2866</v>
      </c>
      <c r="E3" s="3250" t="s">
        <v>2808</v>
      </c>
      <c r="F3" s="3250" t="s">
        <v>2867</v>
      </c>
      <c r="G3" s="3250" t="s">
        <v>2626</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83" t="s">
        <v>3231</v>
      </c>
      <c r="B1" s="3783"/>
      <c r="C1" s="3783"/>
      <c r="D1" s="3783"/>
      <c r="E1" s="3783"/>
      <c r="F1" s="3784"/>
    </row>
    <row r="2" spans="1:6">
      <c r="A2" s="3285" t="s">
        <v>3232</v>
      </c>
      <c r="B2" s="3286"/>
      <c r="C2" s="3286"/>
      <c r="D2" s="3286"/>
      <c r="E2" s="3286"/>
      <c r="F2" s="3286"/>
    </row>
    <row r="3" spans="1:6">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44978</v>
      </c>
      <c r="B1" s="3204" t="s">
        <v>2837</v>
      </c>
      <c r="C1" s="3205"/>
      <c r="D1" s="3205"/>
      <c r="E1" s="3205"/>
      <c r="F1" s="3205"/>
      <c r="G1" s="3205"/>
      <c r="H1" s="3205"/>
      <c r="I1" s="3205"/>
      <c r="J1" s="3159"/>
      <c r="K1" s="3205" t="s">
        <v>454</v>
      </c>
      <c r="L1" s="3205"/>
      <c r="M1" s="3205"/>
      <c r="N1" s="3205"/>
      <c r="O1" s="3205"/>
      <c r="P1" s="3205"/>
      <c r="Q1" s="3159"/>
      <c r="R1" s="3785" t="s">
        <v>456</v>
      </c>
      <c r="S1" s="3786"/>
      <c r="T1" s="3786"/>
      <c r="U1" s="3786"/>
      <c r="V1" s="3786"/>
      <c r="W1" s="3786"/>
      <c r="X1" s="3159"/>
      <c r="Y1" s="3785" t="s">
        <v>457</v>
      </c>
      <c r="Z1" s="3786"/>
      <c r="AA1" s="3786"/>
      <c r="AB1" s="3786"/>
      <c r="AC1" s="3786"/>
      <c r="AD1" s="3786"/>
    </row>
    <row r="2" spans="1:30" s="3137" customFormat="1" ht="14.25" thickBot="1">
      <c r="B2" s="3138"/>
      <c r="C2" s="3139"/>
      <c r="D2" s="3140" t="s">
        <v>2805</v>
      </c>
      <c r="E2" s="3141" t="s">
        <v>2806</v>
      </c>
      <c r="F2" s="3141" t="s">
        <v>2807</v>
      </c>
      <c r="G2" s="3141" t="s">
        <v>2808</v>
      </c>
      <c r="H2" s="3141" t="s">
        <v>2809</v>
      </c>
      <c r="I2" s="3141" t="s">
        <v>2626</v>
      </c>
      <c r="J2" s="3142"/>
      <c r="K2" s="3140" t="s">
        <v>2805</v>
      </c>
      <c r="L2" s="3141" t="s">
        <v>2806</v>
      </c>
      <c r="M2" s="3141" t="s">
        <v>2807</v>
      </c>
      <c r="N2" s="3141" t="s">
        <v>2808</v>
      </c>
      <c r="O2" s="3141" t="s">
        <v>2810</v>
      </c>
      <c r="P2" s="3141" t="s">
        <v>2626</v>
      </c>
      <c r="Q2" s="3142"/>
      <c r="R2" s="3140" t="s">
        <v>2805</v>
      </c>
      <c r="S2" s="3141" t="s">
        <v>2806</v>
      </c>
      <c r="T2" s="3141" t="s">
        <v>2807</v>
      </c>
      <c r="U2" s="3141" t="s">
        <v>2811</v>
      </c>
      <c r="V2" s="3141" t="s">
        <v>2812</v>
      </c>
      <c r="W2" s="3141" t="s">
        <v>2626</v>
      </c>
      <c r="X2" s="3142"/>
      <c r="Y2" s="3140" t="s">
        <v>2805</v>
      </c>
      <c r="Z2" s="3141" t="s">
        <v>2806</v>
      </c>
      <c r="AA2" s="3141" t="s">
        <v>2807</v>
      </c>
      <c r="AB2" s="3141" t="s">
        <v>2813</v>
      </c>
      <c r="AC2" s="3141" t="s">
        <v>2812</v>
      </c>
      <c r="AD2" s="3141" t="s">
        <v>2626</v>
      </c>
    </row>
    <row r="3" spans="1:30" s="3155" customFormat="1" ht="12.75">
      <c r="A3" s="3143" t="s">
        <v>2814</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3369</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3370</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3368</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2815</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2816</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ROUND(IF([2]项目基本情况!B8="出让",SUMPRODUCT(PRODUCT(1+K9:K16)),SUMPRODUCT(PRODUCT(1+K9:K15))),4)</f>
        <v>1.0565</v>
      </c>
      <c r="S9" s="3186">
        <f>ROUND(IF([2]项目基本情况!B8="出让",SUMPRODUCT(PRODUCT(1+L9:L16)),SUMPRODUCT(PRODUCT(1+L9:L15))),4)</f>
        <v>1.0250999999999999</v>
      </c>
      <c r="T9" s="3186">
        <f>ROUND(IF([2]项目基本情况!B8="出让",SUMPRODUCT(PRODUCT(1+M9:M16)),SUMPRODUCT(PRODUCT(1+M9:M15))),4)</f>
        <v>1.0145</v>
      </c>
      <c r="U9" s="3186">
        <f>ROUND(IF([2]项目基本情况!B8="出让",SUMPRODUCT(PRODUCT(1+N9:N16)),SUMPRODUCT(PRODUCT(1+N9:N15))),4)</f>
        <v>1.0618000000000001</v>
      </c>
      <c r="V9" s="3186">
        <f>ROUND(IF([2]项目基本情况!B8="出让",SUMPRODUCT(PRODUCT(1+O9:O16)),SUMPRODUCT(PRODUCT(1+O9:O15))),4)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3363</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3354</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2817</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2818</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2819</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2820</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2821</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3366</v>
      </c>
    </row>
    <row r="19" spans="1:30" s="3003" customFormat="1">
      <c r="I19" s="3202" t="s">
        <v>2822</v>
      </c>
    </row>
    <row r="20" spans="1:30" s="3003" customFormat="1"/>
    <row r="21" spans="1:30" s="3203" customFormat="1" ht="12.75">
      <c r="B21" s="3204" t="s">
        <v>2823</v>
      </c>
      <c r="C21" s="3205"/>
      <c r="D21" s="3205"/>
      <c r="E21" s="3205"/>
      <c r="F21" s="3205"/>
      <c r="G21" s="3205"/>
      <c r="H21" s="3205"/>
      <c r="I21" s="3205"/>
      <c r="J21" s="3159"/>
      <c r="K21" s="3205" t="s">
        <v>2824</v>
      </c>
      <c r="L21" s="3205"/>
      <c r="M21" s="3205"/>
      <c r="N21" s="3205"/>
      <c r="O21" s="3205"/>
      <c r="P21" s="3205"/>
      <c r="Q21" s="3159"/>
      <c r="R21" s="3785" t="s">
        <v>2825</v>
      </c>
      <c r="S21" s="3786"/>
      <c r="T21" s="3786"/>
      <c r="U21" s="3786"/>
      <c r="V21" s="3786"/>
      <c r="W21" s="3786"/>
      <c r="X21" s="3159"/>
      <c r="Y21" s="3785" t="s">
        <v>2826</v>
      </c>
      <c r="Z21" s="3786"/>
      <c r="AA21" s="3786"/>
      <c r="AB21" s="3786"/>
      <c r="AC21" s="3786"/>
      <c r="AD21" s="3786"/>
    </row>
    <row r="22" spans="1:30" s="3137" customFormat="1" ht="14.25" thickBot="1">
      <c r="B22" s="3138"/>
      <c r="C22" s="3139"/>
      <c r="D22" s="3140" t="s">
        <v>2827</v>
      </c>
      <c r="E22" s="3141" t="s">
        <v>2828</v>
      </c>
      <c r="F22" s="3141" t="s">
        <v>2829</v>
      </c>
      <c r="G22" s="3141" t="s">
        <v>2830</v>
      </c>
      <c r="H22" s="3141"/>
      <c r="I22" s="3141" t="s">
        <v>2831</v>
      </c>
      <c r="J22" s="3142"/>
      <c r="K22" s="3140" t="s">
        <v>2827</v>
      </c>
      <c r="L22" s="3141" t="s">
        <v>2828</v>
      </c>
      <c r="M22" s="3141" t="s">
        <v>2829</v>
      </c>
      <c r="N22" s="3141" t="s">
        <v>2830</v>
      </c>
      <c r="O22" s="3141"/>
      <c r="P22" s="3141" t="s">
        <v>2831</v>
      </c>
      <c r="Q22" s="3142"/>
      <c r="R22" s="3140" t="s">
        <v>2827</v>
      </c>
      <c r="S22" s="3141" t="s">
        <v>2828</v>
      </c>
      <c r="T22" s="3141" t="s">
        <v>2829</v>
      </c>
      <c r="U22" s="3141" t="s">
        <v>2830</v>
      </c>
      <c r="V22" s="3141"/>
      <c r="W22" s="3141" t="s">
        <v>2831</v>
      </c>
      <c r="X22" s="3142"/>
      <c r="Y22" s="3140" t="s">
        <v>2827</v>
      </c>
      <c r="Z22" s="3141" t="s">
        <v>2828</v>
      </c>
      <c r="AA22" s="3141" t="s">
        <v>2829</v>
      </c>
      <c r="AB22" s="3141" t="s">
        <v>2830</v>
      </c>
      <c r="AC22" s="3141"/>
      <c r="AD22" s="3141" t="s">
        <v>2831</v>
      </c>
    </row>
    <row r="23" spans="1:30" s="3155" customFormat="1" ht="12.75">
      <c r="A23" s="3143" t="s">
        <v>2832</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3369</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1.0286999999999999</v>
      </c>
      <c r="T25" s="3177">
        <f>ROUND(IF([2]项目基本情况!$B$8="出让",SUMPRODUCT(PRODUCT(1+M25:M$36)),SUMPRODUCT(PRODUCT(1+M25:M$35))),4)</f>
        <v>1.0164</v>
      </c>
      <c r="U25" s="3177">
        <f>ROUND(IF([2]项目基本情况!$B$8="出让",SUMPRODUCT(PRODUCT(1+N25:N$36)),SUMPRODUCT(PRODUCT(1+N25:N$35))),4)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3370</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1.0286999999999999</v>
      </c>
      <c r="T26" s="3177">
        <f>ROUND(IF([2]项目基本情况!$B$8="出让",SUMPRODUCT(PRODUCT(1+M26:M$36)),SUMPRODUCT(PRODUCT(1+M26:M$35))),4)</f>
        <v>1.0164</v>
      </c>
      <c r="U26" s="3177">
        <f>ROUND(IF([2]项目基本情况!$B$8="出让",SUMPRODUCT(PRODUCT(1+N26:N$36)),SUMPRODUCT(PRODUCT(1+N26:N$35))),4)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2.75">
      <c r="A27" s="3170" t="s">
        <v>3368</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1.0286999999999999</v>
      </c>
      <c r="T27" s="3177">
        <f>ROUND(IF([2]项目基本情况!$B$8="出让",SUMPRODUCT(PRODUCT(1+M27:M$36)),SUMPRODUCT(PRODUCT(1+M27:M$35))),4)</f>
        <v>1.0164</v>
      </c>
      <c r="U27" s="3177">
        <f>ROUND(IF([2]项目基本情况!$B$8="出让",SUMPRODUCT(PRODUCT(1+N27:N$36)),SUMPRODUCT(PRODUCT(1+N27:N$35))),4)</f>
        <v>1.0506</v>
      </c>
      <c r="V27" s="3177"/>
      <c r="W27" s="3177">
        <f t="shared" si="32"/>
        <v>1.0164</v>
      </c>
      <c r="X27" s="3175"/>
      <c r="Y27" s="3178"/>
      <c r="Z27" s="3206"/>
      <c r="AA27" s="3443"/>
      <c r="AB27" s="3443"/>
      <c r="AC27" s="3207"/>
      <c r="AD27" s="3178"/>
    </row>
    <row r="28" spans="1:30" s="3179" customFormat="1" ht="12.75">
      <c r="A28" s="3170" t="s">
        <v>2815</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ROUND(IF([2]项目基本情况!$B$8="出让",SUMPRODUCT(PRODUCT(1+L28:L$36)),SUMPRODUCT(PRODUCT(1+L28:L$35))),4)</f>
        <v>1.0286999999999999</v>
      </c>
      <c r="T28" s="3177">
        <f>ROUND(IF([2]项目基本情况!$B$8="出让",SUMPRODUCT(PRODUCT(1+M28:M$36)),SUMPRODUCT(PRODUCT(1+M28:M$35))),4)</f>
        <v>1.0164</v>
      </c>
      <c r="U28" s="3177">
        <f>ROUND(IF([2]项目基本情况!$B$8="出让",SUMPRODUCT(PRODUCT(1+N28:N$36)),SUMPRODUCT(PRODUCT(1+N28:N$35))),4)</f>
        <v>1.0506</v>
      </c>
      <c r="V28" s="3177"/>
      <c r="W28" s="3177">
        <f t="shared" si="32"/>
        <v>1.0164</v>
      </c>
      <c r="X28" s="3175"/>
      <c r="Y28" s="3178"/>
      <c r="Z28" s="3206"/>
      <c r="AA28" s="3443"/>
      <c r="AB28" s="3443"/>
      <c r="AC28" s="3207"/>
      <c r="AD28" s="3178"/>
    </row>
    <row r="29" spans="1:30" s="3189" customFormat="1" ht="12.75">
      <c r="A29" s="3180" t="s">
        <v>3364</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ROUND(IF([2]项目基本情况!$B$8="出让",SUMPRODUCT(PRODUCT(1+L29:L$36)),SUMPRODUCT(PRODUCT(1+L29:L$35))),4)</f>
        <v>1.0286999999999999</v>
      </c>
      <c r="T29" s="3186">
        <f>ROUND(IF([2]项目基本情况!$B$8="出让",SUMPRODUCT(PRODUCT(1+M29:M$36)),SUMPRODUCT(PRODUCT(1+M29:M$35))),4)</f>
        <v>1.0164</v>
      </c>
      <c r="U29" s="3186">
        <f>ROUND(IF([2]项目基本情况!$B$8="出让",SUMPRODUCT(PRODUCT(1+N29:N$36)),SUMPRODUCT(PRODUCT(1+N29:N$35))),4)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3365</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3354</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2833</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2834</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2835</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2836</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2821</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2305</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topLeftCell="L52" workbookViewId="0">
      <selection activeCell="L59" sqref="L59"/>
    </sheetView>
  </sheetViews>
  <sheetFormatPr defaultRowHeight="13.5"/>
  <sheetData>
    <row r="1" spans="1:7">
      <c r="B1" s="3451" t="s">
        <v>3414</v>
      </c>
      <c r="C1" s="3451" t="s">
        <v>3415</v>
      </c>
      <c r="D1" s="3451" t="s">
        <v>3416</v>
      </c>
      <c r="E1" s="3451" t="s">
        <v>3418</v>
      </c>
      <c r="F1" s="3451" t="s">
        <v>3421</v>
      </c>
      <c r="G1">
        <v>0.99</v>
      </c>
    </row>
    <row r="2" spans="1:7">
      <c r="A2" s="3451" t="s">
        <v>3413</v>
      </c>
      <c r="B2">
        <v>2200</v>
      </c>
      <c r="C2">
        <v>20000</v>
      </c>
      <c r="D2" s="3451" t="s">
        <v>3417</v>
      </c>
      <c r="E2" s="3451" t="s">
        <v>3420</v>
      </c>
      <c r="F2">
        <f>ROUND(C2*$G$1,0)</f>
        <v>19800</v>
      </c>
    </row>
    <row r="3" spans="1:7">
      <c r="A3" s="3451" t="s">
        <v>3444</v>
      </c>
      <c r="B3">
        <v>660</v>
      </c>
      <c r="C3">
        <v>21212</v>
      </c>
      <c r="D3" s="3451" t="s">
        <v>3443</v>
      </c>
      <c r="E3" s="3451" t="s">
        <v>3420</v>
      </c>
      <c r="F3">
        <f>ROUND(C3*$G$1,0)</f>
        <v>21000</v>
      </c>
    </row>
    <row r="4" spans="1:7">
      <c r="A4" s="3451" t="str">
        <f>A3</f>
        <v>长安天街</v>
      </c>
      <c r="B4">
        <v>655</v>
      </c>
      <c r="C4">
        <v>22901</v>
      </c>
      <c r="D4" s="3451" t="s">
        <v>3443</v>
      </c>
      <c r="E4" s="3451" t="s">
        <v>3420</v>
      </c>
      <c r="F4">
        <f>ROUND(C4*$G$1,0)</f>
        <v>22672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4" t="s">
        <v>925</v>
      </c>
      <c r="E3" s="854" t="s">
        <v>931</v>
      </c>
      <c r="F3" s="854" t="s">
        <v>925</v>
      </c>
      <c r="G3" s="854" t="s">
        <v>926</v>
      </c>
      <c r="H3" s="854" t="s">
        <v>925</v>
      </c>
      <c r="I3" s="854" t="s">
        <v>926</v>
      </c>
    </row>
    <row r="4" spans="1:9" ht="30">
      <c r="A4" s="1505" t="str">
        <f>项目基本情况!S2</f>
        <v>北京市门头沟区金沙西街17号院1号楼7层701房地产</v>
      </c>
      <c r="B4" s="854">
        <f>项目基本情况!C17</f>
        <v>1105.3800000000001</v>
      </c>
      <c r="C4" s="854">
        <f>项目基本情况!C18</f>
        <v>0</v>
      </c>
      <c r="D4" s="854" t="e">
        <f ca="1">结果表!D118</f>
        <v>#REF!</v>
      </c>
      <c r="E4" s="854" t="e">
        <f ca="1">结果表!E118</f>
        <v>#REF!</v>
      </c>
      <c r="F4" s="854" t="e">
        <f ca="1">结果表!F118</f>
        <v>#REF!</v>
      </c>
      <c r="G4" s="854" t="e">
        <f ca="1">结果表!G118</f>
        <v>#REF!</v>
      </c>
      <c r="H4" s="854">
        <f ca="1">结果表!H118</f>
        <v>2004</v>
      </c>
      <c r="I4" s="854">
        <f ca="1">结果表!I118</f>
        <v>18132</v>
      </c>
    </row>
    <row r="5" spans="1:9" ht="30" customHeight="1">
      <c r="A5" s="3471" t="s">
        <v>927</v>
      </c>
      <c r="B5" s="3471"/>
      <c r="C5" s="3471"/>
      <c r="D5" s="3471" t="e">
        <f ca="1">结果表!D119</f>
        <v>#REF!</v>
      </c>
      <c r="E5" s="3471"/>
      <c r="F5" s="3471" t="e">
        <f ca="1">结果表!F119</f>
        <v>#REF!</v>
      </c>
      <c r="G5" s="3471"/>
      <c r="H5" s="3471" t="str">
        <f ca="1">结果表!H119</f>
        <v>贰仟零肆万元整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2004</v>
      </c>
      <c r="E8" s="3472"/>
      <c r="F8" s="3472"/>
      <c r="G8" s="3472"/>
      <c r="H8" s="3472"/>
      <c r="I8" s="3472"/>
    </row>
    <row r="9" spans="1:9" ht="15">
      <c r="A9" s="3471" t="s">
        <v>927</v>
      </c>
      <c r="B9" s="3471"/>
      <c r="C9" s="3471"/>
      <c r="D9" s="3471" t="str">
        <f ca="1">结果表!D123</f>
        <v>贰仟零肆万元整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
      </c>
      <c r="B12" s="3472"/>
      <c r="C12" s="3472"/>
      <c r="D12" s="3472" t="str">
        <f>结果表!D126</f>
        <v>——</v>
      </c>
      <c r="E12" s="3472"/>
      <c r="F12" s="3472"/>
      <c r="G12" s="3472"/>
      <c r="H12" s="3472"/>
      <c r="I12" s="3472"/>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（1）根据估价对象《不动产权证书》原件、，截至价值时点，估价对象抵押权未见登记。</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44979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2159</v>
      </c>
      <c r="B17" s="3495"/>
      <c r="C17" s="3495"/>
      <c r="D17" s="3495"/>
      <c r="E17" s="3495"/>
      <c r="F17" s="3495"/>
      <c r="G17" s="3495"/>
      <c r="H17" s="3495"/>
    </row>
    <row r="18" spans="1:8" ht="24" customHeight="1">
      <c r="A18" s="3496" t="s">
        <v>2160</v>
      </c>
      <c r="B18" s="3496"/>
      <c r="C18" s="3496"/>
      <c r="D18" s="2343"/>
      <c r="E18" s="3497" t="s">
        <v>2161</v>
      </c>
      <c r="F18" s="3496"/>
      <c r="G18" s="349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2023-02-22T03:23:45Z</dcterms:modified>
</cp:coreProperties>
</file>